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REAM PC\Downloads\"/>
    </mc:Choice>
  </mc:AlternateContent>
  <xr:revisionPtr revIDLastSave="0" documentId="13_ncr:1_{E1DA9442-8318-4630-B1F8-80B01E8764F3}" xr6:coauthVersionLast="47" xr6:coauthVersionMax="47" xr10:uidLastSave="{00000000-0000-0000-0000-000000000000}"/>
  <bookViews>
    <workbookView xWindow="-120" yWindow="-120" windowWidth="29040" windowHeight="15840" tabRatio="779" xr2:uid="{00000000-000D-0000-FFFF-FFFF00000000}"/>
  </bookViews>
  <sheets>
    <sheet name="Summary" sheetId="1" r:id="rId1"/>
    <sheet name="Notes, Assumptions" sheetId="2" r:id="rId2"/>
    <sheet name="Demolition" sheetId="9" r:id="rId3"/>
    <sheet name="Exterior and Interceptor" sheetId="8" state="hidden" r:id="rId4"/>
    <sheet name="First Floor Underslab" sheetId="12" r:id="rId5"/>
    <sheet name="Fixture+Pipe Qty" sheetId="5" r:id="rId6"/>
    <sheet name="Fixtures + Piping computation" sheetId="3" r:id="rId7"/>
    <sheet name="Pricing Master Sheet" sheetId="11" state="hidden" r:id="rId8"/>
    <sheet name="Unit Prices" sheetId="10" r:id="rId9"/>
  </sheets>
  <externalReferences>
    <externalReference r:id="rId10"/>
  </externalReferences>
  <definedNames>
    <definedName name="_xlnm.Print_Area" localSheetId="2">Demolition!$A$1:$M$35</definedName>
    <definedName name="_xlnm.Print_Area" localSheetId="3">'Exterior and Interceptor'!$A$1:$P$383</definedName>
    <definedName name="_xlnm.Print_Area" localSheetId="4">'First Floor Underslab'!$B$1:$P$350</definedName>
    <definedName name="_xlnm.Print_Area" localSheetId="5">'Fixture+Pipe Qty'!$A$1:$R$655</definedName>
    <definedName name="_xlnm.Print_Area" localSheetId="0">Summary!$A$1:$H$104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25" i="5" l="1"/>
  <c r="M421" i="5"/>
  <c r="M419" i="5"/>
  <c r="I419" i="5"/>
  <c r="J419" i="5" s="1"/>
  <c r="N419" i="5" s="1"/>
  <c r="I347" i="5"/>
  <c r="J347" i="5" s="1"/>
  <c r="I348" i="5"/>
  <c r="J348" i="5" s="1"/>
  <c r="I349" i="5"/>
  <c r="J349" i="5" s="1"/>
  <c r="I434" i="5"/>
  <c r="H601" i="5" a="1"/>
  <c r="H601" i="5" s="1"/>
  <c r="H600" i="5" a="1"/>
  <c r="H600" i="5" s="1"/>
  <c r="H590" i="5" a="1"/>
  <c r="H590" i="5" s="1"/>
  <c r="H591" i="5" a="1"/>
  <c r="H591" i="5" s="1"/>
  <c r="H589" i="5" a="1"/>
  <c r="H589" i="5" s="1"/>
  <c r="H579" i="5" a="1"/>
  <c r="H579" i="5" s="1"/>
  <c r="H580" i="5" a="1"/>
  <c r="H580" i="5" s="1"/>
  <c r="H581" i="5" a="1"/>
  <c r="H581" i="5" s="1"/>
  <c r="H582" i="5" a="1"/>
  <c r="H582" i="5" s="1"/>
  <c r="H583" i="5" a="1"/>
  <c r="H583" i="5" s="1"/>
  <c r="H584" i="5" a="1"/>
  <c r="H584" i="5"/>
  <c r="H585" i="5" a="1"/>
  <c r="H585" i="5"/>
  <c r="H586" i="5" a="1"/>
  <c r="H586" i="5" s="1"/>
  <c r="H578" i="5" a="1"/>
  <c r="H578" i="5" s="1"/>
  <c r="H568" i="5" a="1"/>
  <c r="H568" i="5" s="1"/>
  <c r="H569" i="5" a="1"/>
  <c r="H569" i="5" s="1"/>
  <c r="H570" i="5" a="1"/>
  <c r="H570" i="5" s="1"/>
  <c r="H571" i="5" a="1"/>
  <c r="H571" i="5" s="1"/>
  <c r="H572" i="5" a="1"/>
  <c r="H572" i="5" s="1"/>
  <c r="H573" i="5" a="1"/>
  <c r="H573" i="5"/>
  <c r="H574" i="5" a="1"/>
  <c r="H574" i="5" s="1"/>
  <c r="H575" i="5" a="1"/>
  <c r="H575" i="5" s="1"/>
  <c r="H567" i="5" a="1"/>
  <c r="H567" i="5" s="1"/>
  <c r="H542" i="5" a="1"/>
  <c r="H542" i="5" s="1"/>
  <c r="H539" i="5" a="1"/>
  <c r="H539" i="5" s="1"/>
  <c r="H494" i="5" a="1"/>
  <c r="H494" i="5" s="1"/>
  <c r="H495" i="5" a="1"/>
  <c r="H495" i="5" s="1"/>
  <c r="H496" i="5" a="1"/>
  <c r="H496" i="5" s="1"/>
  <c r="H497" i="5" a="1"/>
  <c r="H497" i="5" s="1"/>
  <c r="H498" i="5" a="1"/>
  <c r="H498" i="5" s="1"/>
  <c r="H433" i="5" a="1"/>
  <c r="H433" i="5" s="1"/>
  <c r="H434" i="5" a="1"/>
  <c r="H434" i="5" s="1"/>
  <c r="H435" i="5" a="1"/>
  <c r="H435" i="5" s="1"/>
  <c r="H436" i="5" a="1"/>
  <c r="H436" i="5" s="1"/>
  <c r="H437" i="5" a="1"/>
  <c r="H437" i="5" s="1"/>
  <c r="H438" i="5" a="1"/>
  <c r="H438" i="5" s="1"/>
  <c r="H439" i="5" a="1"/>
  <c r="H439" i="5" s="1"/>
  <c r="H440" i="5" a="1"/>
  <c r="H440" i="5" s="1"/>
  <c r="H432" i="5" a="1"/>
  <c r="H432" i="5" s="1"/>
  <c r="I432" i="5" s="1"/>
  <c r="H381" i="5" a="1"/>
  <c r="H381" i="5" s="1"/>
  <c r="H380" i="5" a="1"/>
  <c r="H380" i="5" s="1"/>
  <c r="H372" i="5" a="1"/>
  <c r="H372" i="5" s="1"/>
  <c r="H373" i="5" a="1"/>
  <c r="H373" i="5" s="1"/>
  <c r="H374" i="5" a="1"/>
  <c r="H374" i="5" s="1"/>
  <c r="H375" i="5" a="1"/>
  <c r="H375" i="5" s="1"/>
  <c r="H376" i="5" a="1"/>
  <c r="H376" i="5" s="1"/>
  <c r="H371" i="5" a="1"/>
  <c r="H371" i="5" s="1"/>
  <c r="H284" i="5" a="1"/>
  <c r="H284" i="5" s="1"/>
  <c r="H283" i="5" a="1"/>
  <c r="H283" i="5" s="1"/>
  <c r="H273" i="5" a="1"/>
  <c r="H273" i="5" s="1"/>
  <c r="H274" i="5" a="1"/>
  <c r="H274" i="5" s="1"/>
  <c r="H272" i="5" a="1"/>
  <c r="H272" i="5" s="1"/>
  <c r="H262" i="5" a="1"/>
  <c r="H262" i="5" s="1"/>
  <c r="H263" i="5" a="1"/>
  <c r="H263" i="5" s="1"/>
  <c r="H264" i="5" a="1"/>
  <c r="H264" i="5" s="1"/>
  <c r="H261" i="5" a="1"/>
  <c r="H261" i="5" s="1"/>
  <c r="H250" i="5" a="1"/>
  <c r="H250" i="5" s="1"/>
  <c r="H251" i="5" a="1"/>
  <c r="H251" i="5" s="1"/>
  <c r="H252" i="5" a="1"/>
  <c r="H252" i="5" s="1"/>
  <c r="H253" i="5" a="1"/>
  <c r="H253" i="5" s="1"/>
  <c r="H254" i="5" a="1"/>
  <c r="H254" i="5" s="1"/>
  <c r="H255" i="5" a="1"/>
  <c r="H255" i="5" s="1"/>
  <c r="H256" i="5" a="1"/>
  <c r="H256" i="5" s="1"/>
  <c r="H257" i="5" a="1"/>
  <c r="H257" i="5" s="1"/>
  <c r="H258" i="5" a="1"/>
  <c r="H258" i="5" s="1"/>
  <c r="I62" i="5" l="1"/>
  <c r="J62" i="5" s="1"/>
  <c r="G475" i="5"/>
  <c r="M45" i="5"/>
  <c r="I45" i="5"/>
  <c r="J45" i="5" s="1"/>
  <c r="M72" i="5"/>
  <c r="F334" i="5"/>
  <c r="F335" i="5"/>
  <c r="C623" i="5"/>
  <c r="C624" i="5"/>
  <c r="C625" i="5"/>
  <c r="C626" i="5"/>
  <c r="M508" i="5"/>
  <c r="I508" i="5"/>
  <c r="J508" i="5" s="1"/>
  <c r="M507" i="5"/>
  <c r="I507" i="5"/>
  <c r="J507" i="5" s="1"/>
  <c r="M512" i="5"/>
  <c r="I512" i="5"/>
  <c r="J512" i="5" s="1"/>
  <c r="M511" i="5"/>
  <c r="I511" i="5"/>
  <c r="J511" i="5" s="1"/>
  <c r="M510" i="5"/>
  <c r="F551" i="5"/>
  <c r="F550" i="5"/>
  <c r="M465" i="5"/>
  <c r="I465" i="5"/>
  <c r="J465" i="5" s="1"/>
  <c r="M464" i="5"/>
  <c r="I464" i="5"/>
  <c r="J464" i="5" s="1"/>
  <c r="M463" i="5"/>
  <c r="I463" i="5"/>
  <c r="J463" i="5" s="1"/>
  <c r="M462" i="5"/>
  <c r="I462" i="5"/>
  <c r="J462" i="5" s="1"/>
  <c r="M461" i="5"/>
  <c r="I461" i="5"/>
  <c r="J461" i="5" s="1"/>
  <c r="M460" i="5"/>
  <c r="I460" i="5"/>
  <c r="J460" i="5" s="1"/>
  <c r="M459" i="5"/>
  <c r="I459" i="5"/>
  <c r="J459" i="5" s="1"/>
  <c r="M458" i="5"/>
  <c r="I458" i="5"/>
  <c r="J458" i="5" s="1"/>
  <c r="M457" i="5"/>
  <c r="I457" i="5"/>
  <c r="J457" i="5" s="1"/>
  <c r="M456" i="5"/>
  <c r="I456" i="5"/>
  <c r="J456" i="5" s="1"/>
  <c r="M455" i="5"/>
  <c r="I455" i="5"/>
  <c r="J455" i="5" s="1"/>
  <c r="M454" i="5"/>
  <c r="I454" i="5"/>
  <c r="J454" i="5" s="1"/>
  <c r="M453" i="5"/>
  <c r="I453" i="5"/>
  <c r="J453" i="5" s="1"/>
  <c r="M452" i="5"/>
  <c r="I452" i="5"/>
  <c r="J452" i="5" s="1"/>
  <c r="M451" i="5"/>
  <c r="I451" i="5"/>
  <c r="J451" i="5" s="1"/>
  <c r="M450" i="5"/>
  <c r="I450" i="5"/>
  <c r="J450" i="5" s="1"/>
  <c r="M449" i="5"/>
  <c r="I449" i="5"/>
  <c r="J449" i="5" s="1"/>
  <c r="M318" i="5"/>
  <c r="I318" i="5"/>
  <c r="J318" i="5" s="1"/>
  <c r="M319" i="5"/>
  <c r="I319" i="5"/>
  <c r="J319" i="5" s="1"/>
  <c r="I321" i="5"/>
  <c r="J321" i="5" s="1"/>
  <c r="M321" i="5"/>
  <c r="I322" i="5"/>
  <c r="J322" i="5" s="1"/>
  <c r="M322" i="5"/>
  <c r="F296" i="5"/>
  <c r="I296" i="5" s="1"/>
  <c r="J296" i="5" s="1"/>
  <c r="M343" i="5"/>
  <c r="F424" i="5"/>
  <c r="M424" i="5" s="1"/>
  <c r="F352" i="5"/>
  <c r="F348" i="5" s="1"/>
  <c r="F351" i="5"/>
  <c r="F347" i="5" s="1"/>
  <c r="F350" i="5"/>
  <c r="F346" i="5" s="1"/>
  <c r="F353" i="5"/>
  <c r="F349" i="5" s="1"/>
  <c r="M320" i="5"/>
  <c r="I320" i="5"/>
  <c r="J320" i="5" s="1"/>
  <c r="F472" i="5"/>
  <c r="M472" i="5" s="1"/>
  <c r="M471" i="5"/>
  <c r="I471" i="5"/>
  <c r="J471" i="5" s="1"/>
  <c r="M470" i="5"/>
  <c r="I470" i="5"/>
  <c r="J470" i="5" s="1"/>
  <c r="M469" i="5"/>
  <c r="I469" i="5"/>
  <c r="J469" i="5" s="1"/>
  <c r="M468" i="5"/>
  <c r="I468" i="5"/>
  <c r="J468" i="5" s="1"/>
  <c r="M467" i="5"/>
  <c r="I467" i="5"/>
  <c r="J467" i="5" s="1"/>
  <c r="B459" i="5"/>
  <c r="M179" i="5"/>
  <c r="I179" i="5"/>
  <c r="J179" i="5" s="1"/>
  <c r="M178" i="5"/>
  <c r="I178" i="5"/>
  <c r="J178" i="5" s="1"/>
  <c r="I421" i="5"/>
  <c r="J421" i="5" s="1"/>
  <c r="I422" i="5"/>
  <c r="J422" i="5" s="1"/>
  <c r="M422" i="5"/>
  <c r="I423" i="5"/>
  <c r="J423" i="5" s="1"/>
  <c r="M423" i="5"/>
  <c r="M399" i="5"/>
  <c r="I399" i="5"/>
  <c r="J399" i="5" s="1"/>
  <c r="M414" i="5"/>
  <c r="I414" i="5"/>
  <c r="J414" i="5" s="1"/>
  <c r="M413" i="5"/>
  <c r="I413" i="5"/>
  <c r="J413" i="5" s="1"/>
  <c r="M412" i="5"/>
  <c r="I412" i="5"/>
  <c r="J412" i="5" s="1"/>
  <c r="M411" i="5"/>
  <c r="I411" i="5"/>
  <c r="J411" i="5" s="1"/>
  <c r="M416" i="5"/>
  <c r="I416" i="5"/>
  <c r="J416" i="5" s="1"/>
  <c r="M415" i="5"/>
  <c r="I415" i="5"/>
  <c r="J415" i="5" s="1"/>
  <c r="M410" i="5"/>
  <c r="I410" i="5"/>
  <c r="J410" i="5" s="1"/>
  <c r="M409" i="5"/>
  <c r="I409" i="5"/>
  <c r="J409" i="5" s="1"/>
  <c r="F403" i="5"/>
  <c r="M403" i="5" s="1"/>
  <c r="F402" i="5"/>
  <c r="M402" i="5" s="1"/>
  <c r="M405" i="5"/>
  <c r="I405" i="5"/>
  <c r="J405" i="5" s="1"/>
  <c r="M404" i="5"/>
  <c r="I404" i="5"/>
  <c r="J404" i="5" s="1"/>
  <c r="M401" i="5"/>
  <c r="I401" i="5"/>
  <c r="J401" i="5" s="1"/>
  <c r="M408" i="5"/>
  <c r="I408" i="5"/>
  <c r="J408" i="5" s="1"/>
  <c r="M407" i="5"/>
  <c r="I407" i="5"/>
  <c r="J407" i="5" s="1"/>
  <c r="M406" i="5"/>
  <c r="I406" i="5"/>
  <c r="J406" i="5" s="1"/>
  <c r="M400" i="5"/>
  <c r="I400" i="5"/>
  <c r="J400" i="5" s="1"/>
  <c r="I396" i="5"/>
  <c r="J396" i="5" s="1"/>
  <c r="I395" i="5"/>
  <c r="J395" i="5" s="1"/>
  <c r="I394" i="5"/>
  <c r="J394" i="5" s="1"/>
  <c r="I393" i="5"/>
  <c r="J393" i="5" s="1"/>
  <c r="M395" i="5"/>
  <c r="G341" i="5" a="1"/>
  <c r="M342" i="5" s="1"/>
  <c r="I336" i="5"/>
  <c r="J336" i="5" s="1"/>
  <c r="I330" i="5"/>
  <c r="J330" i="5" s="1"/>
  <c r="I329" i="5"/>
  <c r="J329" i="5" s="1"/>
  <c r="I328" i="5"/>
  <c r="J328" i="5" s="1"/>
  <c r="I327" i="5"/>
  <c r="J327" i="5" s="1"/>
  <c r="I326" i="5"/>
  <c r="J326" i="5" s="1"/>
  <c r="I325" i="5"/>
  <c r="J325" i="5" s="1"/>
  <c r="I317" i="5"/>
  <c r="J317" i="5" s="1"/>
  <c r="I316" i="5"/>
  <c r="J316" i="5" s="1"/>
  <c r="I315" i="5"/>
  <c r="I314" i="5"/>
  <c r="J314" i="5" s="1"/>
  <c r="I313" i="5"/>
  <c r="J313" i="5" s="1"/>
  <c r="I312" i="5"/>
  <c r="J312" i="5" s="1"/>
  <c r="I311" i="5"/>
  <c r="J311" i="5" s="1"/>
  <c r="I310" i="5"/>
  <c r="J310" i="5" s="1"/>
  <c r="I309" i="5"/>
  <c r="J309" i="5" s="1"/>
  <c r="I308" i="5"/>
  <c r="J308" i="5" s="1"/>
  <c r="I307" i="5"/>
  <c r="J307" i="5" s="1"/>
  <c r="I306" i="5"/>
  <c r="J306" i="5" s="1"/>
  <c r="I305" i="5"/>
  <c r="J305" i="5" s="1"/>
  <c r="I304" i="5"/>
  <c r="J304" i="5" s="1"/>
  <c r="I303" i="5"/>
  <c r="J303" i="5" s="1"/>
  <c r="I302" i="5"/>
  <c r="J302" i="5" s="1"/>
  <c r="I301" i="5"/>
  <c r="J301" i="5" s="1"/>
  <c r="I300" i="5"/>
  <c r="J300" i="5" s="1"/>
  <c r="I299" i="5"/>
  <c r="J299" i="5" s="1"/>
  <c r="I298" i="5"/>
  <c r="J298" i="5" s="1"/>
  <c r="I297" i="5"/>
  <c r="J297" i="5" s="1"/>
  <c r="I295" i="5"/>
  <c r="J295" i="5" s="1"/>
  <c r="I294" i="5"/>
  <c r="J294" i="5" s="1"/>
  <c r="I293" i="5"/>
  <c r="J293" i="5" s="1"/>
  <c r="M312" i="5"/>
  <c r="M311" i="5"/>
  <c r="M310" i="5"/>
  <c r="M309" i="5"/>
  <c r="M308" i="5"/>
  <c r="M317" i="5"/>
  <c r="M316" i="5"/>
  <c r="M315" i="5"/>
  <c r="M314" i="5"/>
  <c r="M313" i="5"/>
  <c r="M306" i="5"/>
  <c r="M305" i="5"/>
  <c r="M304" i="5"/>
  <c r="M303" i="5"/>
  <c r="M302" i="5"/>
  <c r="M301" i="5"/>
  <c r="G334" i="5" a="1"/>
  <c r="G334" i="5" s="1"/>
  <c r="I334" i="5" s="1"/>
  <c r="J334" i="5" s="1"/>
  <c r="M297" i="5"/>
  <c r="M294" i="5"/>
  <c r="C94" i="1"/>
  <c r="C93" i="1"/>
  <c r="C36" i="1"/>
  <c r="L62" i="5"/>
  <c r="L57" i="5"/>
  <c r="L97" i="5"/>
  <c r="L130" i="5"/>
  <c r="L111" i="5"/>
  <c r="E67" i="11"/>
  <c r="E66" i="11"/>
  <c r="E68" i="11"/>
  <c r="A65" i="11"/>
  <c r="E62" i="11"/>
  <c r="E61" i="11"/>
  <c r="E63" i="11"/>
  <c r="A60" i="11"/>
  <c r="E57" i="11"/>
  <c r="E56" i="11"/>
  <c r="E58" i="11"/>
  <c r="L68" i="5" s="1"/>
  <c r="A55" i="11"/>
  <c r="E53" i="11"/>
  <c r="L47" i="5" s="1"/>
  <c r="E52" i="11"/>
  <c r="E51" i="11"/>
  <c r="A50" i="11"/>
  <c r="E47" i="11"/>
  <c r="E46" i="11"/>
  <c r="E45" i="11"/>
  <c r="E48" i="11" s="1"/>
  <c r="A45" i="11"/>
  <c r="E42" i="11"/>
  <c r="E41" i="11"/>
  <c r="E40" i="11"/>
  <c r="E43" i="11" s="1"/>
  <c r="A40" i="11"/>
  <c r="E37" i="11"/>
  <c r="E36" i="11"/>
  <c r="E35" i="11"/>
  <c r="A35" i="11"/>
  <c r="E32" i="11"/>
  <c r="E31" i="11"/>
  <c r="E30" i="11"/>
  <c r="E29" i="11"/>
  <c r="E28" i="11"/>
  <c r="A28" i="11"/>
  <c r="E25" i="11"/>
  <c r="E24" i="11"/>
  <c r="E23" i="11"/>
  <c r="E26" i="11" s="1"/>
  <c r="A23" i="11"/>
  <c r="E19" i="11"/>
  <c r="E18" i="11"/>
  <c r="E17" i="11"/>
  <c r="E20" i="11" s="1"/>
  <c r="L118" i="5" s="1"/>
  <c r="A17" i="11"/>
  <c r="E14" i="11"/>
  <c r="E13" i="11"/>
  <c r="E12" i="11"/>
  <c r="E11" i="11"/>
  <c r="E10" i="11"/>
  <c r="A10" i="11"/>
  <c r="E7" i="11"/>
  <c r="E6" i="11"/>
  <c r="E8" i="11" s="1"/>
  <c r="L81" i="5" s="1"/>
  <c r="A6" i="11"/>
  <c r="J333" i="12"/>
  <c r="C335" i="12"/>
  <c r="E335" i="12" s="1"/>
  <c r="F28" i="12"/>
  <c r="H45" i="12"/>
  <c r="C49" i="1"/>
  <c r="C39" i="1"/>
  <c r="C61" i="1"/>
  <c r="E11" i="9"/>
  <c r="E10" i="9"/>
  <c r="K23" i="9"/>
  <c r="G23" i="9"/>
  <c r="H23" i="9" s="1"/>
  <c r="C79" i="1"/>
  <c r="C73" i="1"/>
  <c r="C74" i="1"/>
  <c r="C75" i="1"/>
  <c r="C76" i="1"/>
  <c r="C77" i="1"/>
  <c r="C78" i="1"/>
  <c r="C72" i="1"/>
  <c r="K11" i="9"/>
  <c r="K10" i="9"/>
  <c r="G11" i="9"/>
  <c r="H11" i="9" s="1"/>
  <c r="G10" i="9"/>
  <c r="H10" i="9" s="1"/>
  <c r="K22" i="9"/>
  <c r="K21" i="9"/>
  <c r="K20" i="9"/>
  <c r="K19" i="9"/>
  <c r="K18" i="9"/>
  <c r="G22" i="9"/>
  <c r="H22" i="9" s="1"/>
  <c r="G21" i="9"/>
  <c r="H21" i="9" s="1"/>
  <c r="G20" i="9"/>
  <c r="H20" i="9" s="1"/>
  <c r="G19" i="9"/>
  <c r="H19" i="9" s="1"/>
  <c r="G18" i="9"/>
  <c r="H18" i="9" s="1"/>
  <c r="G326" i="12"/>
  <c r="D28" i="3"/>
  <c r="I44" i="5"/>
  <c r="J44" i="5" s="1"/>
  <c r="BH291" i="3"/>
  <c r="CO202" i="3"/>
  <c r="CL201" i="3"/>
  <c r="CN200" i="3"/>
  <c r="CM199" i="3"/>
  <c r="CN198" i="3"/>
  <c r="CL197" i="3"/>
  <c r="CL196" i="3"/>
  <c r="J315" i="5" l="1"/>
  <c r="N45" i="5"/>
  <c r="N72" i="5"/>
  <c r="M51" i="5"/>
  <c r="N51" i="5" s="1"/>
  <c r="E33" i="11"/>
  <c r="L106" i="5" s="1"/>
  <c r="E38" i="11"/>
  <c r="L123" i="5" s="1"/>
  <c r="E15" i="11"/>
  <c r="L92" i="5" s="1"/>
  <c r="M338" i="5"/>
  <c r="I338" i="5"/>
  <c r="J338" i="5" s="1"/>
  <c r="N508" i="5"/>
  <c r="N507" i="5"/>
  <c r="N511" i="5"/>
  <c r="N512" i="5"/>
  <c r="I509" i="5"/>
  <c r="J509" i="5" s="1"/>
  <c r="M509" i="5"/>
  <c r="I510" i="5"/>
  <c r="J510" i="5" s="1"/>
  <c r="N510" i="5" s="1"/>
  <c r="M551" i="5"/>
  <c r="I551" i="5"/>
  <c r="J551" i="5" s="1"/>
  <c r="F354" i="5"/>
  <c r="G355" i="5" s="1"/>
  <c r="M355" i="5" s="1"/>
  <c r="N322" i="5"/>
  <c r="N454" i="5"/>
  <c r="N460" i="5"/>
  <c r="N455" i="5"/>
  <c r="N461" i="5"/>
  <c r="N450" i="5"/>
  <c r="N456" i="5"/>
  <c r="N462" i="5"/>
  <c r="N451" i="5"/>
  <c r="N457" i="5"/>
  <c r="N463" i="5"/>
  <c r="N452" i="5"/>
  <c r="N458" i="5"/>
  <c r="N464" i="5"/>
  <c r="N453" i="5"/>
  <c r="N459" i="5"/>
  <c r="N465" i="5"/>
  <c r="N449" i="5"/>
  <c r="N318" i="5"/>
  <c r="N319" i="5"/>
  <c r="N321" i="5"/>
  <c r="N343" i="5"/>
  <c r="G425" i="5"/>
  <c r="G427" i="5" s="1"/>
  <c r="I424" i="5"/>
  <c r="J424" i="5" s="1"/>
  <c r="N424" i="5" s="1"/>
  <c r="I350" i="5"/>
  <c r="J350" i="5" s="1"/>
  <c r="M350" i="5"/>
  <c r="M353" i="5"/>
  <c r="I353" i="5"/>
  <c r="J353" i="5" s="1"/>
  <c r="M351" i="5"/>
  <c r="I351" i="5"/>
  <c r="J351" i="5" s="1"/>
  <c r="M352" i="5"/>
  <c r="I352" i="5"/>
  <c r="J352" i="5" s="1"/>
  <c r="N320" i="5"/>
  <c r="N469" i="5"/>
  <c r="N467" i="5"/>
  <c r="N470" i="5"/>
  <c r="N468" i="5"/>
  <c r="N471" i="5"/>
  <c r="N472" i="5"/>
  <c r="N179" i="5"/>
  <c r="N178" i="5"/>
  <c r="N423" i="5"/>
  <c r="N422" i="5"/>
  <c r="N400" i="5"/>
  <c r="N421" i="5"/>
  <c r="N404" i="5"/>
  <c r="N399" i="5"/>
  <c r="N411" i="5"/>
  <c r="N412" i="5"/>
  <c r="N413" i="5"/>
  <c r="N414" i="5"/>
  <c r="N415" i="5"/>
  <c r="N416" i="5"/>
  <c r="I402" i="5"/>
  <c r="J402" i="5" s="1"/>
  <c r="N402" i="5" s="1"/>
  <c r="I403" i="5"/>
  <c r="J403" i="5" s="1"/>
  <c r="N403" i="5" s="1"/>
  <c r="N410" i="5"/>
  <c r="N409" i="5"/>
  <c r="N401" i="5"/>
  <c r="N405" i="5"/>
  <c r="N408" i="5"/>
  <c r="N406" i="5"/>
  <c r="N407" i="5"/>
  <c r="M396" i="5"/>
  <c r="N396" i="5" s="1"/>
  <c r="I397" i="5"/>
  <c r="J397" i="5" s="1"/>
  <c r="I398" i="5"/>
  <c r="J398" i="5" s="1"/>
  <c r="M397" i="5"/>
  <c r="M394" i="5"/>
  <c r="M398" i="5"/>
  <c r="N395" i="5"/>
  <c r="G341" i="5"/>
  <c r="G358" i="5" s="1"/>
  <c r="I335" i="5"/>
  <c r="J335" i="5" s="1"/>
  <c r="I342" i="5"/>
  <c r="J342" i="5" s="1"/>
  <c r="N342" i="5" s="1"/>
  <c r="M335" i="5"/>
  <c r="N310" i="5"/>
  <c r="N308" i="5"/>
  <c r="N309" i="5"/>
  <c r="N311" i="5"/>
  <c r="N312" i="5"/>
  <c r="N315" i="5"/>
  <c r="N313" i="5"/>
  <c r="N314" i="5"/>
  <c r="N316" i="5"/>
  <c r="N317" i="5"/>
  <c r="N303" i="5"/>
  <c r="N305" i="5"/>
  <c r="N301" i="5"/>
  <c r="N302" i="5"/>
  <c r="N306" i="5"/>
  <c r="N304" i="5"/>
  <c r="M336" i="5"/>
  <c r="M299" i="5"/>
  <c r="M300" i="5"/>
  <c r="N294" i="5"/>
  <c r="M334" i="5"/>
  <c r="N297" i="5"/>
  <c r="M327" i="5"/>
  <c r="M330" i="5"/>
  <c r="M298" i="5"/>
  <c r="M329" i="5"/>
  <c r="M328" i="5"/>
  <c r="M295" i="5"/>
  <c r="N295" i="5" s="1"/>
  <c r="M307" i="5"/>
  <c r="M296" i="5"/>
  <c r="M326" i="5"/>
  <c r="L23" i="9"/>
  <c r="L11" i="9"/>
  <c r="L10" i="9"/>
  <c r="L22" i="9"/>
  <c r="L21" i="9"/>
  <c r="L20" i="9"/>
  <c r="L19" i="9"/>
  <c r="L18" i="9"/>
  <c r="M153" i="5"/>
  <c r="I153" i="5"/>
  <c r="J153" i="5" s="1"/>
  <c r="N509" i="5" l="1"/>
  <c r="N338" i="5"/>
  <c r="N551" i="5"/>
  <c r="G515" i="5"/>
  <c r="M506" i="5"/>
  <c r="I506" i="5"/>
  <c r="M550" i="5"/>
  <c r="G553" i="5"/>
  <c r="I550" i="5"/>
  <c r="I553" i="5" s="1"/>
  <c r="N355" i="5"/>
  <c r="I354" i="5"/>
  <c r="J354" i="5" s="1"/>
  <c r="M354" i="5"/>
  <c r="N352" i="5"/>
  <c r="N351" i="5"/>
  <c r="N353" i="5"/>
  <c r="N350" i="5"/>
  <c r="N398" i="5"/>
  <c r="N394" i="5"/>
  <c r="N397" i="5"/>
  <c r="M393" i="5"/>
  <c r="M346" i="5"/>
  <c r="I346" i="5"/>
  <c r="J346" i="5" s="1"/>
  <c r="N335" i="5"/>
  <c r="M341" i="5"/>
  <c r="I341" i="5"/>
  <c r="J341" i="5" s="1"/>
  <c r="N336" i="5"/>
  <c r="N300" i="5"/>
  <c r="N296" i="5"/>
  <c r="N334" i="5"/>
  <c r="N328" i="5"/>
  <c r="N299" i="5"/>
  <c r="M325" i="5"/>
  <c r="N298" i="5"/>
  <c r="N330" i="5"/>
  <c r="N327" i="5"/>
  <c r="N329" i="5"/>
  <c r="M293" i="5"/>
  <c r="N326" i="5"/>
  <c r="N307" i="5"/>
  <c r="N153" i="5"/>
  <c r="I515" i="5" l="1"/>
  <c r="J506" i="5"/>
  <c r="J515" i="5" s="1"/>
  <c r="M515" i="5"/>
  <c r="J550" i="5"/>
  <c r="N550" i="5" s="1"/>
  <c r="N354" i="5"/>
  <c r="N425" i="5"/>
  <c r="M475" i="5"/>
  <c r="I475" i="5"/>
  <c r="J475" i="5"/>
  <c r="N393" i="5"/>
  <c r="N346" i="5"/>
  <c r="N341" i="5"/>
  <c r="N325" i="5"/>
  <c r="N506" i="5" l="1"/>
  <c r="M553" i="5"/>
  <c r="J553" i="5"/>
  <c r="N293" i="5"/>
  <c r="B191" i="5"/>
  <c r="B189" i="5"/>
  <c r="M177" i="5"/>
  <c r="I177" i="5"/>
  <c r="J177" i="5" s="1"/>
  <c r="F166" i="5"/>
  <c r="B166" i="5"/>
  <c r="B148" i="5"/>
  <c r="B149" i="5"/>
  <c r="B150" i="5"/>
  <c r="B151" i="5"/>
  <c r="B152" i="5"/>
  <c r="C210" i="3"/>
  <c r="D210" i="3"/>
  <c r="F148" i="5" s="1"/>
  <c r="C211" i="3"/>
  <c r="C212" i="3"/>
  <c r="C213" i="3"/>
  <c r="C214" i="3"/>
  <c r="CX213" i="3"/>
  <c r="CW213" i="3"/>
  <c r="CV213" i="3"/>
  <c r="CU213" i="3"/>
  <c r="CT213" i="3"/>
  <c r="CS213" i="3"/>
  <c r="CR213" i="3"/>
  <c r="CQ213" i="3"/>
  <c r="CP213" i="3"/>
  <c r="CO213" i="3"/>
  <c r="CN213" i="3"/>
  <c r="CM213" i="3"/>
  <c r="CL213" i="3"/>
  <c r="CE213" i="3"/>
  <c r="CD213" i="3"/>
  <c r="CC213" i="3"/>
  <c r="CB213" i="3"/>
  <c r="CA213" i="3"/>
  <c r="BZ213" i="3"/>
  <c r="BY213" i="3"/>
  <c r="BX213" i="3"/>
  <c r="BW213" i="3"/>
  <c r="BV213" i="3"/>
  <c r="BU213" i="3"/>
  <c r="BT213" i="3"/>
  <c r="BS213" i="3"/>
  <c r="BR213" i="3"/>
  <c r="BQ213" i="3"/>
  <c r="BP213" i="3"/>
  <c r="BO213" i="3"/>
  <c r="BN213" i="3"/>
  <c r="BG213" i="3"/>
  <c r="BF213" i="3"/>
  <c r="BE213" i="3"/>
  <c r="BD213" i="3"/>
  <c r="BC213" i="3"/>
  <c r="BB213" i="3"/>
  <c r="BA213" i="3"/>
  <c r="AZ213" i="3"/>
  <c r="AY213" i="3"/>
  <c r="AX213" i="3"/>
  <c r="AW213" i="3"/>
  <c r="AV213" i="3"/>
  <c r="AU213" i="3"/>
  <c r="AT213" i="3"/>
  <c r="AS213" i="3"/>
  <c r="AR213" i="3"/>
  <c r="AQ213" i="3"/>
  <c r="AP213" i="3"/>
  <c r="AO213" i="3"/>
  <c r="AN213" i="3"/>
  <c r="AM213" i="3"/>
  <c r="AJ213" i="3"/>
  <c r="AI213" i="3"/>
  <c r="AH213" i="3"/>
  <c r="AG213" i="3"/>
  <c r="AF213" i="3"/>
  <c r="AE213" i="3"/>
  <c r="AD213" i="3"/>
  <c r="AC213" i="3"/>
  <c r="AB213" i="3"/>
  <c r="AL213" i="3"/>
  <c r="AK213" i="3"/>
  <c r="AA213" i="3"/>
  <c r="Z213" i="3"/>
  <c r="Y213" i="3"/>
  <c r="X213" i="3"/>
  <c r="W213" i="3"/>
  <c r="V213" i="3"/>
  <c r="U213" i="3"/>
  <c r="T213" i="3"/>
  <c r="S213" i="3"/>
  <c r="CX212" i="3"/>
  <c r="CW212" i="3"/>
  <c r="CV212" i="3"/>
  <c r="CU212" i="3"/>
  <c r="CT212" i="3"/>
  <c r="CS212" i="3"/>
  <c r="CR212" i="3"/>
  <c r="CQ212" i="3"/>
  <c r="CP212" i="3"/>
  <c r="CO212" i="3"/>
  <c r="CN212" i="3"/>
  <c r="CM212" i="3"/>
  <c r="CL212" i="3"/>
  <c r="CE212" i="3"/>
  <c r="CD212" i="3"/>
  <c r="CC212" i="3"/>
  <c r="CB212" i="3"/>
  <c r="CA212" i="3"/>
  <c r="BZ212" i="3"/>
  <c r="BY212" i="3"/>
  <c r="BX212" i="3"/>
  <c r="BW212" i="3"/>
  <c r="BV212" i="3"/>
  <c r="BU212" i="3"/>
  <c r="BT212" i="3"/>
  <c r="BS212" i="3"/>
  <c r="BR212" i="3"/>
  <c r="BQ212" i="3"/>
  <c r="BP212" i="3"/>
  <c r="BO212" i="3"/>
  <c r="BN212" i="3"/>
  <c r="BG212" i="3"/>
  <c r="BF212" i="3"/>
  <c r="BE212" i="3"/>
  <c r="BD212" i="3"/>
  <c r="BC212" i="3"/>
  <c r="BB212" i="3"/>
  <c r="BA212" i="3"/>
  <c r="AZ212" i="3"/>
  <c r="AY212" i="3"/>
  <c r="AX212" i="3"/>
  <c r="AW212" i="3"/>
  <c r="AV212" i="3"/>
  <c r="AU212" i="3"/>
  <c r="AT212" i="3"/>
  <c r="AS212" i="3"/>
  <c r="AR212" i="3"/>
  <c r="AQ212" i="3"/>
  <c r="AP212" i="3"/>
  <c r="AO212" i="3"/>
  <c r="AN212" i="3"/>
  <c r="AM212" i="3"/>
  <c r="AJ212" i="3"/>
  <c r="AI212" i="3"/>
  <c r="AH212" i="3"/>
  <c r="AG212" i="3"/>
  <c r="AF212" i="3"/>
  <c r="AE212" i="3"/>
  <c r="AD212" i="3"/>
  <c r="AC212" i="3"/>
  <c r="AB212" i="3"/>
  <c r="AL212" i="3"/>
  <c r="AK212" i="3"/>
  <c r="AA212" i="3"/>
  <c r="Z212" i="3"/>
  <c r="Y212" i="3"/>
  <c r="X212" i="3"/>
  <c r="W212" i="3"/>
  <c r="V212" i="3"/>
  <c r="U212" i="3"/>
  <c r="T212" i="3"/>
  <c r="S212" i="3"/>
  <c r="B32" i="5"/>
  <c r="F32" i="5"/>
  <c r="B33" i="5"/>
  <c r="F33" i="5"/>
  <c r="E85" i="3"/>
  <c r="E86" i="3"/>
  <c r="I337" i="5"/>
  <c r="I358" i="5" s="1"/>
  <c r="B133" i="5"/>
  <c r="B132" i="5"/>
  <c r="L136" i="5"/>
  <c r="B136" i="5"/>
  <c r="B127" i="5"/>
  <c r="B53" i="5"/>
  <c r="B54" i="5"/>
  <c r="B57" i="5"/>
  <c r="B55" i="5"/>
  <c r="B62" i="5"/>
  <c r="B68" i="5"/>
  <c r="CX193" i="3"/>
  <c r="CW193" i="3"/>
  <c r="CV193" i="3"/>
  <c r="CU193" i="3"/>
  <c r="CT193" i="3"/>
  <c r="CS193" i="3"/>
  <c r="CR193" i="3"/>
  <c r="CQ193" i="3"/>
  <c r="CP193" i="3"/>
  <c r="CO193" i="3"/>
  <c r="CN193" i="3"/>
  <c r="CM193" i="3"/>
  <c r="CL193" i="3"/>
  <c r="CK193" i="3"/>
  <c r="CJ193" i="3"/>
  <c r="CI193" i="3"/>
  <c r="CH193" i="3"/>
  <c r="CG193" i="3"/>
  <c r="CF193" i="3"/>
  <c r="CE193" i="3"/>
  <c r="CD193" i="3"/>
  <c r="CC193" i="3"/>
  <c r="CB193" i="3"/>
  <c r="CA193" i="3"/>
  <c r="BZ193" i="3"/>
  <c r="BY193" i="3"/>
  <c r="BX193" i="3"/>
  <c r="BW193" i="3"/>
  <c r="BV193" i="3"/>
  <c r="BU193" i="3"/>
  <c r="BT193" i="3"/>
  <c r="BS193" i="3"/>
  <c r="BR193" i="3"/>
  <c r="BQ193" i="3"/>
  <c r="BP193" i="3"/>
  <c r="BO193" i="3"/>
  <c r="BN193" i="3"/>
  <c r="BM193" i="3"/>
  <c r="BL193" i="3"/>
  <c r="BK193" i="3"/>
  <c r="BJ193" i="3"/>
  <c r="BI193" i="3"/>
  <c r="BH193" i="3"/>
  <c r="BG193" i="3"/>
  <c r="BF193" i="3"/>
  <c r="BE193" i="3"/>
  <c r="BD193" i="3"/>
  <c r="BC193" i="3"/>
  <c r="BB193" i="3"/>
  <c r="BA193" i="3"/>
  <c r="AZ193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AM193" i="3"/>
  <c r="AJ193" i="3"/>
  <c r="AI193" i="3"/>
  <c r="AH193" i="3"/>
  <c r="AG193" i="3"/>
  <c r="AF193" i="3"/>
  <c r="AE193" i="3"/>
  <c r="AD193" i="3"/>
  <c r="AC193" i="3"/>
  <c r="AB193" i="3"/>
  <c r="AL193" i="3"/>
  <c r="AK193" i="3"/>
  <c r="AA193" i="3"/>
  <c r="Z193" i="3"/>
  <c r="Y193" i="3"/>
  <c r="X193" i="3"/>
  <c r="W193" i="3"/>
  <c r="V193" i="3"/>
  <c r="U193" i="3"/>
  <c r="T193" i="3"/>
  <c r="S193" i="3"/>
  <c r="C193" i="3"/>
  <c r="B36" i="5"/>
  <c r="B37" i="5"/>
  <c r="B38" i="5"/>
  <c r="B39" i="5"/>
  <c r="B40" i="5"/>
  <c r="B41" i="5"/>
  <c r="B42" i="5"/>
  <c r="B35" i="5"/>
  <c r="B47" i="5"/>
  <c r="B31" i="5"/>
  <c r="B30" i="5"/>
  <c r="B18" i="5"/>
  <c r="B19" i="5"/>
  <c r="B20" i="5"/>
  <c r="F20" i="5"/>
  <c r="B21" i="5"/>
  <c r="B22" i="5"/>
  <c r="B23" i="5"/>
  <c r="B24" i="5"/>
  <c r="B25" i="5"/>
  <c r="B17" i="5"/>
  <c r="CX294" i="3"/>
  <c r="CX301" i="3"/>
  <c r="CX300" i="3"/>
  <c r="CX299" i="3"/>
  <c r="CX298" i="3"/>
  <c r="CX297" i="3"/>
  <c r="CX296" i="3"/>
  <c r="CX295" i="3"/>
  <c r="CX293" i="3"/>
  <c r="CX292" i="3"/>
  <c r="CX291" i="3"/>
  <c r="CX290" i="3"/>
  <c r="CX289" i="3"/>
  <c r="CX288" i="3"/>
  <c r="CX287" i="3"/>
  <c r="CX286" i="3"/>
  <c r="CX285" i="3"/>
  <c r="CX284" i="3"/>
  <c r="CX283" i="3"/>
  <c r="CX282" i="3"/>
  <c r="CX281" i="3"/>
  <c r="CX280" i="3"/>
  <c r="CX279" i="3"/>
  <c r="CX278" i="3"/>
  <c r="CX277" i="3"/>
  <c r="CX276" i="3"/>
  <c r="CX275" i="3"/>
  <c r="CX274" i="3"/>
  <c r="CX273" i="3"/>
  <c r="CX272" i="3"/>
  <c r="CX271" i="3"/>
  <c r="CX270" i="3"/>
  <c r="CX269" i="3"/>
  <c r="CX268" i="3"/>
  <c r="CX267" i="3"/>
  <c r="CX266" i="3"/>
  <c r="CX265" i="3"/>
  <c r="CX264" i="3"/>
  <c r="CX263" i="3"/>
  <c r="CX262" i="3"/>
  <c r="CX261" i="3"/>
  <c r="CX260" i="3"/>
  <c r="CX259" i="3"/>
  <c r="CX258" i="3"/>
  <c r="CX257" i="3"/>
  <c r="CX256" i="3"/>
  <c r="CX255" i="3"/>
  <c r="CX254" i="3"/>
  <c r="CX253" i="3"/>
  <c r="CX252" i="3"/>
  <c r="CX251" i="3"/>
  <c r="CX250" i="3"/>
  <c r="CX249" i="3"/>
  <c r="CX248" i="3"/>
  <c r="CX247" i="3"/>
  <c r="CX246" i="3"/>
  <c r="CX245" i="3"/>
  <c r="CX244" i="3"/>
  <c r="CX243" i="3"/>
  <c r="CX242" i="3"/>
  <c r="CX241" i="3"/>
  <c r="CX240" i="3"/>
  <c r="CX239" i="3"/>
  <c r="CX238" i="3"/>
  <c r="CX237" i="3"/>
  <c r="CX236" i="3"/>
  <c r="CX235" i="3"/>
  <c r="CX234" i="3"/>
  <c r="CX233" i="3"/>
  <c r="CX232" i="3"/>
  <c r="CX231" i="3"/>
  <c r="CX230" i="3"/>
  <c r="CX229" i="3"/>
  <c r="CX228" i="3"/>
  <c r="CX227" i="3"/>
  <c r="CX226" i="3"/>
  <c r="CX225" i="3"/>
  <c r="CX224" i="3"/>
  <c r="CX223" i="3"/>
  <c r="CX222" i="3"/>
  <c r="CX221" i="3"/>
  <c r="CX220" i="3"/>
  <c r="CX219" i="3"/>
  <c r="CX218" i="3"/>
  <c r="CX217" i="3"/>
  <c r="CX216" i="3"/>
  <c r="CX215" i="3"/>
  <c r="CX214" i="3"/>
  <c r="CX211" i="3"/>
  <c r="CX210" i="3"/>
  <c r="CX209" i="3"/>
  <c r="CX208" i="3"/>
  <c r="CX207" i="3"/>
  <c r="CX206" i="3"/>
  <c r="CX205" i="3"/>
  <c r="CX204" i="3"/>
  <c r="CX203" i="3"/>
  <c r="CX202" i="3"/>
  <c r="CX201" i="3"/>
  <c r="CX200" i="3"/>
  <c r="CX199" i="3"/>
  <c r="CX198" i="3"/>
  <c r="CX197" i="3"/>
  <c r="CX196" i="3"/>
  <c r="CX195" i="3"/>
  <c r="CX194" i="3"/>
  <c r="CX192" i="3"/>
  <c r="CX191" i="3"/>
  <c r="CX190" i="3"/>
  <c r="CX189" i="3"/>
  <c r="CX188" i="3"/>
  <c r="CX187" i="3"/>
  <c r="CX186" i="3"/>
  <c r="CX185" i="3"/>
  <c r="CX184" i="3"/>
  <c r="CX183" i="3"/>
  <c r="CX182" i="3"/>
  <c r="CX181" i="3"/>
  <c r="CX180" i="3"/>
  <c r="CX179" i="3"/>
  <c r="CX178" i="3"/>
  <c r="CX177" i="3"/>
  <c r="CX176" i="3"/>
  <c r="CX175" i="3"/>
  <c r="CX174" i="3"/>
  <c r="CX173" i="3"/>
  <c r="CX172" i="3"/>
  <c r="CX171" i="3"/>
  <c r="CX170" i="3"/>
  <c r="CX169" i="3"/>
  <c r="CX168" i="3"/>
  <c r="CX167" i="3"/>
  <c r="CX166" i="3"/>
  <c r="CX165" i="3"/>
  <c r="CX164" i="3"/>
  <c r="CX163" i="3"/>
  <c r="CX162" i="3"/>
  <c r="E84" i="3"/>
  <c r="F31" i="5" s="1"/>
  <c r="E83" i="3"/>
  <c r="F30" i="5" s="1"/>
  <c r="E40" i="3"/>
  <c r="D193" i="3" s="1"/>
  <c r="E80" i="3"/>
  <c r="F25" i="5" s="1"/>
  <c r="E79" i="3"/>
  <c r="F24" i="5" s="1"/>
  <c r="E78" i="3"/>
  <c r="F23" i="5" s="1"/>
  <c r="E77" i="3"/>
  <c r="F22" i="5" s="1"/>
  <c r="E76" i="3"/>
  <c r="F21" i="5" s="1"/>
  <c r="E75" i="3"/>
  <c r="E74" i="3"/>
  <c r="F19" i="5" s="1"/>
  <c r="E73" i="3"/>
  <c r="F18" i="5" s="1"/>
  <c r="E72" i="3"/>
  <c r="F17" i="5" s="1"/>
  <c r="B34" i="2"/>
  <c r="BJ293" i="3"/>
  <c r="BI292" i="3"/>
  <c r="AE289" i="3"/>
  <c r="X289" i="3"/>
  <c r="BS284" i="3"/>
  <c r="BR284" i="3"/>
  <c r="BQ284" i="3"/>
  <c r="BP284" i="3"/>
  <c r="BK284" i="3"/>
  <c r="BJ284" i="3"/>
  <c r="BI284" i="3"/>
  <c r="AL284" i="3"/>
  <c r="AL301" i="3"/>
  <c r="AL300" i="3"/>
  <c r="AL299" i="3"/>
  <c r="AL298" i="3"/>
  <c r="AL297" i="3"/>
  <c r="AL296" i="3"/>
  <c r="AL295" i="3"/>
  <c r="AL294" i="3"/>
  <c r="AL293" i="3"/>
  <c r="AL292" i="3"/>
  <c r="AL291" i="3"/>
  <c r="AL290" i="3"/>
  <c r="AL289" i="3"/>
  <c r="AL288" i="3"/>
  <c r="AL287" i="3"/>
  <c r="AL286" i="3"/>
  <c r="AL285" i="3"/>
  <c r="AL283" i="3"/>
  <c r="AL282" i="3"/>
  <c r="AL281" i="3"/>
  <c r="AK281" i="3"/>
  <c r="AL280" i="3"/>
  <c r="AK280" i="3"/>
  <c r="AL279" i="3"/>
  <c r="AK279" i="3"/>
  <c r="AL278" i="3"/>
  <c r="AK278" i="3"/>
  <c r="AL277" i="3"/>
  <c r="AK277" i="3"/>
  <c r="AL276" i="3"/>
  <c r="AK276" i="3"/>
  <c r="AL275" i="3"/>
  <c r="AK275" i="3"/>
  <c r="AL274" i="3"/>
  <c r="AK274" i="3"/>
  <c r="AL273" i="3"/>
  <c r="AK273" i="3"/>
  <c r="AL272" i="3"/>
  <c r="AK272" i="3"/>
  <c r="AL271" i="3"/>
  <c r="AK271" i="3"/>
  <c r="AL270" i="3"/>
  <c r="AK270" i="3"/>
  <c r="AL269" i="3"/>
  <c r="AK269" i="3"/>
  <c r="AL268" i="3"/>
  <c r="AK268" i="3"/>
  <c r="AL267" i="3"/>
  <c r="AK267" i="3"/>
  <c r="AL266" i="3"/>
  <c r="AK266" i="3"/>
  <c r="AL265" i="3"/>
  <c r="AK265" i="3"/>
  <c r="AL264" i="3"/>
  <c r="AK264" i="3"/>
  <c r="AL263" i="3"/>
  <c r="AK263" i="3"/>
  <c r="AL262" i="3"/>
  <c r="AK262" i="3"/>
  <c r="AL261" i="3"/>
  <c r="AK261" i="3"/>
  <c r="AL260" i="3"/>
  <c r="AK260" i="3"/>
  <c r="AL259" i="3"/>
  <c r="AK259" i="3"/>
  <c r="AL258" i="3"/>
  <c r="AK258" i="3"/>
  <c r="AL257" i="3"/>
  <c r="AK257" i="3"/>
  <c r="AL256" i="3"/>
  <c r="AK256" i="3"/>
  <c r="AL255" i="3"/>
  <c r="AK255" i="3"/>
  <c r="AL254" i="3"/>
  <c r="AK254" i="3"/>
  <c r="AL253" i="3"/>
  <c r="AK253" i="3"/>
  <c r="AL252" i="3"/>
  <c r="AK252" i="3"/>
  <c r="AL251" i="3"/>
  <c r="AK251" i="3"/>
  <c r="AL250" i="3"/>
  <c r="AK250" i="3"/>
  <c r="AL249" i="3"/>
  <c r="AK249" i="3"/>
  <c r="AL248" i="3"/>
  <c r="AK248" i="3"/>
  <c r="AL247" i="3"/>
  <c r="AK247" i="3"/>
  <c r="AL246" i="3"/>
  <c r="AK246" i="3"/>
  <c r="AL245" i="3"/>
  <c r="AK245" i="3"/>
  <c r="AL244" i="3"/>
  <c r="AK244" i="3"/>
  <c r="AL243" i="3"/>
  <c r="AK243" i="3"/>
  <c r="AL242" i="3"/>
  <c r="AK242" i="3"/>
  <c r="AL241" i="3"/>
  <c r="AK241" i="3"/>
  <c r="AL240" i="3"/>
  <c r="AK240" i="3"/>
  <c r="AL239" i="3"/>
  <c r="AK239" i="3"/>
  <c r="AL238" i="3"/>
  <c r="AK238" i="3"/>
  <c r="AL237" i="3"/>
  <c r="AK237" i="3"/>
  <c r="AL236" i="3"/>
  <c r="AK236" i="3"/>
  <c r="AL235" i="3"/>
  <c r="AK235" i="3"/>
  <c r="AL234" i="3"/>
  <c r="AK234" i="3"/>
  <c r="AL233" i="3"/>
  <c r="AK233" i="3"/>
  <c r="AL232" i="3"/>
  <c r="AK232" i="3"/>
  <c r="AL231" i="3"/>
  <c r="AK231" i="3"/>
  <c r="AL230" i="3"/>
  <c r="AK230" i="3"/>
  <c r="AL229" i="3"/>
  <c r="AK229" i="3"/>
  <c r="AL228" i="3"/>
  <c r="AK228" i="3"/>
  <c r="AL227" i="3"/>
  <c r="AK227" i="3"/>
  <c r="AL226" i="3"/>
  <c r="AK226" i="3"/>
  <c r="AL225" i="3"/>
  <c r="AK225" i="3"/>
  <c r="AL224" i="3"/>
  <c r="AK224" i="3"/>
  <c r="AL223" i="3"/>
  <c r="AK223" i="3"/>
  <c r="AL222" i="3"/>
  <c r="AK222" i="3"/>
  <c r="AL221" i="3"/>
  <c r="AK221" i="3"/>
  <c r="AL220" i="3"/>
  <c r="AK220" i="3"/>
  <c r="AL219" i="3"/>
  <c r="AK219" i="3"/>
  <c r="AL218" i="3"/>
  <c r="AK218" i="3"/>
  <c r="AL217" i="3"/>
  <c r="AK217" i="3"/>
  <c r="AL216" i="3"/>
  <c r="AK216" i="3"/>
  <c r="AL215" i="3"/>
  <c r="AK215" i="3"/>
  <c r="AL214" i="3"/>
  <c r="AK214" i="3"/>
  <c r="AL211" i="3"/>
  <c r="AK211" i="3"/>
  <c r="AL210" i="3"/>
  <c r="AK210" i="3"/>
  <c r="AL209" i="3"/>
  <c r="AK209" i="3"/>
  <c r="AL208" i="3"/>
  <c r="AK208" i="3"/>
  <c r="AL207" i="3"/>
  <c r="AK207" i="3"/>
  <c r="AL206" i="3"/>
  <c r="AK206" i="3"/>
  <c r="AL205" i="3"/>
  <c r="AK205" i="3"/>
  <c r="AL204" i="3"/>
  <c r="AK204" i="3"/>
  <c r="AL203" i="3"/>
  <c r="AK203" i="3"/>
  <c r="AL202" i="3"/>
  <c r="AK202" i="3"/>
  <c r="AL200" i="3"/>
  <c r="AK200" i="3"/>
  <c r="AL199" i="3"/>
  <c r="AK199" i="3"/>
  <c r="AL198" i="3"/>
  <c r="AK198" i="3"/>
  <c r="AL197" i="3"/>
  <c r="AK197" i="3"/>
  <c r="AL196" i="3"/>
  <c r="AK196" i="3"/>
  <c r="AL195" i="3"/>
  <c r="AK195" i="3"/>
  <c r="AL194" i="3"/>
  <c r="AK194" i="3"/>
  <c r="AL192" i="3"/>
  <c r="AK192" i="3"/>
  <c r="AL191" i="3"/>
  <c r="AK191" i="3"/>
  <c r="AL190" i="3"/>
  <c r="AK190" i="3"/>
  <c r="AL189" i="3"/>
  <c r="AK189" i="3"/>
  <c r="AL188" i="3"/>
  <c r="AK188" i="3"/>
  <c r="AL187" i="3"/>
  <c r="AK187" i="3"/>
  <c r="AL186" i="3"/>
  <c r="AK186" i="3"/>
  <c r="AL185" i="3"/>
  <c r="AK185" i="3"/>
  <c r="AK184" i="3"/>
  <c r="AL183" i="3"/>
  <c r="AK183" i="3"/>
  <c r="AL182" i="3"/>
  <c r="AK182" i="3"/>
  <c r="AL181" i="3"/>
  <c r="AK181" i="3"/>
  <c r="AL180" i="3"/>
  <c r="AK180" i="3"/>
  <c r="AL179" i="3"/>
  <c r="AK179" i="3"/>
  <c r="AL178" i="3"/>
  <c r="AK178" i="3"/>
  <c r="AL177" i="3"/>
  <c r="AK177" i="3"/>
  <c r="AL176" i="3"/>
  <c r="AK176" i="3"/>
  <c r="AL175" i="3"/>
  <c r="AK175" i="3"/>
  <c r="AL174" i="3"/>
  <c r="AK174" i="3"/>
  <c r="AL173" i="3"/>
  <c r="AK173" i="3"/>
  <c r="AL172" i="3"/>
  <c r="AK172" i="3"/>
  <c r="AL171" i="3"/>
  <c r="AK171" i="3"/>
  <c r="AL170" i="3"/>
  <c r="AK170" i="3"/>
  <c r="AL169" i="3"/>
  <c r="AK169" i="3"/>
  <c r="AL168" i="3"/>
  <c r="AK168" i="3"/>
  <c r="AL167" i="3"/>
  <c r="AK167" i="3"/>
  <c r="AL166" i="3"/>
  <c r="AK166" i="3"/>
  <c r="AL165" i="3"/>
  <c r="AK165" i="3"/>
  <c r="AL164" i="3"/>
  <c r="AK164" i="3"/>
  <c r="AL163" i="3"/>
  <c r="AK163" i="3"/>
  <c r="AL162" i="3"/>
  <c r="AK162" i="3"/>
  <c r="AO284" i="3"/>
  <c r="AN284" i="3"/>
  <c r="AC284" i="3"/>
  <c r="AE284" i="3"/>
  <c r="AD284" i="3"/>
  <c r="X284" i="3"/>
  <c r="W284" i="3"/>
  <c r="V284" i="3"/>
  <c r="U284" i="3"/>
  <c r="T284" i="3"/>
  <c r="C221" i="3"/>
  <c r="E105" i="3"/>
  <c r="F191" i="5" s="1"/>
  <c r="F195" i="5" s="1"/>
  <c r="E101" i="3"/>
  <c r="F183" i="5" s="1"/>
  <c r="E97" i="3"/>
  <c r="CW192" i="3"/>
  <c r="CV192" i="3"/>
  <c r="CU192" i="3"/>
  <c r="CT192" i="3"/>
  <c r="CS192" i="3"/>
  <c r="CR192" i="3"/>
  <c r="CQ192" i="3"/>
  <c r="CP192" i="3"/>
  <c r="CO192" i="3"/>
  <c r="CN192" i="3"/>
  <c r="CM192" i="3"/>
  <c r="CL192" i="3"/>
  <c r="CK192" i="3"/>
  <c r="CJ192" i="3"/>
  <c r="CI192" i="3"/>
  <c r="CH192" i="3"/>
  <c r="CG192" i="3"/>
  <c r="CF192" i="3"/>
  <c r="CE192" i="3"/>
  <c r="CD192" i="3"/>
  <c r="CC192" i="3"/>
  <c r="CB192" i="3"/>
  <c r="CA192" i="3"/>
  <c r="BZ192" i="3"/>
  <c r="BY192" i="3"/>
  <c r="BX192" i="3"/>
  <c r="BW192" i="3"/>
  <c r="BV192" i="3"/>
  <c r="BU192" i="3"/>
  <c r="BT192" i="3"/>
  <c r="BS192" i="3"/>
  <c r="BR192" i="3"/>
  <c r="BQ192" i="3"/>
  <c r="BP192" i="3"/>
  <c r="BO192" i="3"/>
  <c r="BN192" i="3"/>
  <c r="BM192" i="3"/>
  <c r="BL192" i="3"/>
  <c r="BK192" i="3"/>
  <c r="BJ192" i="3"/>
  <c r="BI192" i="3"/>
  <c r="BH192" i="3"/>
  <c r="BG192" i="3"/>
  <c r="BF192" i="3"/>
  <c r="BE192" i="3"/>
  <c r="BD192" i="3"/>
  <c r="BC192" i="3"/>
  <c r="BB192" i="3"/>
  <c r="BA192" i="3"/>
  <c r="AZ192" i="3"/>
  <c r="AY192" i="3"/>
  <c r="AX192" i="3"/>
  <c r="AW192" i="3"/>
  <c r="AV192" i="3"/>
  <c r="AU192" i="3"/>
  <c r="AT192" i="3"/>
  <c r="AS192" i="3"/>
  <c r="AR192" i="3"/>
  <c r="AQ192" i="3"/>
  <c r="AP192" i="3"/>
  <c r="AO192" i="3"/>
  <c r="AN192" i="3"/>
  <c r="AM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C192" i="3"/>
  <c r="CW191" i="3"/>
  <c r="CV191" i="3"/>
  <c r="CU191" i="3"/>
  <c r="CT191" i="3"/>
  <c r="CS191" i="3"/>
  <c r="CR191" i="3"/>
  <c r="CQ191" i="3"/>
  <c r="CP191" i="3"/>
  <c r="CO191" i="3"/>
  <c r="CN191" i="3"/>
  <c r="CM191" i="3"/>
  <c r="CL191" i="3"/>
  <c r="CK191" i="3"/>
  <c r="CJ191" i="3"/>
  <c r="CI191" i="3"/>
  <c r="CH191" i="3"/>
  <c r="CG191" i="3"/>
  <c r="CF191" i="3"/>
  <c r="CE191" i="3"/>
  <c r="CD191" i="3"/>
  <c r="CC191" i="3"/>
  <c r="CB191" i="3"/>
  <c r="CA191" i="3"/>
  <c r="BZ191" i="3"/>
  <c r="BY191" i="3"/>
  <c r="BX191" i="3"/>
  <c r="BW191" i="3"/>
  <c r="BV191" i="3"/>
  <c r="BU191" i="3"/>
  <c r="BT191" i="3"/>
  <c r="BS191" i="3"/>
  <c r="BR191" i="3"/>
  <c r="BQ191" i="3"/>
  <c r="BP191" i="3"/>
  <c r="BO191" i="3"/>
  <c r="BN191" i="3"/>
  <c r="BM191" i="3"/>
  <c r="BL191" i="3"/>
  <c r="BK191" i="3"/>
  <c r="BJ191" i="3"/>
  <c r="BI191" i="3"/>
  <c r="BH191" i="3"/>
  <c r="BG191" i="3"/>
  <c r="BF191" i="3"/>
  <c r="BE191" i="3"/>
  <c r="BD191" i="3"/>
  <c r="BC191" i="3"/>
  <c r="BB191" i="3"/>
  <c r="BA191" i="3"/>
  <c r="AZ191" i="3"/>
  <c r="AY191" i="3"/>
  <c r="AX191" i="3"/>
  <c r="AW191" i="3"/>
  <c r="AV191" i="3"/>
  <c r="AU191" i="3"/>
  <c r="AT191" i="3"/>
  <c r="AS191" i="3"/>
  <c r="AR191" i="3"/>
  <c r="AQ191" i="3"/>
  <c r="AP191" i="3"/>
  <c r="AO191" i="3"/>
  <c r="AN191" i="3"/>
  <c r="AM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C191" i="3"/>
  <c r="CW190" i="3"/>
  <c r="CV190" i="3"/>
  <c r="CU190" i="3"/>
  <c r="CT190" i="3"/>
  <c r="CS190" i="3"/>
  <c r="CR190" i="3"/>
  <c r="CQ190" i="3"/>
  <c r="CP190" i="3"/>
  <c r="CO190" i="3"/>
  <c r="CN190" i="3"/>
  <c r="CM190" i="3"/>
  <c r="CL190" i="3"/>
  <c r="CK190" i="3"/>
  <c r="CJ190" i="3"/>
  <c r="CI190" i="3"/>
  <c r="CH190" i="3"/>
  <c r="CG190" i="3"/>
  <c r="CF190" i="3"/>
  <c r="CE190" i="3"/>
  <c r="CD190" i="3"/>
  <c r="CC190" i="3"/>
  <c r="CB190" i="3"/>
  <c r="CA190" i="3"/>
  <c r="BZ190" i="3"/>
  <c r="BY190" i="3"/>
  <c r="BX190" i="3"/>
  <c r="BW190" i="3"/>
  <c r="BV190" i="3"/>
  <c r="BU190" i="3"/>
  <c r="BT190" i="3"/>
  <c r="BS190" i="3"/>
  <c r="BR190" i="3"/>
  <c r="BQ190" i="3"/>
  <c r="BP190" i="3"/>
  <c r="BO190" i="3"/>
  <c r="BN190" i="3"/>
  <c r="BM190" i="3"/>
  <c r="BL190" i="3"/>
  <c r="BK190" i="3"/>
  <c r="BJ190" i="3"/>
  <c r="BI190" i="3"/>
  <c r="BH190" i="3"/>
  <c r="BG190" i="3"/>
  <c r="BF190" i="3"/>
  <c r="BE190" i="3"/>
  <c r="BD190" i="3"/>
  <c r="BC190" i="3"/>
  <c r="BB190" i="3"/>
  <c r="BA190" i="3"/>
  <c r="AZ190" i="3"/>
  <c r="AY190" i="3"/>
  <c r="AX190" i="3"/>
  <c r="AW190" i="3"/>
  <c r="AV190" i="3"/>
  <c r="AU190" i="3"/>
  <c r="AT190" i="3"/>
  <c r="AS190" i="3"/>
  <c r="AR190" i="3"/>
  <c r="AQ190" i="3"/>
  <c r="AP190" i="3"/>
  <c r="AO190" i="3"/>
  <c r="AN190" i="3"/>
  <c r="AM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C190" i="3"/>
  <c r="CW189" i="3"/>
  <c r="CV189" i="3"/>
  <c r="CU189" i="3"/>
  <c r="CT189" i="3"/>
  <c r="CS189" i="3"/>
  <c r="CR189" i="3"/>
  <c r="CQ189" i="3"/>
  <c r="CP189" i="3"/>
  <c r="CO189" i="3"/>
  <c r="CN189" i="3"/>
  <c r="CM189" i="3"/>
  <c r="CL189" i="3"/>
  <c r="CK189" i="3"/>
  <c r="CJ189" i="3"/>
  <c r="CI189" i="3"/>
  <c r="CH189" i="3"/>
  <c r="CG189" i="3"/>
  <c r="CF189" i="3"/>
  <c r="CE189" i="3"/>
  <c r="CD189" i="3"/>
  <c r="CC189" i="3"/>
  <c r="CB189" i="3"/>
  <c r="CA189" i="3"/>
  <c r="BZ189" i="3"/>
  <c r="BY189" i="3"/>
  <c r="BX189" i="3"/>
  <c r="BW189" i="3"/>
  <c r="BV189" i="3"/>
  <c r="BU189" i="3"/>
  <c r="BT189" i="3"/>
  <c r="BS189" i="3"/>
  <c r="BR189" i="3"/>
  <c r="BQ189" i="3"/>
  <c r="BP189" i="3"/>
  <c r="BO189" i="3"/>
  <c r="BN189" i="3"/>
  <c r="BM189" i="3"/>
  <c r="BL189" i="3"/>
  <c r="BK189" i="3"/>
  <c r="BJ189" i="3"/>
  <c r="BI189" i="3"/>
  <c r="BH189" i="3"/>
  <c r="BG189" i="3"/>
  <c r="BF189" i="3"/>
  <c r="BE189" i="3"/>
  <c r="BD189" i="3"/>
  <c r="BC189" i="3"/>
  <c r="BB189" i="3"/>
  <c r="BA189" i="3"/>
  <c r="AZ189" i="3"/>
  <c r="AY189" i="3"/>
  <c r="AX189" i="3"/>
  <c r="AW189" i="3"/>
  <c r="AV189" i="3"/>
  <c r="AU189" i="3"/>
  <c r="AT189" i="3"/>
  <c r="AS189" i="3"/>
  <c r="AR189" i="3"/>
  <c r="AQ189" i="3"/>
  <c r="AP189" i="3"/>
  <c r="AO189" i="3"/>
  <c r="AN189" i="3"/>
  <c r="AM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C189" i="3"/>
  <c r="C185" i="3"/>
  <c r="B27" i="5" s="1"/>
  <c r="C186" i="3"/>
  <c r="C187" i="3"/>
  <c r="C188" i="3"/>
  <c r="C197" i="3"/>
  <c r="C198" i="3"/>
  <c r="C199" i="3"/>
  <c r="C200" i="3"/>
  <c r="C201" i="3"/>
  <c r="C202" i="3"/>
  <c r="CQ203" i="3"/>
  <c r="CP203" i="3"/>
  <c r="CO203" i="3"/>
  <c r="CN203" i="3"/>
  <c r="CM203" i="3"/>
  <c r="CL203" i="3"/>
  <c r="CK203" i="3"/>
  <c r="CJ203" i="3"/>
  <c r="CI203" i="3"/>
  <c r="CH203" i="3"/>
  <c r="CG203" i="3"/>
  <c r="CF203" i="3"/>
  <c r="CE203" i="3"/>
  <c r="CD203" i="3"/>
  <c r="CC203" i="3"/>
  <c r="CB203" i="3"/>
  <c r="CA203" i="3"/>
  <c r="BZ203" i="3"/>
  <c r="BY203" i="3"/>
  <c r="BX203" i="3"/>
  <c r="BW203" i="3"/>
  <c r="BV203" i="3"/>
  <c r="BU203" i="3"/>
  <c r="BT203" i="3"/>
  <c r="BS203" i="3"/>
  <c r="BR203" i="3"/>
  <c r="BQ203" i="3"/>
  <c r="BP203" i="3"/>
  <c r="BO203" i="3"/>
  <c r="BN203" i="3"/>
  <c r="BM203" i="3"/>
  <c r="BL203" i="3"/>
  <c r="BK203" i="3"/>
  <c r="BJ203" i="3"/>
  <c r="BI203" i="3"/>
  <c r="BH203" i="3"/>
  <c r="BG203" i="3"/>
  <c r="BF203" i="3"/>
  <c r="BE203" i="3"/>
  <c r="BD203" i="3"/>
  <c r="BC203" i="3"/>
  <c r="BB203" i="3"/>
  <c r="BA203" i="3"/>
  <c r="AZ203" i="3"/>
  <c r="AY203" i="3"/>
  <c r="AX203" i="3"/>
  <c r="AW203" i="3"/>
  <c r="AV203" i="3"/>
  <c r="AU203" i="3"/>
  <c r="AT203" i="3"/>
  <c r="AS203" i="3"/>
  <c r="AR203" i="3"/>
  <c r="AQ203" i="3"/>
  <c r="AP203" i="3"/>
  <c r="AO203" i="3"/>
  <c r="AN203" i="3"/>
  <c r="AM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D203" i="3"/>
  <c r="DC203" i="3" s="1"/>
  <c r="C203" i="3"/>
  <c r="CQ202" i="3"/>
  <c r="CP202" i="3"/>
  <c r="CN202" i="3"/>
  <c r="CM202" i="3"/>
  <c r="CL202" i="3"/>
  <c r="CK202" i="3"/>
  <c r="CJ202" i="3"/>
  <c r="CI202" i="3"/>
  <c r="CH202" i="3"/>
  <c r="CG202" i="3"/>
  <c r="CF202" i="3"/>
  <c r="CE202" i="3"/>
  <c r="CD202" i="3"/>
  <c r="CC202" i="3"/>
  <c r="CB202" i="3"/>
  <c r="CA202" i="3"/>
  <c r="BZ202" i="3"/>
  <c r="BY202" i="3"/>
  <c r="BX202" i="3"/>
  <c r="BW202" i="3"/>
  <c r="BV202" i="3"/>
  <c r="BU202" i="3"/>
  <c r="BT202" i="3"/>
  <c r="BS202" i="3"/>
  <c r="BR202" i="3"/>
  <c r="BQ202" i="3"/>
  <c r="BP202" i="3"/>
  <c r="BO202" i="3"/>
  <c r="BN202" i="3"/>
  <c r="BM202" i="3"/>
  <c r="BL202" i="3"/>
  <c r="BK202" i="3"/>
  <c r="BJ202" i="3"/>
  <c r="BI202" i="3"/>
  <c r="BH202" i="3"/>
  <c r="BG202" i="3"/>
  <c r="BF202" i="3"/>
  <c r="BE202" i="3"/>
  <c r="BD202" i="3"/>
  <c r="BC202" i="3"/>
  <c r="BB202" i="3"/>
  <c r="BA202" i="3"/>
  <c r="AZ202" i="3"/>
  <c r="AY202" i="3"/>
  <c r="AX202" i="3"/>
  <c r="AW202" i="3"/>
  <c r="AV202" i="3"/>
  <c r="AU202" i="3"/>
  <c r="AT202" i="3"/>
  <c r="AS202" i="3"/>
  <c r="AR202" i="3"/>
  <c r="AQ202" i="3"/>
  <c r="AP202" i="3"/>
  <c r="AO202" i="3"/>
  <c r="AN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CQ201" i="3"/>
  <c r="CP201" i="3"/>
  <c r="CO201" i="3"/>
  <c r="CN201" i="3"/>
  <c r="CM201" i="3"/>
  <c r="CK201" i="3"/>
  <c r="CJ201" i="3"/>
  <c r="CI201" i="3"/>
  <c r="CH201" i="3"/>
  <c r="CG201" i="3"/>
  <c r="CF201" i="3"/>
  <c r="CE201" i="3"/>
  <c r="CD201" i="3"/>
  <c r="CC201" i="3"/>
  <c r="CB201" i="3"/>
  <c r="CA201" i="3"/>
  <c r="BZ201" i="3"/>
  <c r="BY201" i="3"/>
  <c r="BX201" i="3"/>
  <c r="BW201" i="3"/>
  <c r="BV201" i="3"/>
  <c r="BU201" i="3"/>
  <c r="BT201" i="3"/>
  <c r="BS201" i="3"/>
  <c r="BR201" i="3"/>
  <c r="BQ201" i="3"/>
  <c r="BP201" i="3"/>
  <c r="BO201" i="3"/>
  <c r="BN201" i="3"/>
  <c r="BM201" i="3"/>
  <c r="BL201" i="3"/>
  <c r="BK201" i="3"/>
  <c r="BJ201" i="3"/>
  <c r="BI201" i="3"/>
  <c r="BH201" i="3"/>
  <c r="BG201" i="3"/>
  <c r="BF201" i="3"/>
  <c r="BE201" i="3"/>
  <c r="BD201" i="3"/>
  <c r="BC201" i="3"/>
  <c r="BB201" i="3"/>
  <c r="BA201" i="3"/>
  <c r="AZ201" i="3"/>
  <c r="AY201" i="3"/>
  <c r="AX201" i="3"/>
  <c r="AW201" i="3"/>
  <c r="AV201" i="3"/>
  <c r="AU201" i="3"/>
  <c r="AT201" i="3"/>
  <c r="AS201" i="3"/>
  <c r="AR201" i="3"/>
  <c r="AQ201" i="3"/>
  <c r="AP201" i="3"/>
  <c r="AO201" i="3"/>
  <c r="AN201" i="3"/>
  <c r="AM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CQ200" i="3"/>
  <c r="CP200" i="3"/>
  <c r="CO200" i="3"/>
  <c r="CM200" i="3"/>
  <c r="CL200" i="3"/>
  <c r="CK200" i="3"/>
  <c r="CJ200" i="3"/>
  <c r="CI200" i="3"/>
  <c r="CH200" i="3"/>
  <c r="CG200" i="3"/>
  <c r="CF200" i="3"/>
  <c r="CE200" i="3"/>
  <c r="CD200" i="3"/>
  <c r="CC200" i="3"/>
  <c r="CB200" i="3"/>
  <c r="CA200" i="3"/>
  <c r="BZ200" i="3"/>
  <c r="BY200" i="3"/>
  <c r="BX200" i="3"/>
  <c r="BW200" i="3"/>
  <c r="BV200" i="3"/>
  <c r="BU200" i="3"/>
  <c r="BT200" i="3"/>
  <c r="BS200" i="3"/>
  <c r="BR200" i="3"/>
  <c r="BQ200" i="3"/>
  <c r="BP200" i="3"/>
  <c r="BO200" i="3"/>
  <c r="BN200" i="3"/>
  <c r="BM200" i="3"/>
  <c r="BL200" i="3"/>
  <c r="BK200" i="3"/>
  <c r="BJ200" i="3"/>
  <c r="BI200" i="3"/>
  <c r="BH200" i="3"/>
  <c r="BG200" i="3"/>
  <c r="BF200" i="3"/>
  <c r="BE200" i="3"/>
  <c r="BD200" i="3"/>
  <c r="BC200" i="3"/>
  <c r="BB200" i="3"/>
  <c r="BA200" i="3"/>
  <c r="AZ200" i="3"/>
  <c r="AY200" i="3"/>
  <c r="AX200" i="3"/>
  <c r="AW200" i="3"/>
  <c r="AV200" i="3"/>
  <c r="AU200" i="3"/>
  <c r="AT200" i="3"/>
  <c r="AS200" i="3"/>
  <c r="AR200" i="3"/>
  <c r="AQ200" i="3"/>
  <c r="AP200" i="3"/>
  <c r="AO200" i="3"/>
  <c r="AN200" i="3"/>
  <c r="AM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CQ199" i="3"/>
  <c r="CP199" i="3"/>
  <c r="CO199" i="3"/>
  <c r="CN199" i="3"/>
  <c r="CL199" i="3"/>
  <c r="CK199" i="3"/>
  <c r="CJ199" i="3"/>
  <c r="CI199" i="3"/>
  <c r="CH199" i="3"/>
  <c r="CG199" i="3"/>
  <c r="CF199" i="3"/>
  <c r="CE199" i="3"/>
  <c r="CD199" i="3"/>
  <c r="CC199" i="3"/>
  <c r="CB199" i="3"/>
  <c r="CA199" i="3"/>
  <c r="BZ199" i="3"/>
  <c r="BY199" i="3"/>
  <c r="BX199" i="3"/>
  <c r="BW199" i="3"/>
  <c r="BV199" i="3"/>
  <c r="BU199" i="3"/>
  <c r="BT199" i="3"/>
  <c r="BS199" i="3"/>
  <c r="BR199" i="3"/>
  <c r="BQ199" i="3"/>
  <c r="BP199" i="3"/>
  <c r="BO199" i="3"/>
  <c r="BN199" i="3"/>
  <c r="BM199" i="3"/>
  <c r="BL199" i="3"/>
  <c r="BK199" i="3"/>
  <c r="BJ199" i="3"/>
  <c r="BI199" i="3"/>
  <c r="BH199" i="3"/>
  <c r="BG199" i="3"/>
  <c r="BF199" i="3"/>
  <c r="BE199" i="3"/>
  <c r="BD199" i="3"/>
  <c r="BC199" i="3"/>
  <c r="BB199" i="3"/>
  <c r="BA199" i="3"/>
  <c r="AZ199" i="3"/>
  <c r="AY199" i="3"/>
  <c r="AX199" i="3"/>
  <c r="AW199" i="3"/>
  <c r="AV199" i="3"/>
  <c r="AU199" i="3"/>
  <c r="AT199" i="3"/>
  <c r="AS199" i="3"/>
  <c r="AR199" i="3"/>
  <c r="AQ199" i="3"/>
  <c r="AP199" i="3"/>
  <c r="AO199" i="3"/>
  <c r="AM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CQ198" i="3"/>
  <c r="CP198" i="3"/>
  <c r="CO198" i="3"/>
  <c r="CM198" i="3"/>
  <c r="CL198" i="3"/>
  <c r="CK198" i="3"/>
  <c r="CJ198" i="3"/>
  <c r="CI198" i="3"/>
  <c r="CH198" i="3"/>
  <c r="CG198" i="3"/>
  <c r="CF198" i="3"/>
  <c r="CE198" i="3"/>
  <c r="CD198" i="3"/>
  <c r="CC198" i="3"/>
  <c r="CB198" i="3"/>
  <c r="CA198" i="3"/>
  <c r="BZ198" i="3"/>
  <c r="BY198" i="3"/>
  <c r="BX198" i="3"/>
  <c r="BW198" i="3"/>
  <c r="BV198" i="3"/>
  <c r="BU198" i="3"/>
  <c r="BT198" i="3"/>
  <c r="BS198" i="3"/>
  <c r="BR198" i="3"/>
  <c r="BQ198" i="3"/>
  <c r="BP198" i="3"/>
  <c r="BO198" i="3"/>
  <c r="BN198" i="3"/>
  <c r="BM198" i="3"/>
  <c r="BL198" i="3"/>
  <c r="BK198" i="3"/>
  <c r="BJ198" i="3"/>
  <c r="BI198" i="3"/>
  <c r="BH198" i="3"/>
  <c r="BG198" i="3"/>
  <c r="BF198" i="3"/>
  <c r="BE198" i="3"/>
  <c r="BD198" i="3"/>
  <c r="BC198" i="3"/>
  <c r="BB198" i="3"/>
  <c r="BA198" i="3"/>
  <c r="AZ198" i="3"/>
  <c r="AY198" i="3"/>
  <c r="AX198" i="3"/>
  <c r="AW198" i="3"/>
  <c r="AV198" i="3"/>
  <c r="AU198" i="3"/>
  <c r="AT198" i="3"/>
  <c r="AS198" i="3"/>
  <c r="AR198" i="3"/>
  <c r="AQ198" i="3"/>
  <c r="AP198" i="3"/>
  <c r="AO198" i="3"/>
  <c r="AN198" i="3"/>
  <c r="AM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CQ197" i="3"/>
  <c r="CP197" i="3"/>
  <c r="CO197" i="3"/>
  <c r="CN197" i="3"/>
  <c r="CM197" i="3"/>
  <c r="CK197" i="3"/>
  <c r="CJ197" i="3"/>
  <c r="CI197" i="3"/>
  <c r="CH197" i="3"/>
  <c r="CG197" i="3"/>
  <c r="CF197" i="3"/>
  <c r="CE197" i="3"/>
  <c r="CD197" i="3"/>
  <c r="CC197" i="3"/>
  <c r="CB197" i="3"/>
  <c r="CA197" i="3"/>
  <c r="BZ197" i="3"/>
  <c r="BY197" i="3"/>
  <c r="BX197" i="3"/>
  <c r="BW197" i="3"/>
  <c r="BV197" i="3"/>
  <c r="BU197" i="3"/>
  <c r="BT197" i="3"/>
  <c r="BS197" i="3"/>
  <c r="BR197" i="3"/>
  <c r="BQ197" i="3"/>
  <c r="BP197" i="3"/>
  <c r="BO197" i="3"/>
  <c r="BN197" i="3"/>
  <c r="BM197" i="3"/>
  <c r="BL197" i="3"/>
  <c r="BK197" i="3"/>
  <c r="BJ197" i="3"/>
  <c r="BI197" i="3"/>
  <c r="BH197" i="3"/>
  <c r="BG197" i="3"/>
  <c r="BF197" i="3"/>
  <c r="BE197" i="3"/>
  <c r="BD197" i="3"/>
  <c r="BC197" i="3"/>
  <c r="BB197" i="3"/>
  <c r="BA197" i="3"/>
  <c r="AZ197" i="3"/>
  <c r="AY197" i="3"/>
  <c r="AX197" i="3"/>
  <c r="AW197" i="3"/>
  <c r="AV197" i="3"/>
  <c r="AU197" i="3"/>
  <c r="AT197" i="3"/>
  <c r="AS197" i="3"/>
  <c r="AR197" i="3"/>
  <c r="AQ197" i="3"/>
  <c r="AP197" i="3"/>
  <c r="AO197" i="3"/>
  <c r="AN197" i="3"/>
  <c r="AM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C180" i="3"/>
  <c r="C181" i="3"/>
  <c r="C163" i="3"/>
  <c r="C164" i="3"/>
  <c r="C165" i="3"/>
  <c r="C166" i="3"/>
  <c r="B99" i="5" s="1"/>
  <c r="C167" i="3"/>
  <c r="B100" i="5" s="1"/>
  <c r="C168" i="3"/>
  <c r="B101" i="5" s="1"/>
  <c r="C169" i="3"/>
  <c r="C170" i="3"/>
  <c r="C171" i="3"/>
  <c r="B113" i="5" s="1"/>
  <c r="C172" i="3"/>
  <c r="B114" i="5" s="1"/>
  <c r="C173" i="3"/>
  <c r="C174" i="3"/>
  <c r="C175" i="3"/>
  <c r="C176" i="3"/>
  <c r="B126" i="5" s="1"/>
  <c r="C177" i="3"/>
  <c r="C178" i="3"/>
  <c r="B130" i="5" s="1"/>
  <c r="C179" i="3"/>
  <c r="CW181" i="3"/>
  <c r="CV181" i="3"/>
  <c r="CU181" i="3"/>
  <c r="CT181" i="3"/>
  <c r="CS181" i="3"/>
  <c r="CR181" i="3"/>
  <c r="CQ181" i="3"/>
  <c r="CP181" i="3"/>
  <c r="CO181" i="3"/>
  <c r="CN181" i="3"/>
  <c r="CM181" i="3"/>
  <c r="CL181" i="3"/>
  <c r="CK181" i="3"/>
  <c r="CJ181" i="3"/>
  <c r="CI181" i="3"/>
  <c r="CH181" i="3"/>
  <c r="CG181" i="3"/>
  <c r="CF181" i="3"/>
  <c r="CE181" i="3"/>
  <c r="CD181" i="3"/>
  <c r="CC181" i="3"/>
  <c r="CB181" i="3"/>
  <c r="CA181" i="3"/>
  <c r="BZ181" i="3"/>
  <c r="BY181" i="3"/>
  <c r="BX181" i="3"/>
  <c r="BW181" i="3"/>
  <c r="BV181" i="3"/>
  <c r="BU181" i="3"/>
  <c r="BT181" i="3"/>
  <c r="BS181" i="3"/>
  <c r="BR181" i="3"/>
  <c r="BQ181" i="3"/>
  <c r="BP181" i="3"/>
  <c r="BO181" i="3"/>
  <c r="BN181" i="3"/>
  <c r="BM181" i="3"/>
  <c r="BL181" i="3"/>
  <c r="BK181" i="3"/>
  <c r="BJ181" i="3"/>
  <c r="BI181" i="3"/>
  <c r="BH181" i="3"/>
  <c r="BG181" i="3"/>
  <c r="BF181" i="3"/>
  <c r="BE181" i="3"/>
  <c r="BD181" i="3"/>
  <c r="BC181" i="3"/>
  <c r="BB181" i="3"/>
  <c r="BA181" i="3"/>
  <c r="AZ181" i="3"/>
  <c r="AY181" i="3"/>
  <c r="AX181" i="3"/>
  <c r="AW181" i="3"/>
  <c r="AV181" i="3"/>
  <c r="AU181" i="3"/>
  <c r="AT181" i="3"/>
  <c r="AS181" i="3"/>
  <c r="AR181" i="3"/>
  <c r="AQ181" i="3"/>
  <c r="AP181" i="3"/>
  <c r="AO181" i="3"/>
  <c r="AN181" i="3"/>
  <c r="AM181" i="3"/>
  <c r="AJ181" i="3"/>
  <c r="AI181" i="3"/>
  <c r="AH181" i="3"/>
  <c r="AG181" i="3"/>
  <c r="AF181" i="3"/>
  <c r="AE181" i="3"/>
  <c r="AD181" i="3"/>
  <c r="AC181" i="3"/>
  <c r="AA181" i="3"/>
  <c r="Z181" i="3"/>
  <c r="Y181" i="3"/>
  <c r="X181" i="3"/>
  <c r="W181" i="3"/>
  <c r="V181" i="3"/>
  <c r="U181" i="3"/>
  <c r="T181" i="3"/>
  <c r="CW180" i="3"/>
  <c r="CV180" i="3"/>
  <c r="CU180" i="3"/>
  <c r="CT180" i="3"/>
  <c r="CS180" i="3"/>
  <c r="CR180" i="3"/>
  <c r="CQ180" i="3"/>
  <c r="CP180" i="3"/>
  <c r="CO180" i="3"/>
  <c r="CN180" i="3"/>
  <c r="CM180" i="3"/>
  <c r="CL180" i="3"/>
  <c r="CK180" i="3"/>
  <c r="CJ180" i="3"/>
  <c r="CI180" i="3"/>
  <c r="CH180" i="3"/>
  <c r="CG180" i="3"/>
  <c r="CF180" i="3"/>
  <c r="CE180" i="3"/>
  <c r="CD180" i="3"/>
  <c r="CC180" i="3"/>
  <c r="CB180" i="3"/>
  <c r="CA180" i="3"/>
  <c r="BZ180" i="3"/>
  <c r="BY180" i="3"/>
  <c r="BX180" i="3"/>
  <c r="BW180" i="3"/>
  <c r="BV180" i="3"/>
  <c r="BU180" i="3"/>
  <c r="BT180" i="3"/>
  <c r="BS180" i="3"/>
  <c r="BR180" i="3"/>
  <c r="BQ180" i="3"/>
  <c r="BP180" i="3"/>
  <c r="BO180" i="3"/>
  <c r="BN180" i="3"/>
  <c r="BM180" i="3"/>
  <c r="BL180" i="3"/>
  <c r="BK180" i="3"/>
  <c r="BJ180" i="3"/>
  <c r="BI180" i="3"/>
  <c r="BH180" i="3"/>
  <c r="BG180" i="3"/>
  <c r="BF180" i="3"/>
  <c r="BE180" i="3"/>
  <c r="BD180" i="3"/>
  <c r="BC180" i="3"/>
  <c r="BB180" i="3"/>
  <c r="BA180" i="3"/>
  <c r="AZ180" i="3"/>
  <c r="AY180" i="3"/>
  <c r="AX180" i="3"/>
  <c r="AW180" i="3"/>
  <c r="AV180" i="3"/>
  <c r="AU180" i="3"/>
  <c r="AT180" i="3"/>
  <c r="AS180" i="3"/>
  <c r="AR180" i="3"/>
  <c r="AQ180" i="3"/>
  <c r="AP180" i="3"/>
  <c r="AO180" i="3"/>
  <c r="AN180" i="3"/>
  <c r="AM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CW179" i="3"/>
  <c r="CV179" i="3"/>
  <c r="CU179" i="3"/>
  <c r="CT179" i="3"/>
  <c r="CS179" i="3"/>
  <c r="CR179" i="3"/>
  <c r="CQ179" i="3"/>
  <c r="CP179" i="3"/>
  <c r="CO179" i="3"/>
  <c r="CN179" i="3"/>
  <c r="CM179" i="3"/>
  <c r="CL179" i="3"/>
  <c r="CK179" i="3"/>
  <c r="CJ179" i="3"/>
  <c r="CI179" i="3"/>
  <c r="CH179" i="3"/>
  <c r="CG179" i="3"/>
  <c r="CF179" i="3"/>
  <c r="CE179" i="3"/>
  <c r="CD179" i="3"/>
  <c r="CC179" i="3"/>
  <c r="CB179" i="3"/>
  <c r="CA179" i="3"/>
  <c r="BZ179" i="3"/>
  <c r="BY179" i="3"/>
  <c r="BX179" i="3"/>
  <c r="BW179" i="3"/>
  <c r="BV179" i="3"/>
  <c r="BU179" i="3"/>
  <c r="BT179" i="3"/>
  <c r="BS179" i="3"/>
  <c r="BR179" i="3"/>
  <c r="BQ179" i="3"/>
  <c r="BP179" i="3"/>
  <c r="BO179" i="3"/>
  <c r="BN179" i="3"/>
  <c r="BM179" i="3"/>
  <c r="BL179" i="3"/>
  <c r="BK179" i="3"/>
  <c r="BJ179" i="3"/>
  <c r="BI179" i="3"/>
  <c r="BH179" i="3"/>
  <c r="BG179" i="3"/>
  <c r="BF179" i="3"/>
  <c r="BE179" i="3"/>
  <c r="BD179" i="3"/>
  <c r="BC179" i="3"/>
  <c r="BB179" i="3"/>
  <c r="BA179" i="3"/>
  <c r="AZ179" i="3"/>
  <c r="AY179" i="3"/>
  <c r="AX179" i="3"/>
  <c r="AW179" i="3"/>
  <c r="AV179" i="3"/>
  <c r="AU179" i="3"/>
  <c r="AT179" i="3"/>
  <c r="AS179" i="3"/>
  <c r="AR179" i="3"/>
  <c r="AQ179" i="3"/>
  <c r="AP179" i="3"/>
  <c r="AO179" i="3"/>
  <c r="AN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CW178" i="3"/>
  <c r="CU178" i="3"/>
  <c r="CT178" i="3"/>
  <c r="CS178" i="3"/>
  <c r="CR178" i="3"/>
  <c r="CQ178" i="3"/>
  <c r="CP178" i="3"/>
  <c r="CO178" i="3"/>
  <c r="CN178" i="3"/>
  <c r="CM178" i="3"/>
  <c r="CL178" i="3"/>
  <c r="CK178" i="3"/>
  <c r="CJ178" i="3"/>
  <c r="CI178" i="3"/>
  <c r="CH178" i="3"/>
  <c r="CG178" i="3"/>
  <c r="CF178" i="3"/>
  <c r="CE178" i="3"/>
  <c r="CD178" i="3"/>
  <c r="CC178" i="3"/>
  <c r="CB178" i="3"/>
  <c r="CA178" i="3"/>
  <c r="BZ178" i="3"/>
  <c r="BY178" i="3"/>
  <c r="BX178" i="3"/>
  <c r="BW178" i="3"/>
  <c r="BV178" i="3"/>
  <c r="BU178" i="3"/>
  <c r="BT178" i="3"/>
  <c r="BS178" i="3"/>
  <c r="BR178" i="3"/>
  <c r="BQ178" i="3"/>
  <c r="BP178" i="3"/>
  <c r="BO178" i="3"/>
  <c r="BN178" i="3"/>
  <c r="BM178" i="3"/>
  <c r="BL178" i="3"/>
  <c r="BK178" i="3"/>
  <c r="BJ178" i="3"/>
  <c r="BI178" i="3"/>
  <c r="BH178" i="3"/>
  <c r="BG178" i="3"/>
  <c r="BF178" i="3"/>
  <c r="BE178" i="3"/>
  <c r="BD178" i="3"/>
  <c r="BC178" i="3"/>
  <c r="BB178" i="3"/>
  <c r="BA178" i="3"/>
  <c r="AZ178" i="3"/>
  <c r="AY178" i="3"/>
  <c r="AX178" i="3"/>
  <c r="AW178" i="3"/>
  <c r="AV178" i="3"/>
  <c r="AU178" i="3"/>
  <c r="AT178" i="3"/>
  <c r="AS178" i="3"/>
  <c r="AR178" i="3"/>
  <c r="AQ178" i="3"/>
  <c r="AP178" i="3"/>
  <c r="AO178" i="3"/>
  <c r="AN178" i="3"/>
  <c r="AM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CW177" i="3"/>
  <c r="CV177" i="3"/>
  <c r="CU177" i="3"/>
  <c r="CT177" i="3"/>
  <c r="CS177" i="3"/>
  <c r="CR177" i="3"/>
  <c r="CQ177" i="3"/>
  <c r="CP177" i="3"/>
  <c r="CO177" i="3"/>
  <c r="CN177" i="3"/>
  <c r="CM177" i="3"/>
  <c r="CL177" i="3"/>
  <c r="CK177" i="3"/>
  <c r="CJ177" i="3"/>
  <c r="CI177" i="3"/>
  <c r="CH177" i="3"/>
  <c r="CG177" i="3"/>
  <c r="CF177" i="3"/>
  <c r="CE177" i="3"/>
  <c r="CD177" i="3"/>
  <c r="CC177" i="3"/>
  <c r="CB177" i="3"/>
  <c r="CA177" i="3"/>
  <c r="BZ177" i="3"/>
  <c r="BY177" i="3"/>
  <c r="BX177" i="3"/>
  <c r="BW177" i="3"/>
  <c r="BV177" i="3"/>
  <c r="BU177" i="3"/>
  <c r="BT177" i="3"/>
  <c r="BS177" i="3"/>
  <c r="BR177" i="3"/>
  <c r="BQ177" i="3"/>
  <c r="BP177" i="3"/>
  <c r="BO177" i="3"/>
  <c r="BN177" i="3"/>
  <c r="BM177" i="3"/>
  <c r="BL177" i="3"/>
  <c r="BK177" i="3"/>
  <c r="BJ177" i="3"/>
  <c r="BI177" i="3"/>
  <c r="BH177" i="3"/>
  <c r="BG177" i="3"/>
  <c r="BF177" i="3"/>
  <c r="BE177" i="3"/>
  <c r="BD177" i="3"/>
  <c r="BC177" i="3"/>
  <c r="BB177" i="3"/>
  <c r="BA177" i="3"/>
  <c r="AZ177" i="3"/>
  <c r="AY177" i="3"/>
  <c r="AX177" i="3"/>
  <c r="AW177" i="3"/>
  <c r="AV177" i="3"/>
  <c r="AU177" i="3"/>
  <c r="AT177" i="3"/>
  <c r="AS177" i="3"/>
  <c r="AR177" i="3"/>
  <c r="AQ177" i="3"/>
  <c r="AP177" i="3"/>
  <c r="AO177" i="3"/>
  <c r="AN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CW182" i="3"/>
  <c r="CV182" i="3"/>
  <c r="CU182" i="3"/>
  <c r="CT182" i="3"/>
  <c r="CS182" i="3"/>
  <c r="CR182" i="3"/>
  <c r="CQ182" i="3"/>
  <c r="CP182" i="3"/>
  <c r="CO182" i="3"/>
  <c r="CN182" i="3"/>
  <c r="CM182" i="3"/>
  <c r="CL182" i="3"/>
  <c r="CK182" i="3"/>
  <c r="CJ182" i="3"/>
  <c r="CI182" i="3"/>
  <c r="CH182" i="3"/>
  <c r="CG182" i="3"/>
  <c r="CF182" i="3"/>
  <c r="CE182" i="3"/>
  <c r="CD182" i="3"/>
  <c r="CC182" i="3"/>
  <c r="CB182" i="3"/>
  <c r="CA182" i="3"/>
  <c r="BZ182" i="3"/>
  <c r="BY182" i="3"/>
  <c r="BX182" i="3"/>
  <c r="BW182" i="3"/>
  <c r="BV182" i="3"/>
  <c r="BU182" i="3"/>
  <c r="BT182" i="3"/>
  <c r="BS182" i="3"/>
  <c r="BR182" i="3"/>
  <c r="BQ182" i="3"/>
  <c r="BP182" i="3"/>
  <c r="BO182" i="3"/>
  <c r="BN182" i="3"/>
  <c r="BM182" i="3"/>
  <c r="BL182" i="3"/>
  <c r="BK182" i="3"/>
  <c r="BJ182" i="3"/>
  <c r="BI182" i="3"/>
  <c r="BH182" i="3"/>
  <c r="BG182" i="3"/>
  <c r="BF182" i="3"/>
  <c r="BE182" i="3"/>
  <c r="BD182" i="3"/>
  <c r="BC182" i="3"/>
  <c r="BB182" i="3"/>
  <c r="BA182" i="3"/>
  <c r="AZ182" i="3"/>
  <c r="AY182" i="3"/>
  <c r="AX182" i="3"/>
  <c r="AW182" i="3"/>
  <c r="AV182" i="3"/>
  <c r="AU182" i="3"/>
  <c r="AT182" i="3"/>
  <c r="AS182" i="3"/>
  <c r="AR182" i="3"/>
  <c r="AQ182" i="3"/>
  <c r="AP182" i="3"/>
  <c r="AO182" i="3"/>
  <c r="AN182" i="3"/>
  <c r="AM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D182" i="3"/>
  <c r="DC182" i="3" s="1"/>
  <c r="C182" i="3"/>
  <c r="CW176" i="3"/>
  <c r="CV176" i="3"/>
  <c r="CU176" i="3"/>
  <c r="CT176" i="3"/>
  <c r="CS176" i="3"/>
  <c r="CR176" i="3"/>
  <c r="CQ176" i="3"/>
  <c r="CP176" i="3"/>
  <c r="CO176" i="3"/>
  <c r="CN176" i="3"/>
  <c r="CM176" i="3"/>
  <c r="CL176" i="3"/>
  <c r="CK176" i="3"/>
  <c r="CJ176" i="3"/>
  <c r="CI176" i="3"/>
  <c r="CH176" i="3"/>
  <c r="CG176" i="3"/>
  <c r="CF176" i="3"/>
  <c r="CE176" i="3"/>
  <c r="CD176" i="3"/>
  <c r="CC176" i="3"/>
  <c r="CB176" i="3"/>
  <c r="CA176" i="3"/>
  <c r="BZ176" i="3"/>
  <c r="BY176" i="3"/>
  <c r="BX176" i="3"/>
  <c r="BW176" i="3"/>
  <c r="BV176" i="3"/>
  <c r="BU176" i="3"/>
  <c r="BT176" i="3"/>
  <c r="BS176" i="3"/>
  <c r="BR176" i="3"/>
  <c r="BQ176" i="3"/>
  <c r="BP176" i="3"/>
  <c r="BO176" i="3"/>
  <c r="BN176" i="3"/>
  <c r="BM176" i="3"/>
  <c r="BL176" i="3"/>
  <c r="BK176" i="3"/>
  <c r="BJ176" i="3"/>
  <c r="BI176" i="3"/>
  <c r="BH176" i="3"/>
  <c r="BG176" i="3"/>
  <c r="BF176" i="3"/>
  <c r="BE176" i="3"/>
  <c r="BD176" i="3"/>
  <c r="BC176" i="3"/>
  <c r="BB176" i="3"/>
  <c r="BA176" i="3"/>
  <c r="AZ176" i="3"/>
  <c r="AY176" i="3"/>
  <c r="AX176" i="3"/>
  <c r="AW176" i="3"/>
  <c r="AV176" i="3"/>
  <c r="AU176" i="3"/>
  <c r="AT176" i="3"/>
  <c r="AS176" i="3"/>
  <c r="AR176" i="3"/>
  <c r="AQ176" i="3"/>
  <c r="AP176" i="3"/>
  <c r="AO176" i="3"/>
  <c r="AN176" i="3"/>
  <c r="AM176" i="3"/>
  <c r="AJ176" i="3"/>
  <c r="AI176" i="3"/>
  <c r="AH176" i="3"/>
  <c r="AG176" i="3"/>
  <c r="AF176" i="3"/>
  <c r="AE176" i="3"/>
  <c r="AD176" i="3"/>
  <c r="AC176" i="3"/>
  <c r="AA176" i="3"/>
  <c r="Z176" i="3"/>
  <c r="Y176" i="3"/>
  <c r="X176" i="3"/>
  <c r="W176" i="3"/>
  <c r="V176" i="3"/>
  <c r="U176" i="3"/>
  <c r="T176" i="3"/>
  <c r="CW175" i="3"/>
  <c r="CV175" i="3"/>
  <c r="CU175" i="3"/>
  <c r="CT175" i="3"/>
  <c r="CS175" i="3"/>
  <c r="CR175" i="3"/>
  <c r="CQ175" i="3"/>
  <c r="CP175" i="3"/>
  <c r="CO175" i="3"/>
  <c r="CN175" i="3"/>
  <c r="CM175" i="3"/>
  <c r="CL175" i="3"/>
  <c r="CK175" i="3"/>
  <c r="CJ175" i="3"/>
  <c r="CI175" i="3"/>
  <c r="CH175" i="3"/>
  <c r="CG175" i="3"/>
  <c r="CF175" i="3"/>
  <c r="CE175" i="3"/>
  <c r="CD175" i="3"/>
  <c r="CC175" i="3"/>
  <c r="CB175" i="3"/>
  <c r="CA175" i="3"/>
  <c r="BZ175" i="3"/>
  <c r="BY175" i="3"/>
  <c r="BX175" i="3"/>
  <c r="BW175" i="3"/>
  <c r="BV175" i="3"/>
  <c r="BU175" i="3"/>
  <c r="BT175" i="3"/>
  <c r="BS175" i="3"/>
  <c r="BR175" i="3"/>
  <c r="BQ175" i="3"/>
  <c r="BP175" i="3"/>
  <c r="BO175" i="3"/>
  <c r="BN175" i="3"/>
  <c r="BM175" i="3"/>
  <c r="BL175" i="3"/>
  <c r="BK175" i="3"/>
  <c r="BJ175" i="3"/>
  <c r="BI175" i="3"/>
  <c r="BH175" i="3"/>
  <c r="BG175" i="3"/>
  <c r="BF175" i="3"/>
  <c r="BE175" i="3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CW174" i="3"/>
  <c r="CU174" i="3"/>
  <c r="CT174" i="3"/>
  <c r="CS174" i="3"/>
  <c r="CR174" i="3"/>
  <c r="CQ174" i="3"/>
  <c r="CP174" i="3"/>
  <c r="CO174" i="3"/>
  <c r="CN174" i="3"/>
  <c r="CM174" i="3"/>
  <c r="CL174" i="3"/>
  <c r="CK174" i="3"/>
  <c r="CJ174" i="3"/>
  <c r="CI174" i="3"/>
  <c r="CH174" i="3"/>
  <c r="CG174" i="3"/>
  <c r="CF174" i="3"/>
  <c r="CE174" i="3"/>
  <c r="CD174" i="3"/>
  <c r="CC174" i="3"/>
  <c r="CB174" i="3"/>
  <c r="CA174" i="3"/>
  <c r="BZ174" i="3"/>
  <c r="BY174" i="3"/>
  <c r="BX174" i="3"/>
  <c r="BW174" i="3"/>
  <c r="BV174" i="3"/>
  <c r="BU174" i="3"/>
  <c r="BT174" i="3"/>
  <c r="BS174" i="3"/>
  <c r="BR174" i="3"/>
  <c r="BQ174" i="3"/>
  <c r="BP174" i="3"/>
  <c r="BO174" i="3"/>
  <c r="BN174" i="3"/>
  <c r="BM174" i="3"/>
  <c r="BL174" i="3"/>
  <c r="BK174" i="3"/>
  <c r="BJ174" i="3"/>
  <c r="BI174" i="3"/>
  <c r="BH174" i="3"/>
  <c r="BG174" i="3"/>
  <c r="BF174" i="3"/>
  <c r="BE174" i="3"/>
  <c r="BD174" i="3"/>
  <c r="BC174" i="3"/>
  <c r="BB174" i="3"/>
  <c r="BA174" i="3"/>
  <c r="AZ174" i="3"/>
  <c r="AY174" i="3"/>
  <c r="AX174" i="3"/>
  <c r="AW174" i="3"/>
  <c r="AV174" i="3"/>
  <c r="AU174" i="3"/>
  <c r="AT174" i="3"/>
  <c r="AS174" i="3"/>
  <c r="AR174" i="3"/>
  <c r="AQ174" i="3"/>
  <c r="AP174" i="3"/>
  <c r="AO174" i="3"/>
  <c r="AN174" i="3"/>
  <c r="AM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CW173" i="3"/>
  <c r="CU173" i="3"/>
  <c r="CT173" i="3"/>
  <c r="CS173" i="3"/>
  <c r="CR173" i="3"/>
  <c r="CQ173" i="3"/>
  <c r="CP173" i="3"/>
  <c r="CO173" i="3"/>
  <c r="CN173" i="3"/>
  <c r="CM173" i="3"/>
  <c r="CL173" i="3"/>
  <c r="CK173" i="3"/>
  <c r="CJ173" i="3"/>
  <c r="CI173" i="3"/>
  <c r="CH173" i="3"/>
  <c r="CG173" i="3"/>
  <c r="CF173" i="3"/>
  <c r="CE173" i="3"/>
  <c r="CD173" i="3"/>
  <c r="CC173" i="3"/>
  <c r="CB173" i="3"/>
  <c r="CA173" i="3"/>
  <c r="BZ173" i="3"/>
  <c r="BY173" i="3"/>
  <c r="BX173" i="3"/>
  <c r="BW173" i="3"/>
  <c r="BV173" i="3"/>
  <c r="BU173" i="3"/>
  <c r="BT173" i="3"/>
  <c r="BS173" i="3"/>
  <c r="BR173" i="3"/>
  <c r="BQ173" i="3"/>
  <c r="BP173" i="3"/>
  <c r="BO173" i="3"/>
  <c r="BN173" i="3"/>
  <c r="BM173" i="3"/>
  <c r="BL173" i="3"/>
  <c r="BK173" i="3"/>
  <c r="BJ173" i="3"/>
  <c r="BI173" i="3"/>
  <c r="BH173" i="3"/>
  <c r="BG173" i="3"/>
  <c r="BF173" i="3"/>
  <c r="BE173" i="3"/>
  <c r="BD173" i="3"/>
  <c r="BC173" i="3"/>
  <c r="BB173" i="3"/>
  <c r="BA173" i="3"/>
  <c r="AZ173" i="3"/>
  <c r="AY173" i="3"/>
  <c r="AX173" i="3"/>
  <c r="AW173" i="3"/>
  <c r="AV173" i="3"/>
  <c r="AU173" i="3"/>
  <c r="AT173" i="3"/>
  <c r="AS173" i="3"/>
  <c r="AR173" i="3"/>
  <c r="AQ173" i="3"/>
  <c r="AP173" i="3"/>
  <c r="AO173" i="3"/>
  <c r="AN173" i="3"/>
  <c r="AM173" i="3"/>
  <c r="AJ173" i="3"/>
  <c r="AI173" i="3"/>
  <c r="AH173" i="3"/>
  <c r="AG173" i="3"/>
  <c r="AF173" i="3"/>
  <c r="AE173" i="3"/>
  <c r="AD173" i="3"/>
  <c r="AC173" i="3"/>
  <c r="AA173" i="3"/>
  <c r="Z173" i="3"/>
  <c r="Y173" i="3"/>
  <c r="X173" i="3"/>
  <c r="W173" i="3"/>
  <c r="V173" i="3"/>
  <c r="U173" i="3"/>
  <c r="T173" i="3"/>
  <c r="CW172" i="3"/>
  <c r="CV172" i="3"/>
  <c r="CU172" i="3"/>
  <c r="CT172" i="3"/>
  <c r="CS172" i="3"/>
  <c r="CR172" i="3"/>
  <c r="CQ172" i="3"/>
  <c r="CP172" i="3"/>
  <c r="CO172" i="3"/>
  <c r="CN172" i="3"/>
  <c r="CM172" i="3"/>
  <c r="CL172" i="3"/>
  <c r="CK172" i="3"/>
  <c r="CJ172" i="3"/>
  <c r="CI172" i="3"/>
  <c r="CH172" i="3"/>
  <c r="CG172" i="3"/>
  <c r="CF172" i="3"/>
  <c r="CE172" i="3"/>
  <c r="CD172" i="3"/>
  <c r="CC172" i="3"/>
  <c r="CB172" i="3"/>
  <c r="CA172" i="3"/>
  <c r="BZ172" i="3"/>
  <c r="BY172" i="3"/>
  <c r="BX172" i="3"/>
  <c r="BW172" i="3"/>
  <c r="BV172" i="3"/>
  <c r="BU172" i="3"/>
  <c r="BT172" i="3"/>
  <c r="BS172" i="3"/>
  <c r="BR172" i="3"/>
  <c r="BQ172" i="3"/>
  <c r="BP172" i="3"/>
  <c r="BO172" i="3"/>
  <c r="BN172" i="3"/>
  <c r="BM172" i="3"/>
  <c r="BL172" i="3"/>
  <c r="BK172" i="3"/>
  <c r="BJ172" i="3"/>
  <c r="BI172" i="3"/>
  <c r="BH172" i="3"/>
  <c r="BG172" i="3"/>
  <c r="BF172" i="3"/>
  <c r="BE172" i="3"/>
  <c r="BD172" i="3"/>
  <c r="BC172" i="3"/>
  <c r="BB172" i="3"/>
  <c r="BA172" i="3"/>
  <c r="AZ172" i="3"/>
  <c r="AY172" i="3"/>
  <c r="AX172" i="3"/>
  <c r="AW172" i="3"/>
  <c r="AV172" i="3"/>
  <c r="AU172" i="3"/>
  <c r="AT172" i="3"/>
  <c r="AS172" i="3"/>
  <c r="AR172" i="3"/>
  <c r="AQ172" i="3"/>
  <c r="AP172" i="3"/>
  <c r="AO172" i="3"/>
  <c r="AN172" i="3"/>
  <c r="AM172" i="3"/>
  <c r="AJ172" i="3"/>
  <c r="AI172" i="3"/>
  <c r="AH172" i="3"/>
  <c r="AG172" i="3"/>
  <c r="AF172" i="3"/>
  <c r="AE172" i="3"/>
  <c r="AD172" i="3"/>
  <c r="AC172" i="3"/>
  <c r="AA172" i="3"/>
  <c r="Z172" i="3"/>
  <c r="Y172" i="3"/>
  <c r="X172" i="3"/>
  <c r="W172" i="3"/>
  <c r="V172" i="3"/>
  <c r="U172" i="3"/>
  <c r="T172" i="3"/>
  <c r="S172" i="3"/>
  <c r="CW171" i="3"/>
  <c r="CV171" i="3"/>
  <c r="CU171" i="3"/>
  <c r="CT171" i="3"/>
  <c r="CS171" i="3"/>
  <c r="CR171" i="3"/>
  <c r="CQ171" i="3"/>
  <c r="CP171" i="3"/>
  <c r="CO171" i="3"/>
  <c r="CN171" i="3"/>
  <c r="CM171" i="3"/>
  <c r="CL171" i="3"/>
  <c r="CK171" i="3"/>
  <c r="CJ171" i="3"/>
  <c r="CI171" i="3"/>
  <c r="CH171" i="3"/>
  <c r="CG171" i="3"/>
  <c r="CF171" i="3"/>
  <c r="CE171" i="3"/>
  <c r="CD171" i="3"/>
  <c r="CC171" i="3"/>
  <c r="CB171" i="3"/>
  <c r="CA171" i="3"/>
  <c r="BZ171" i="3"/>
  <c r="BY171" i="3"/>
  <c r="BX171" i="3"/>
  <c r="BW171" i="3"/>
  <c r="BV171" i="3"/>
  <c r="BU171" i="3"/>
  <c r="BT171" i="3"/>
  <c r="BS171" i="3"/>
  <c r="BR171" i="3"/>
  <c r="BQ171" i="3"/>
  <c r="BP171" i="3"/>
  <c r="BO171" i="3"/>
  <c r="BN171" i="3"/>
  <c r="BM171" i="3"/>
  <c r="BL171" i="3"/>
  <c r="BK171" i="3"/>
  <c r="BJ171" i="3"/>
  <c r="BI171" i="3"/>
  <c r="BH171" i="3"/>
  <c r="BG171" i="3"/>
  <c r="BF171" i="3"/>
  <c r="BE171" i="3"/>
  <c r="BD171" i="3"/>
  <c r="BC171" i="3"/>
  <c r="BB171" i="3"/>
  <c r="BA171" i="3"/>
  <c r="AZ171" i="3"/>
  <c r="AY171" i="3"/>
  <c r="AX171" i="3"/>
  <c r="AW171" i="3"/>
  <c r="AV171" i="3"/>
  <c r="AU171" i="3"/>
  <c r="AT171" i="3"/>
  <c r="AS171" i="3"/>
  <c r="AR171" i="3"/>
  <c r="AQ171" i="3"/>
  <c r="AP171" i="3"/>
  <c r="AO171" i="3"/>
  <c r="AN171" i="3"/>
  <c r="AM171" i="3"/>
  <c r="AJ171" i="3"/>
  <c r="AI171" i="3"/>
  <c r="AH171" i="3"/>
  <c r="AG171" i="3"/>
  <c r="AF171" i="3"/>
  <c r="AE171" i="3"/>
  <c r="AD171" i="3"/>
  <c r="AC171" i="3"/>
  <c r="AA171" i="3"/>
  <c r="Z171" i="3"/>
  <c r="Y171" i="3"/>
  <c r="X171" i="3"/>
  <c r="W171" i="3"/>
  <c r="V171" i="3"/>
  <c r="U171" i="3"/>
  <c r="T171" i="3"/>
  <c r="E69" i="3"/>
  <c r="D221" i="3" s="1"/>
  <c r="D68" i="3"/>
  <c r="D156" i="3" s="1"/>
  <c r="E60" i="3"/>
  <c r="D214" i="3" s="1"/>
  <c r="F152" i="5" s="1"/>
  <c r="E59" i="3"/>
  <c r="D213" i="3" s="1"/>
  <c r="E56" i="3"/>
  <c r="D23" i="3"/>
  <c r="D25" i="3" s="1"/>
  <c r="E25" i="3" s="1"/>
  <c r="D180" i="3" s="1"/>
  <c r="F133" i="5" s="1"/>
  <c r="D19" i="3"/>
  <c r="D21" i="3" s="1"/>
  <c r="E18" i="3"/>
  <c r="D173" i="3" s="1"/>
  <c r="DB173" i="3" s="1"/>
  <c r="AB173" i="3" s="1"/>
  <c r="D17" i="3"/>
  <c r="E17" i="3" s="1"/>
  <c r="D172" i="3" s="1"/>
  <c r="F114" i="5" s="1"/>
  <c r="D16" i="3"/>
  <c r="E16" i="3" s="1"/>
  <c r="D171" i="3" s="1"/>
  <c r="DC171" i="3" s="1"/>
  <c r="D13" i="3"/>
  <c r="E13" i="3" s="1"/>
  <c r="D168" i="3" s="1"/>
  <c r="F101" i="5" s="1"/>
  <c r="D12" i="3"/>
  <c r="E12" i="3" s="1"/>
  <c r="D167" i="3" s="1"/>
  <c r="F100" i="5" s="1"/>
  <c r="M100" i="5" s="1"/>
  <c r="D11" i="3"/>
  <c r="E11" i="3" s="1"/>
  <c r="D166" i="3" s="1"/>
  <c r="F99" i="5" s="1"/>
  <c r="E33" i="3"/>
  <c r="D186" i="3" s="1"/>
  <c r="F35" i="5" s="1"/>
  <c r="I35" i="5" s="1"/>
  <c r="J35" i="5" s="1"/>
  <c r="E34" i="3"/>
  <c r="D187" i="3" s="1"/>
  <c r="F36" i="5" s="1"/>
  <c r="E35" i="3"/>
  <c r="D188" i="3" s="1"/>
  <c r="F37" i="5" s="1"/>
  <c r="I37" i="5" s="1"/>
  <c r="J37" i="5" s="1"/>
  <c r="E36" i="3"/>
  <c r="D189" i="3" s="1"/>
  <c r="DC189" i="3" s="1"/>
  <c r="E37" i="3"/>
  <c r="D190" i="3" s="1"/>
  <c r="F39" i="5" s="1"/>
  <c r="I39" i="5" s="1"/>
  <c r="J39" i="5" s="1"/>
  <c r="E38" i="3"/>
  <c r="D191" i="3" s="1"/>
  <c r="F40" i="5" s="1"/>
  <c r="I40" i="5" s="1"/>
  <c r="J40" i="5" s="1"/>
  <c r="E39" i="3"/>
  <c r="D192" i="3" s="1"/>
  <c r="F41" i="5" s="1"/>
  <c r="E45" i="3"/>
  <c r="D198" i="3" s="1"/>
  <c r="E46" i="3"/>
  <c r="D199" i="3" s="1"/>
  <c r="E49" i="3"/>
  <c r="D202" i="3" s="1"/>
  <c r="E48" i="3"/>
  <c r="D201" i="3" s="1"/>
  <c r="E47" i="3"/>
  <c r="D200" i="3" s="1"/>
  <c r="F55" i="5" s="1"/>
  <c r="E44" i="3"/>
  <c r="D197" i="3" s="1"/>
  <c r="F53" i="5" s="1"/>
  <c r="C81" i="12"/>
  <c r="H39" i="12"/>
  <c r="E5" i="9"/>
  <c r="F187" i="5" l="1"/>
  <c r="I187" i="5" s="1"/>
  <c r="J187" i="5" s="1"/>
  <c r="J337" i="5"/>
  <c r="J358" i="5" s="1"/>
  <c r="M195" i="5"/>
  <c r="I195" i="5"/>
  <c r="J195" i="5" s="1"/>
  <c r="M191" i="5"/>
  <c r="F192" i="5"/>
  <c r="F193" i="5" s="1"/>
  <c r="F194" i="5" s="1"/>
  <c r="M183" i="5"/>
  <c r="F184" i="5"/>
  <c r="F185" i="5" s="1"/>
  <c r="F186" i="5" s="1"/>
  <c r="M41" i="5"/>
  <c r="I41" i="5"/>
  <c r="J41" i="5" s="1"/>
  <c r="M36" i="5"/>
  <c r="I36" i="5"/>
  <c r="J36" i="5" s="1"/>
  <c r="DC213" i="3"/>
  <c r="F151" i="5"/>
  <c r="I151" i="5" s="1"/>
  <c r="J151" i="5" s="1"/>
  <c r="I183" i="5"/>
  <c r="J183" i="5" s="1"/>
  <c r="I191" i="5"/>
  <c r="J191" i="5" s="1"/>
  <c r="N177" i="5"/>
  <c r="I166" i="5"/>
  <c r="J166" i="5" s="1"/>
  <c r="F168" i="5"/>
  <c r="M166" i="5"/>
  <c r="M152" i="5"/>
  <c r="I152" i="5"/>
  <c r="J152" i="5" s="1"/>
  <c r="F54" i="5"/>
  <c r="DB213" i="3"/>
  <c r="DC193" i="3"/>
  <c r="F42" i="5"/>
  <c r="I42" i="5" s="1"/>
  <c r="J42" i="5" s="1"/>
  <c r="F127" i="5"/>
  <c r="F113" i="5"/>
  <c r="F62" i="5"/>
  <c r="F64" i="5" s="1"/>
  <c r="M64" i="5" s="1"/>
  <c r="N64" i="5" s="1"/>
  <c r="F118" i="5"/>
  <c r="F120" i="5" s="1"/>
  <c r="F121" i="5" s="1"/>
  <c r="F68" i="5"/>
  <c r="F70" i="5" s="1"/>
  <c r="M70" i="5" s="1"/>
  <c r="N70" i="5" s="1"/>
  <c r="F57" i="5"/>
  <c r="F59" i="5" s="1"/>
  <c r="M59" i="5" s="1"/>
  <c r="N59" i="5" s="1"/>
  <c r="M33" i="5"/>
  <c r="N33" i="5" s="1"/>
  <c r="M32" i="5"/>
  <c r="N32" i="5" s="1"/>
  <c r="M44" i="5"/>
  <c r="N44" i="5" s="1"/>
  <c r="M337" i="5"/>
  <c r="M133" i="5"/>
  <c r="M101" i="5"/>
  <c r="N101" i="5" s="1"/>
  <c r="M114" i="5"/>
  <c r="N100" i="5"/>
  <c r="M55" i="5"/>
  <c r="DB193" i="3"/>
  <c r="F38" i="5"/>
  <c r="I55" i="5"/>
  <c r="J55" i="5" s="1"/>
  <c r="M35" i="5"/>
  <c r="N35" i="5" s="1"/>
  <c r="M40" i="5"/>
  <c r="N40" i="5" s="1"/>
  <c r="M37" i="5"/>
  <c r="CX302" i="3"/>
  <c r="CX304" i="3" s="1"/>
  <c r="G542" i="5" s="1"/>
  <c r="S173" i="3"/>
  <c r="AK302" i="3"/>
  <c r="AK304" i="3" s="1"/>
  <c r="G283" i="5" s="1" a="1"/>
  <c r="CV173" i="3"/>
  <c r="DC192" i="3"/>
  <c r="DB192" i="3"/>
  <c r="DC190" i="3"/>
  <c r="DB190" i="3"/>
  <c r="DC191" i="3"/>
  <c r="DB191" i="3"/>
  <c r="DB189" i="3"/>
  <c r="DC201" i="3"/>
  <c r="DC198" i="3"/>
  <c r="DC202" i="3"/>
  <c r="DB202" i="3"/>
  <c r="AM202" i="3" s="1"/>
  <c r="DB200" i="3"/>
  <c r="DC200" i="3"/>
  <c r="DB201" i="3"/>
  <c r="AL302" i="3" s="1"/>
  <c r="AL304" i="3" s="1"/>
  <c r="DB198" i="3"/>
  <c r="DB203" i="3"/>
  <c r="DC199" i="3"/>
  <c r="DB199" i="3"/>
  <c r="AN199" i="3" s="1"/>
  <c r="DC197" i="3"/>
  <c r="DB197" i="3"/>
  <c r="DB172" i="3"/>
  <c r="AB172" i="3" s="1"/>
  <c r="DC172" i="3"/>
  <c r="DC173" i="3"/>
  <c r="DB182" i="3"/>
  <c r="DB171" i="3"/>
  <c r="E21" i="3"/>
  <c r="D176" i="3" s="1"/>
  <c r="D22" i="3"/>
  <c r="E22" i="3" s="1"/>
  <c r="D177" i="3" s="1"/>
  <c r="F126" i="5" s="1"/>
  <c r="D20" i="3"/>
  <c r="E23" i="3"/>
  <c r="D178" i="3" s="1"/>
  <c r="D24" i="3"/>
  <c r="M23" i="5"/>
  <c r="N23" i="5" s="1"/>
  <c r="M22" i="5"/>
  <c r="N22" i="5" s="1"/>
  <c r="M187" i="5" l="1"/>
  <c r="F199" i="5"/>
  <c r="N337" i="5"/>
  <c r="M358" i="5"/>
  <c r="N36" i="5"/>
  <c r="N183" i="5"/>
  <c r="N191" i="5"/>
  <c r="N187" i="5"/>
  <c r="N195" i="5"/>
  <c r="M194" i="5"/>
  <c r="I194" i="5"/>
  <c r="J194" i="5" s="1"/>
  <c r="M186" i="5"/>
  <c r="I186" i="5"/>
  <c r="J186" i="5" s="1"/>
  <c r="M193" i="5"/>
  <c r="I193" i="5"/>
  <c r="J193" i="5" s="1"/>
  <c r="M185" i="5"/>
  <c r="I185" i="5"/>
  <c r="J185" i="5" s="1"/>
  <c r="M184" i="5"/>
  <c r="I184" i="5"/>
  <c r="J184" i="5" s="1"/>
  <c r="M192" i="5"/>
  <c r="I192" i="5"/>
  <c r="J192" i="5" s="1"/>
  <c r="N41" i="5"/>
  <c r="M38" i="5"/>
  <c r="I38" i="5"/>
  <c r="J38" i="5" s="1"/>
  <c r="M151" i="5"/>
  <c r="N151" i="5" s="1"/>
  <c r="G283" i="5"/>
  <c r="G601" i="5"/>
  <c r="I284" i="5"/>
  <c r="J284" i="5" s="1"/>
  <c r="M284" i="5"/>
  <c r="I542" i="5"/>
  <c r="J542" i="5" s="1"/>
  <c r="M542" i="5"/>
  <c r="F115" i="5"/>
  <c r="M121" i="5"/>
  <c r="N121" i="5" s="1"/>
  <c r="M120" i="5"/>
  <c r="N166" i="5"/>
  <c r="M168" i="5"/>
  <c r="N152" i="5"/>
  <c r="M126" i="5"/>
  <c r="N126" i="5" s="1"/>
  <c r="I68" i="5"/>
  <c r="J68" i="5" s="1"/>
  <c r="F71" i="5"/>
  <c r="M71" i="5" s="1"/>
  <c r="N71" i="5" s="1"/>
  <c r="M68" i="5"/>
  <c r="F66" i="5"/>
  <c r="M66" i="5" s="1"/>
  <c r="N66" i="5" s="1"/>
  <c r="F60" i="5"/>
  <c r="M60" i="5" s="1"/>
  <c r="N60" i="5" s="1"/>
  <c r="M127" i="5"/>
  <c r="N127" i="5" s="1"/>
  <c r="CV178" i="3"/>
  <c r="F130" i="5"/>
  <c r="F134" i="5" s="1"/>
  <c r="F65" i="5"/>
  <c r="M65" i="5" s="1"/>
  <c r="N65" i="5" s="1"/>
  <c r="N133" i="5"/>
  <c r="N114" i="5"/>
  <c r="N55" i="5"/>
  <c r="M62" i="5"/>
  <c r="N37" i="5"/>
  <c r="AB171" i="3"/>
  <c r="S171" i="3"/>
  <c r="E24" i="3"/>
  <c r="D179" i="3" s="1"/>
  <c r="F132" i="5" s="1"/>
  <c r="E26" i="3"/>
  <c r="D181" i="3" s="1"/>
  <c r="F136" i="5" s="1"/>
  <c r="F138" i="5" s="1"/>
  <c r="N184" i="5" l="1"/>
  <c r="N194" i="5"/>
  <c r="N38" i="5"/>
  <c r="N186" i="5"/>
  <c r="N193" i="5"/>
  <c r="N185" i="5"/>
  <c r="N192" i="5"/>
  <c r="M115" i="5"/>
  <c r="N115" i="5" s="1"/>
  <c r="N542" i="5"/>
  <c r="N284" i="5"/>
  <c r="I601" i="5"/>
  <c r="J601" i="5" s="1"/>
  <c r="M601" i="5"/>
  <c r="G600" i="5"/>
  <c r="I283" i="5"/>
  <c r="J283" i="5" s="1"/>
  <c r="M283" i="5"/>
  <c r="M138" i="5"/>
  <c r="M134" i="5"/>
  <c r="N68" i="5"/>
  <c r="N120" i="5"/>
  <c r="N168" i="5"/>
  <c r="M136" i="5"/>
  <c r="I136" i="5"/>
  <c r="J136" i="5" s="1"/>
  <c r="M130" i="5"/>
  <c r="I130" i="5"/>
  <c r="J130" i="5" s="1"/>
  <c r="M132" i="5"/>
  <c r="N62" i="5"/>
  <c r="DC181" i="3"/>
  <c r="DB181" i="3"/>
  <c r="DB179" i="3"/>
  <c r="AM179" i="3" s="1"/>
  <c r="DC179" i="3"/>
  <c r="DC177" i="3"/>
  <c r="DB177" i="3"/>
  <c r="AM177" i="3" s="1"/>
  <c r="DC178" i="3"/>
  <c r="DB178" i="3"/>
  <c r="DB176" i="3"/>
  <c r="DC176" i="3"/>
  <c r="L88" i="5"/>
  <c r="N601" i="5" l="1"/>
  <c r="N283" i="5"/>
  <c r="M600" i="5"/>
  <c r="I600" i="5"/>
  <c r="J600" i="5" s="1"/>
  <c r="N138" i="5"/>
  <c r="N134" i="5"/>
  <c r="N132" i="5"/>
  <c r="N130" i="5"/>
  <c r="N136" i="5"/>
  <c r="AB176" i="3"/>
  <c r="S176" i="3"/>
  <c r="S181" i="3"/>
  <c r="AB181" i="3"/>
  <c r="N95" i="12"/>
  <c r="N98" i="12"/>
  <c r="O98" i="12" s="1"/>
  <c r="N600" i="5" l="1"/>
  <c r="O95" i="12"/>
  <c r="M25" i="5" l="1"/>
  <c r="N25" i="5" s="1"/>
  <c r="M19" i="5"/>
  <c r="N19" i="5" s="1"/>
  <c r="CW299" i="3" l="1"/>
  <c r="CV299" i="3"/>
  <c r="CU299" i="3"/>
  <c r="CT299" i="3"/>
  <c r="CS299" i="3"/>
  <c r="CW298" i="3"/>
  <c r="CV298" i="3"/>
  <c r="CU298" i="3"/>
  <c r="CT298" i="3"/>
  <c r="CS298" i="3"/>
  <c r="CW297" i="3"/>
  <c r="CV297" i="3"/>
  <c r="CU297" i="3"/>
  <c r="CT297" i="3"/>
  <c r="CS297" i="3"/>
  <c r="CW296" i="3"/>
  <c r="CV296" i="3"/>
  <c r="CU296" i="3"/>
  <c r="CT296" i="3"/>
  <c r="CS296" i="3"/>
  <c r="CW295" i="3"/>
  <c r="CV295" i="3"/>
  <c r="CU295" i="3"/>
  <c r="CT295" i="3"/>
  <c r="CS295" i="3"/>
  <c r="CW294" i="3"/>
  <c r="CV294" i="3"/>
  <c r="CU294" i="3"/>
  <c r="CT294" i="3"/>
  <c r="CS294" i="3"/>
  <c r="CW293" i="3"/>
  <c r="CV293" i="3"/>
  <c r="CU293" i="3"/>
  <c r="CT293" i="3"/>
  <c r="CS293" i="3"/>
  <c r="CW292" i="3" l="1"/>
  <c r="CV292" i="3"/>
  <c r="CU292" i="3"/>
  <c r="CT292" i="3"/>
  <c r="CS292" i="3"/>
  <c r="B125" i="5"/>
  <c r="DC289" i="3" l="1"/>
  <c r="DB289" i="3"/>
  <c r="CW289" i="3"/>
  <c r="CV289" i="3"/>
  <c r="CU289" i="3"/>
  <c r="CT289" i="3"/>
  <c r="CS289" i="3"/>
  <c r="C194" i="3" l="1"/>
  <c r="C195" i="3"/>
  <c r="C196" i="3"/>
  <c r="CQ196" i="3"/>
  <c r="CP196" i="3"/>
  <c r="CO196" i="3"/>
  <c r="CN196" i="3"/>
  <c r="CM196" i="3"/>
  <c r="CK196" i="3"/>
  <c r="CJ196" i="3"/>
  <c r="CI196" i="3"/>
  <c r="CH196" i="3"/>
  <c r="CG196" i="3"/>
  <c r="CF196" i="3"/>
  <c r="CE196" i="3"/>
  <c r="CD196" i="3"/>
  <c r="CC196" i="3"/>
  <c r="CB196" i="3"/>
  <c r="CA196" i="3"/>
  <c r="BZ196" i="3"/>
  <c r="BY196" i="3"/>
  <c r="BX196" i="3"/>
  <c r="BW196" i="3"/>
  <c r="BV196" i="3"/>
  <c r="BU196" i="3"/>
  <c r="BT196" i="3"/>
  <c r="BS196" i="3"/>
  <c r="BR196" i="3"/>
  <c r="BQ196" i="3"/>
  <c r="BP196" i="3"/>
  <c r="BO196" i="3"/>
  <c r="BN196" i="3"/>
  <c r="BM196" i="3"/>
  <c r="BL196" i="3"/>
  <c r="BK196" i="3"/>
  <c r="BJ196" i="3"/>
  <c r="BI196" i="3"/>
  <c r="BH196" i="3"/>
  <c r="BG196" i="3"/>
  <c r="BF196" i="3"/>
  <c r="BE196" i="3"/>
  <c r="BD196" i="3"/>
  <c r="BC196" i="3"/>
  <c r="BA196" i="3"/>
  <c r="AZ196" i="3"/>
  <c r="AY196" i="3"/>
  <c r="AX196" i="3"/>
  <c r="AW196" i="3"/>
  <c r="AV196" i="3"/>
  <c r="AU196" i="3"/>
  <c r="AT196" i="3"/>
  <c r="AS196" i="3"/>
  <c r="AR196" i="3"/>
  <c r="AQ196" i="3"/>
  <c r="AP196" i="3"/>
  <c r="AO196" i="3"/>
  <c r="AM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S196" i="3"/>
  <c r="CW195" i="3"/>
  <c r="CV195" i="3"/>
  <c r="CU195" i="3"/>
  <c r="CT195" i="3"/>
  <c r="CS195" i="3"/>
  <c r="CR195" i="3"/>
  <c r="CQ195" i="3"/>
  <c r="CP195" i="3"/>
  <c r="CO195" i="3"/>
  <c r="CN195" i="3"/>
  <c r="CM195" i="3"/>
  <c r="CL195" i="3"/>
  <c r="CK195" i="3"/>
  <c r="CJ195" i="3"/>
  <c r="CI195" i="3"/>
  <c r="CH195" i="3"/>
  <c r="CG195" i="3"/>
  <c r="CF195" i="3"/>
  <c r="CE195" i="3"/>
  <c r="CD195" i="3"/>
  <c r="CC195" i="3"/>
  <c r="CB195" i="3"/>
  <c r="CA195" i="3"/>
  <c r="BZ195" i="3"/>
  <c r="BY195" i="3"/>
  <c r="BX195" i="3"/>
  <c r="BW195" i="3"/>
  <c r="BV195" i="3"/>
  <c r="BU195" i="3"/>
  <c r="BT195" i="3"/>
  <c r="BS195" i="3"/>
  <c r="BR195" i="3"/>
  <c r="BQ195" i="3"/>
  <c r="BP195" i="3"/>
  <c r="BO195" i="3"/>
  <c r="BN195" i="3"/>
  <c r="BM195" i="3"/>
  <c r="BL195" i="3"/>
  <c r="BK195" i="3"/>
  <c r="BJ195" i="3"/>
  <c r="BI195" i="3"/>
  <c r="BH195" i="3"/>
  <c r="BG195" i="3"/>
  <c r="BF195" i="3"/>
  <c r="BE195" i="3"/>
  <c r="BD195" i="3"/>
  <c r="BC195" i="3"/>
  <c r="BA195" i="3"/>
  <c r="AZ195" i="3"/>
  <c r="AY195" i="3"/>
  <c r="AX195" i="3"/>
  <c r="AW195" i="3"/>
  <c r="AV195" i="3"/>
  <c r="AU195" i="3"/>
  <c r="AT195" i="3"/>
  <c r="AS195" i="3"/>
  <c r="AR195" i="3"/>
  <c r="AQ195" i="3"/>
  <c r="AP195" i="3"/>
  <c r="AO195" i="3"/>
  <c r="AN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CW194" i="3"/>
  <c r="CV194" i="3"/>
  <c r="CU194" i="3"/>
  <c r="CT194" i="3"/>
  <c r="CS194" i="3"/>
  <c r="CR194" i="3"/>
  <c r="CQ194" i="3"/>
  <c r="CP194" i="3"/>
  <c r="CO194" i="3"/>
  <c r="CN194" i="3"/>
  <c r="CM194" i="3"/>
  <c r="CL194" i="3"/>
  <c r="CK194" i="3"/>
  <c r="CJ194" i="3"/>
  <c r="CI194" i="3"/>
  <c r="CH194" i="3"/>
  <c r="CG194" i="3"/>
  <c r="CF194" i="3"/>
  <c r="CE194" i="3"/>
  <c r="CD194" i="3"/>
  <c r="CC194" i="3"/>
  <c r="CB194" i="3"/>
  <c r="CA194" i="3"/>
  <c r="BZ194" i="3"/>
  <c r="BY194" i="3"/>
  <c r="BX194" i="3"/>
  <c r="BW194" i="3"/>
  <c r="BV194" i="3"/>
  <c r="BU194" i="3"/>
  <c r="BT194" i="3"/>
  <c r="BS194" i="3"/>
  <c r="BR194" i="3"/>
  <c r="BQ194" i="3"/>
  <c r="BP194" i="3"/>
  <c r="BO194" i="3"/>
  <c r="BN194" i="3"/>
  <c r="BM194" i="3"/>
  <c r="BL194" i="3"/>
  <c r="BK194" i="3"/>
  <c r="BJ194" i="3"/>
  <c r="BI194" i="3"/>
  <c r="BH194" i="3"/>
  <c r="BG194" i="3"/>
  <c r="BF194" i="3"/>
  <c r="BE194" i="3"/>
  <c r="BD194" i="3"/>
  <c r="BC194" i="3"/>
  <c r="BB194" i="3"/>
  <c r="BA194" i="3"/>
  <c r="AZ194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CW188" i="3"/>
  <c r="CV188" i="3"/>
  <c r="CU188" i="3"/>
  <c r="CT188" i="3"/>
  <c r="CS188" i="3"/>
  <c r="CR188" i="3"/>
  <c r="CQ188" i="3"/>
  <c r="CP188" i="3"/>
  <c r="CO188" i="3"/>
  <c r="CN188" i="3"/>
  <c r="CM188" i="3"/>
  <c r="CL188" i="3"/>
  <c r="CK188" i="3"/>
  <c r="CJ188" i="3"/>
  <c r="CI188" i="3"/>
  <c r="CH188" i="3"/>
  <c r="CG188" i="3"/>
  <c r="CF188" i="3"/>
  <c r="CE188" i="3"/>
  <c r="CD188" i="3"/>
  <c r="CC188" i="3"/>
  <c r="CB188" i="3"/>
  <c r="CA188" i="3"/>
  <c r="BZ188" i="3"/>
  <c r="BY188" i="3"/>
  <c r="BX188" i="3"/>
  <c r="BW188" i="3"/>
  <c r="BV188" i="3"/>
  <c r="BU188" i="3"/>
  <c r="BT188" i="3"/>
  <c r="BS188" i="3"/>
  <c r="BR188" i="3"/>
  <c r="BQ188" i="3"/>
  <c r="BP188" i="3"/>
  <c r="BO188" i="3"/>
  <c r="BN188" i="3"/>
  <c r="BM188" i="3"/>
  <c r="BL188" i="3"/>
  <c r="BK188" i="3"/>
  <c r="BJ188" i="3"/>
  <c r="BI188" i="3"/>
  <c r="BH188" i="3"/>
  <c r="BG188" i="3"/>
  <c r="BF188" i="3"/>
  <c r="BE188" i="3"/>
  <c r="BD188" i="3"/>
  <c r="BC188" i="3"/>
  <c r="BB188" i="3"/>
  <c r="BA188" i="3"/>
  <c r="AZ188" i="3"/>
  <c r="AY188" i="3"/>
  <c r="AX188" i="3"/>
  <c r="AW188" i="3"/>
  <c r="AV188" i="3"/>
  <c r="AU188" i="3"/>
  <c r="AT188" i="3"/>
  <c r="AS188" i="3"/>
  <c r="AR188" i="3"/>
  <c r="AQ188" i="3"/>
  <c r="AP188" i="3"/>
  <c r="AO188" i="3"/>
  <c r="AN188" i="3"/>
  <c r="AM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CW170" i="3"/>
  <c r="CU170" i="3"/>
  <c r="CT170" i="3"/>
  <c r="CS170" i="3"/>
  <c r="CR170" i="3"/>
  <c r="CQ170" i="3"/>
  <c r="CP170" i="3"/>
  <c r="CO170" i="3"/>
  <c r="CN170" i="3"/>
  <c r="CM170" i="3"/>
  <c r="CL170" i="3"/>
  <c r="CK170" i="3"/>
  <c r="CJ170" i="3"/>
  <c r="CI170" i="3"/>
  <c r="CH170" i="3"/>
  <c r="CG170" i="3"/>
  <c r="CF170" i="3"/>
  <c r="CE170" i="3"/>
  <c r="CD170" i="3"/>
  <c r="CC170" i="3"/>
  <c r="CB170" i="3"/>
  <c r="CA170" i="3"/>
  <c r="BZ170" i="3"/>
  <c r="BY170" i="3"/>
  <c r="BX170" i="3"/>
  <c r="BW170" i="3"/>
  <c r="BV170" i="3"/>
  <c r="BU170" i="3"/>
  <c r="BT170" i="3"/>
  <c r="BS170" i="3"/>
  <c r="BR170" i="3"/>
  <c r="BQ170" i="3"/>
  <c r="BP170" i="3"/>
  <c r="BO170" i="3"/>
  <c r="BN170" i="3"/>
  <c r="BM170" i="3"/>
  <c r="BL170" i="3"/>
  <c r="BK170" i="3"/>
  <c r="BJ170" i="3"/>
  <c r="BI170" i="3"/>
  <c r="BH170" i="3"/>
  <c r="BG170" i="3"/>
  <c r="BF170" i="3"/>
  <c r="BE170" i="3"/>
  <c r="BD170" i="3"/>
  <c r="BC170" i="3"/>
  <c r="BB170" i="3"/>
  <c r="BA170" i="3"/>
  <c r="AZ170" i="3"/>
  <c r="AY170" i="3"/>
  <c r="AV170" i="3"/>
  <c r="AU170" i="3"/>
  <c r="AT170" i="3"/>
  <c r="AS170" i="3"/>
  <c r="AR170" i="3"/>
  <c r="AQ170" i="3"/>
  <c r="AP170" i="3"/>
  <c r="AO170" i="3"/>
  <c r="AN170" i="3"/>
  <c r="AM170" i="3"/>
  <c r="AJ170" i="3"/>
  <c r="AI170" i="3"/>
  <c r="AH170" i="3"/>
  <c r="AG170" i="3"/>
  <c r="AF170" i="3"/>
  <c r="AE170" i="3"/>
  <c r="AD170" i="3"/>
  <c r="AC170" i="3"/>
  <c r="AA170" i="3"/>
  <c r="Z170" i="3"/>
  <c r="Y170" i="3"/>
  <c r="X170" i="3"/>
  <c r="W170" i="3"/>
  <c r="V170" i="3"/>
  <c r="U170" i="3"/>
  <c r="T170" i="3"/>
  <c r="D51" i="3"/>
  <c r="E43" i="3"/>
  <c r="D196" i="3" s="1"/>
  <c r="F47" i="5" s="1"/>
  <c r="F154" i="5" s="1"/>
  <c r="F417" i="5" s="1"/>
  <c r="D195" i="3"/>
  <c r="D194" i="3"/>
  <c r="E20" i="3"/>
  <c r="D175" i="3" s="1"/>
  <c r="F125" i="5" s="1"/>
  <c r="M154" i="5" l="1"/>
  <c r="I154" i="5"/>
  <c r="J154" i="5" s="1"/>
  <c r="F49" i="5"/>
  <c r="M47" i="5"/>
  <c r="I47" i="5"/>
  <c r="J47" i="5" s="1"/>
  <c r="F50" i="5"/>
  <c r="M54" i="5"/>
  <c r="I54" i="5"/>
  <c r="J54" i="5" s="1"/>
  <c r="I57" i="5"/>
  <c r="J57" i="5" s="1"/>
  <c r="M57" i="5"/>
  <c r="DB175" i="3"/>
  <c r="AM175" i="3" s="1"/>
  <c r="DC175" i="3"/>
  <c r="M39" i="5"/>
  <c r="N39" i="5" s="1"/>
  <c r="DC195" i="3"/>
  <c r="BB195" i="3" s="1"/>
  <c r="DC196" i="3"/>
  <c r="BB196" i="3" s="1"/>
  <c r="DB196" i="3"/>
  <c r="DC188" i="3"/>
  <c r="DB188" i="3"/>
  <c r="DC194" i="3"/>
  <c r="DB194" i="3"/>
  <c r="AM194" i="3" s="1"/>
  <c r="DB195" i="3"/>
  <c r="AM195" i="3" s="1"/>
  <c r="N154" i="5" l="1"/>
  <c r="M50" i="5"/>
  <c r="N50" i="5" s="1"/>
  <c r="N47" i="5"/>
  <c r="M49" i="5"/>
  <c r="N49" i="5" s="1"/>
  <c r="N57" i="5"/>
  <c r="I53" i="5"/>
  <c r="J53" i="5" s="1"/>
  <c r="M53" i="5"/>
  <c r="M42" i="5"/>
  <c r="N54" i="5"/>
  <c r="T196" i="3"/>
  <c r="AN196" i="3"/>
  <c r="S170" i="3"/>
  <c r="AB170" i="3"/>
  <c r="B147" i="5"/>
  <c r="B123" i="5"/>
  <c r="B118" i="5"/>
  <c r="B111" i="5"/>
  <c r="B106" i="5"/>
  <c r="B97" i="5"/>
  <c r="B92" i="5"/>
  <c r="B88" i="5"/>
  <c r="B81" i="5"/>
  <c r="E68" i="3"/>
  <c r="E57" i="3"/>
  <c r="D211" i="3" s="1"/>
  <c r="F149" i="5" s="1"/>
  <c r="E58" i="3"/>
  <c r="D212" i="3" s="1"/>
  <c r="E55" i="3"/>
  <c r="E32" i="3"/>
  <c r="D185" i="3" s="1"/>
  <c r="F27" i="5" s="1"/>
  <c r="E31" i="3"/>
  <c r="E8" i="3"/>
  <c r="D163" i="3" s="1"/>
  <c r="E9" i="3"/>
  <c r="D164" i="3" s="1"/>
  <c r="E10" i="3"/>
  <c r="D165" i="3" s="1"/>
  <c r="E14" i="3"/>
  <c r="D169" i="3" s="1"/>
  <c r="E15" i="3"/>
  <c r="D170" i="3" s="1"/>
  <c r="E19" i="3"/>
  <c r="D174" i="3" s="1"/>
  <c r="E7" i="3"/>
  <c r="B15" i="5"/>
  <c r="M31" i="5"/>
  <c r="N31" i="5" s="1"/>
  <c r="M30" i="5"/>
  <c r="N30" i="5" s="1"/>
  <c r="M29" i="5"/>
  <c r="N29" i="5" s="1"/>
  <c r="M24" i="5"/>
  <c r="N24" i="5" s="1"/>
  <c r="M21" i="5"/>
  <c r="N21" i="5" s="1"/>
  <c r="M20" i="5"/>
  <c r="N20" i="5" s="1"/>
  <c r="M18" i="5"/>
  <c r="N18" i="5" s="1"/>
  <c r="M17" i="5"/>
  <c r="N17" i="5" s="1"/>
  <c r="F150" i="5" l="1"/>
  <c r="DB212" i="3"/>
  <c r="DC212" i="3"/>
  <c r="CV174" i="3"/>
  <c r="F123" i="5"/>
  <c r="F128" i="5" s="1"/>
  <c r="CV170" i="3"/>
  <c r="F111" i="5"/>
  <c r="F116" i="5" s="1"/>
  <c r="BC169" i="3"/>
  <c r="F106" i="5"/>
  <c r="F109" i="5" s="1"/>
  <c r="CV165" i="3"/>
  <c r="F97" i="5"/>
  <c r="F104" i="5" s="1"/>
  <c r="BC164" i="3"/>
  <c r="F92" i="5"/>
  <c r="BD163" i="3"/>
  <c r="F88" i="5"/>
  <c r="F90" i="5" s="1"/>
  <c r="N53" i="5"/>
  <c r="N42" i="5"/>
  <c r="DC170" i="3"/>
  <c r="DB170" i="3"/>
  <c r="DC174" i="3"/>
  <c r="DB174" i="3"/>
  <c r="E51" i="3"/>
  <c r="E28" i="3"/>
  <c r="M128" i="5" l="1"/>
  <c r="M116" i="5"/>
  <c r="F94" i="5"/>
  <c r="M94" i="5" s="1"/>
  <c r="F95" i="5"/>
  <c r="M150" i="5"/>
  <c r="I150" i="5"/>
  <c r="J150" i="5" s="1"/>
  <c r="M104" i="5"/>
  <c r="F102" i="5"/>
  <c r="M102" i="5" s="1"/>
  <c r="F103" i="5"/>
  <c r="M125" i="5"/>
  <c r="DC180" i="3"/>
  <c r="DB180" i="3"/>
  <c r="S180" i="3" s="1"/>
  <c r="I130" i="8"/>
  <c r="G284" i="12"/>
  <c r="L283" i="12"/>
  <c r="G283" i="12"/>
  <c r="G233" i="12"/>
  <c r="L232" i="12"/>
  <c r="G232" i="12"/>
  <c r="G180" i="12"/>
  <c r="L179" i="12"/>
  <c r="G179" i="12"/>
  <c r="G129" i="12"/>
  <c r="L128" i="12"/>
  <c r="G128" i="12"/>
  <c r="G77" i="12"/>
  <c r="L76" i="12"/>
  <c r="G76" i="12"/>
  <c r="G24" i="12"/>
  <c r="G23" i="12"/>
  <c r="L23" i="12"/>
  <c r="G329" i="8"/>
  <c r="G267" i="8"/>
  <c r="G268" i="8"/>
  <c r="G208" i="8"/>
  <c r="G207" i="8"/>
  <c r="G138" i="8"/>
  <c r="G139" i="8"/>
  <c r="L329" i="8"/>
  <c r="L267" i="8"/>
  <c r="L207" i="8"/>
  <c r="L138" i="8"/>
  <c r="L71" i="8"/>
  <c r="L48" i="8"/>
  <c r="G72" i="8"/>
  <c r="G71" i="8"/>
  <c r="G49" i="8"/>
  <c r="G48" i="8"/>
  <c r="V9" i="12"/>
  <c r="L148" i="10"/>
  <c r="E72" i="10"/>
  <c r="E71" i="10"/>
  <c r="E70" i="10"/>
  <c r="E69" i="10"/>
  <c r="E66" i="10"/>
  <c r="N94" i="5" l="1"/>
  <c r="N102" i="5"/>
  <c r="N128" i="5"/>
  <c r="N116" i="5"/>
  <c r="M109" i="5"/>
  <c r="M95" i="5"/>
  <c r="N150" i="5"/>
  <c r="N104" i="5"/>
  <c r="M103" i="5"/>
  <c r="N125" i="5"/>
  <c r="L25" i="8"/>
  <c r="I17" i="8"/>
  <c r="I199" i="8"/>
  <c r="I276" i="12"/>
  <c r="I259" i="8"/>
  <c r="N95" i="5" l="1"/>
  <c r="N109" i="5"/>
  <c r="N103" i="5"/>
  <c r="L147" i="10"/>
  <c r="L63" i="10"/>
  <c r="L62" i="10"/>
  <c r="L61" i="10"/>
  <c r="L60" i="10"/>
  <c r="L59" i="10"/>
  <c r="L58" i="10"/>
  <c r="L57" i="10"/>
  <c r="L56" i="10"/>
  <c r="H273" i="12"/>
  <c r="H278" i="12" s="1"/>
  <c r="H222" i="12"/>
  <c r="H169" i="12"/>
  <c r="H176" i="12" s="1"/>
  <c r="H177" i="12" s="1"/>
  <c r="H118" i="12"/>
  <c r="H71" i="12"/>
  <c r="H18" i="12"/>
  <c r="I121" i="12"/>
  <c r="I16" i="12"/>
  <c r="H199" i="8"/>
  <c r="I63" i="8"/>
  <c r="I40" i="8"/>
  <c r="I172" i="12"/>
  <c r="I69" i="12"/>
  <c r="H323" i="8"/>
  <c r="H123" i="12"/>
  <c r="J123" i="12" s="1"/>
  <c r="K123" i="12" s="1"/>
  <c r="O123" i="12" s="1"/>
  <c r="H121" i="12"/>
  <c r="H120" i="12"/>
  <c r="I15" i="12"/>
  <c r="N284" i="12"/>
  <c r="O284" i="12" s="1"/>
  <c r="N283" i="12"/>
  <c r="O283" i="12" s="1"/>
  <c r="N232" i="12"/>
  <c r="O232" i="12" s="1"/>
  <c r="N180" i="12"/>
  <c r="O180" i="12" s="1"/>
  <c r="N179" i="12"/>
  <c r="O179" i="12" s="1"/>
  <c r="N128" i="12"/>
  <c r="O128" i="12" s="1"/>
  <c r="N76" i="12"/>
  <c r="O76" i="12" s="1"/>
  <c r="E28" i="12"/>
  <c r="I225" i="12"/>
  <c r="K206" i="12"/>
  <c r="H206" i="12"/>
  <c r="H48" i="12"/>
  <c r="H309" i="12"/>
  <c r="E288" i="12"/>
  <c r="D288" i="12"/>
  <c r="I280" i="12"/>
  <c r="I278" i="12"/>
  <c r="I275" i="12"/>
  <c r="G273" i="12"/>
  <c r="E237" i="12"/>
  <c r="D237" i="12"/>
  <c r="N233" i="12"/>
  <c r="O233" i="12" s="1"/>
  <c r="I229" i="12"/>
  <c r="I227" i="12"/>
  <c r="I224" i="12"/>
  <c r="G222" i="12"/>
  <c r="E184" i="12"/>
  <c r="D184" i="12"/>
  <c r="I176" i="12"/>
  <c r="I174" i="12"/>
  <c r="I171" i="12"/>
  <c r="G169" i="12"/>
  <c r="E133" i="12"/>
  <c r="D133" i="12"/>
  <c r="I125" i="12"/>
  <c r="I123" i="12"/>
  <c r="I120" i="12"/>
  <c r="G118" i="12"/>
  <c r="E81" i="12"/>
  <c r="D81" i="12"/>
  <c r="I73" i="12"/>
  <c r="I71" i="12"/>
  <c r="I68" i="12"/>
  <c r="G66" i="12"/>
  <c r="I20" i="12"/>
  <c r="D28" i="12"/>
  <c r="N23" i="12"/>
  <c r="O23" i="12" s="1"/>
  <c r="I18" i="12"/>
  <c r="I321" i="8"/>
  <c r="I320" i="8"/>
  <c r="H325" i="8"/>
  <c r="C333" i="8"/>
  <c r="E333" i="8"/>
  <c r="D333" i="8"/>
  <c r="H320" i="8"/>
  <c r="N329" i="8"/>
  <c r="O329" i="8" s="1"/>
  <c r="I326" i="8"/>
  <c r="I325" i="8"/>
  <c r="N302" i="8"/>
  <c r="I302" i="8"/>
  <c r="J302" i="8" s="1"/>
  <c r="K302" i="8" s="1"/>
  <c r="N301" i="8"/>
  <c r="I301" i="8"/>
  <c r="J301" i="8" s="1"/>
  <c r="K301" i="8" s="1"/>
  <c r="I282" i="8"/>
  <c r="J282" i="8" s="1"/>
  <c r="K282" i="8" s="1"/>
  <c r="O282" i="8" s="1"/>
  <c r="I243" i="8"/>
  <c r="I222" i="8"/>
  <c r="J222" i="8" s="1"/>
  <c r="K222" i="8" s="1"/>
  <c r="O222" i="8" s="1"/>
  <c r="N221" i="8"/>
  <c r="J221" i="8"/>
  <c r="K221" i="8" s="1"/>
  <c r="E212" i="8"/>
  <c r="H204" i="8" s="1"/>
  <c r="D212" i="8"/>
  <c r="I194" i="8" s="1"/>
  <c r="G196" i="8" s="1"/>
  <c r="N207" i="8"/>
  <c r="O207" i="8" s="1"/>
  <c r="I204" i="8"/>
  <c r="I203" i="8"/>
  <c r="I201" i="8"/>
  <c r="H201" i="8"/>
  <c r="I198" i="8"/>
  <c r="H198" i="8"/>
  <c r="E272" i="8"/>
  <c r="H264" i="8" s="1"/>
  <c r="D272" i="8"/>
  <c r="H263" i="8" s="1"/>
  <c r="N268" i="8"/>
  <c r="O268" i="8" s="1"/>
  <c r="N267" i="8"/>
  <c r="O267" i="8" s="1"/>
  <c r="I264" i="8"/>
  <c r="I263" i="8"/>
  <c r="I261" i="8"/>
  <c r="H261" i="8"/>
  <c r="H259" i="8"/>
  <c r="I258" i="8"/>
  <c r="H258" i="8"/>
  <c r="E76" i="8"/>
  <c r="H68" i="8" s="1"/>
  <c r="D76" i="8"/>
  <c r="H67" i="8" s="1"/>
  <c r="N72" i="8"/>
  <c r="O72" i="8" s="1"/>
  <c r="N71" i="8"/>
  <c r="O71" i="8" s="1"/>
  <c r="I68" i="8"/>
  <c r="I67" i="8"/>
  <c r="I65" i="8"/>
  <c r="H65" i="8"/>
  <c r="H63" i="8"/>
  <c r="I62" i="8"/>
  <c r="H62" i="8"/>
  <c r="J62" i="8" s="1"/>
  <c r="K62" i="8" s="1"/>
  <c r="O62" i="8" s="1"/>
  <c r="I161" i="8"/>
  <c r="J161" i="8" s="1"/>
  <c r="K161" i="8" s="1"/>
  <c r="O161" i="8" s="1"/>
  <c r="I183" i="8"/>
  <c r="E143" i="8"/>
  <c r="H135" i="8" s="1"/>
  <c r="D143" i="8"/>
  <c r="N138" i="8"/>
  <c r="O138" i="8" s="1"/>
  <c r="I135" i="8"/>
  <c r="I134" i="8"/>
  <c r="I132" i="8"/>
  <c r="H132" i="8"/>
  <c r="J132" i="8" s="1"/>
  <c r="K132" i="8" s="1"/>
  <c r="O132" i="8" s="1"/>
  <c r="H130" i="8"/>
  <c r="I129" i="8"/>
  <c r="H129" i="8"/>
  <c r="J129" i="8" s="1"/>
  <c r="I113" i="8"/>
  <c r="I114" i="8"/>
  <c r="J114" i="8" s="1"/>
  <c r="K114" i="8" s="1"/>
  <c r="N114" i="8"/>
  <c r="F81" i="12" l="1"/>
  <c r="G81" i="12" s="1"/>
  <c r="I272" i="12"/>
  <c r="K129" i="8"/>
  <c r="I117" i="12"/>
  <c r="H229" i="12"/>
  <c r="H230" i="12" s="1"/>
  <c r="N230" i="12" s="1"/>
  <c r="O230" i="12" s="1"/>
  <c r="F133" i="12"/>
  <c r="G133" i="12" s="1"/>
  <c r="H122" i="12" s="1"/>
  <c r="N122" i="12" s="1"/>
  <c r="O122" i="12" s="1"/>
  <c r="H172" i="12"/>
  <c r="H224" i="12"/>
  <c r="J224" i="12" s="1"/>
  <c r="F237" i="12"/>
  <c r="G237" i="12" s="1"/>
  <c r="H226" i="12" s="1"/>
  <c r="N226" i="12" s="1"/>
  <c r="O226" i="12" s="1"/>
  <c r="H280" i="12"/>
  <c r="H281" i="12" s="1"/>
  <c r="N281" i="12" s="1"/>
  <c r="O281" i="12" s="1"/>
  <c r="H225" i="12"/>
  <c r="J225" i="12" s="1"/>
  <c r="K225" i="12" s="1"/>
  <c r="O225" i="12" s="1"/>
  <c r="H125" i="12"/>
  <c r="H126" i="12" s="1"/>
  <c r="N126" i="12" s="1"/>
  <c r="O126" i="12" s="1"/>
  <c r="H227" i="12"/>
  <c r="J227" i="12" s="1"/>
  <c r="K227" i="12" s="1"/>
  <c r="O227" i="12" s="1"/>
  <c r="F184" i="12"/>
  <c r="G184" i="12" s="1"/>
  <c r="H173" i="12" s="1"/>
  <c r="N173" i="12" s="1"/>
  <c r="O173" i="12" s="1"/>
  <c r="H171" i="12"/>
  <c r="J171" i="12" s="1"/>
  <c r="F288" i="12"/>
  <c r="G288" i="12" s="1"/>
  <c r="H277" i="12" s="1"/>
  <c r="N277" i="12" s="1"/>
  <c r="H275" i="12"/>
  <c r="J275" i="12" s="1"/>
  <c r="H174" i="12"/>
  <c r="J174" i="12" s="1"/>
  <c r="K174" i="12" s="1"/>
  <c r="O174" i="12" s="1"/>
  <c r="H276" i="12"/>
  <c r="F333" i="8"/>
  <c r="G333" i="8" s="1"/>
  <c r="H322" i="8" s="1"/>
  <c r="N322" i="8" s="1"/>
  <c r="O322" i="8" s="1"/>
  <c r="H134" i="8"/>
  <c r="J134" i="8" s="1"/>
  <c r="K134" i="8" s="1"/>
  <c r="O134" i="8" s="1"/>
  <c r="G28" i="12"/>
  <c r="H17" i="12" s="1"/>
  <c r="H68" i="12"/>
  <c r="J68" i="12" s="1"/>
  <c r="K68" i="12" s="1"/>
  <c r="O68" i="12" s="1"/>
  <c r="H69" i="12"/>
  <c r="J69" i="12" s="1"/>
  <c r="K69" i="12" s="1"/>
  <c r="O69" i="12" s="1"/>
  <c r="H16" i="12"/>
  <c r="J16" i="12" s="1"/>
  <c r="H15" i="12"/>
  <c r="J15" i="12" s="1"/>
  <c r="J198" i="8"/>
  <c r="K198" i="8" s="1"/>
  <c r="O198" i="8" s="1"/>
  <c r="F76" i="8"/>
  <c r="F143" i="8"/>
  <c r="G143" i="8" s="1"/>
  <c r="H131" i="8" s="1"/>
  <c r="N131" i="8" s="1"/>
  <c r="F272" i="8"/>
  <c r="H73" i="12"/>
  <c r="H74" i="12" s="1"/>
  <c r="N74" i="12" s="1"/>
  <c r="O74" i="12" s="1"/>
  <c r="H20" i="12"/>
  <c r="H21" i="12" s="1"/>
  <c r="F212" i="8"/>
  <c r="G212" i="8" s="1"/>
  <c r="H200" i="8" s="1"/>
  <c r="N200" i="8" s="1"/>
  <c r="O200" i="8" s="1"/>
  <c r="J278" i="12"/>
  <c r="K278" i="12" s="1"/>
  <c r="O278" i="12" s="1"/>
  <c r="N177" i="12"/>
  <c r="O177" i="12" s="1"/>
  <c r="J276" i="12"/>
  <c r="K276" i="12" s="1"/>
  <c r="O276" i="12" s="1"/>
  <c r="I221" i="12"/>
  <c r="I65" i="12"/>
  <c r="I168" i="12"/>
  <c r="J71" i="12"/>
  <c r="K71" i="12" s="1"/>
  <c r="O71" i="12" s="1"/>
  <c r="J172" i="12"/>
  <c r="K172" i="12" s="1"/>
  <c r="O172" i="12" s="1"/>
  <c r="J120" i="12"/>
  <c r="J121" i="12"/>
  <c r="N129" i="12"/>
  <c r="O129" i="12" s="1"/>
  <c r="N77" i="12"/>
  <c r="O77" i="12" s="1"/>
  <c r="J18" i="12"/>
  <c r="K18" i="12" s="1"/>
  <c r="O18" i="12" s="1"/>
  <c r="H321" i="8"/>
  <c r="J321" i="8" s="1"/>
  <c r="K321" i="8" s="1"/>
  <c r="O321" i="8" s="1"/>
  <c r="I12" i="12"/>
  <c r="G13" i="12" s="1"/>
  <c r="H326" i="8"/>
  <c r="H327" i="8" s="1"/>
  <c r="N327" i="8" s="1"/>
  <c r="H203" i="8"/>
  <c r="H205" i="8" s="1"/>
  <c r="N205" i="8" s="1"/>
  <c r="O205" i="8" s="1"/>
  <c r="J325" i="8"/>
  <c r="K325" i="8" s="1"/>
  <c r="O325" i="8" s="1"/>
  <c r="I316" i="8"/>
  <c r="G318" i="8" s="1"/>
  <c r="J320" i="8"/>
  <c r="K320" i="8" s="1"/>
  <c r="O320" i="8" s="1"/>
  <c r="J204" i="8"/>
  <c r="K204" i="8" s="1"/>
  <c r="O204" i="8" s="1"/>
  <c r="H69" i="8"/>
  <c r="N69" i="8" s="1"/>
  <c r="O69" i="8" s="1"/>
  <c r="J263" i="8"/>
  <c r="K263" i="8" s="1"/>
  <c r="O263" i="8" s="1"/>
  <c r="O302" i="8"/>
  <c r="O301" i="8"/>
  <c r="J65" i="8"/>
  <c r="K65" i="8" s="1"/>
  <c r="O65" i="8" s="1"/>
  <c r="J261" i="8"/>
  <c r="K261" i="8" s="1"/>
  <c r="O261" i="8" s="1"/>
  <c r="J259" i="8"/>
  <c r="K259" i="8" s="1"/>
  <c r="O259" i="8" s="1"/>
  <c r="J199" i="8"/>
  <c r="J201" i="8"/>
  <c r="K201" i="8" s="1"/>
  <c r="O201" i="8" s="1"/>
  <c r="O221" i="8"/>
  <c r="J68" i="8"/>
  <c r="K68" i="8" s="1"/>
  <c r="O68" i="8" s="1"/>
  <c r="J258" i="8"/>
  <c r="K258" i="8" s="1"/>
  <c r="O258" i="8" s="1"/>
  <c r="J264" i="8"/>
  <c r="K264" i="8" s="1"/>
  <c r="O264" i="8" s="1"/>
  <c r="J135" i="8"/>
  <c r="K135" i="8" s="1"/>
  <c r="O135" i="8" s="1"/>
  <c r="G272" i="8"/>
  <c r="H260" i="8" s="1"/>
  <c r="N260" i="8" s="1"/>
  <c r="O260" i="8" s="1"/>
  <c r="J63" i="8"/>
  <c r="K63" i="8" s="1"/>
  <c r="O63" i="8" s="1"/>
  <c r="I254" i="8"/>
  <c r="G256" i="8" s="1"/>
  <c r="G76" i="8"/>
  <c r="H64" i="8" s="1"/>
  <c r="N64" i="8" s="1"/>
  <c r="O64" i="8" s="1"/>
  <c r="I58" i="8"/>
  <c r="G60" i="8" s="1"/>
  <c r="J130" i="8"/>
  <c r="N139" i="8" s="1"/>
  <c r="O139" i="8" s="1"/>
  <c r="I125" i="8"/>
  <c r="G127" i="8" s="1"/>
  <c r="O114" i="8"/>
  <c r="H70" i="12" l="1"/>
  <c r="N70" i="12" s="1"/>
  <c r="O70" i="12" s="1"/>
  <c r="J280" i="12"/>
  <c r="K280" i="12" s="1"/>
  <c r="O280" i="12" s="1"/>
  <c r="O131" i="8"/>
  <c r="J149" i="8"/>
  <c r="O129" i="8"/>
  <c r="O277" i="12"/>
  <c r="N294" i="12"/>
  <c r="J20" i="12"/>
  <c r="K20" i="12" s="1"/>
  <c r="O20" i="12" s="1"/>
  <c r="K199" i="8"/>
  <c r="O199" i="8" s="1"/>
  <c r="N208" i="8"/>
  <c r="O208" i="8" s="1"/>
  <c r="J176" i="12"/>
  <c r="K176" i="12" s="1"/>
  <c r="O176" i="12" s="1"/>
  <c r="K224" i="12"/>
  <c r="O224" i="12" s="1"/>
  <c r="K120" i="12"/>
  <c r="J229" i="12"/>
  <c r="K229" i="12" s="1"/>
  <c r="O229" i="12" s="1"/>
  <c r="N243" i="12"/>
  <c r="N190" i="12"/>
  <c r="N139" i="12"/>
  <c r="K15" i="12"/>
  <c r="K275" i="12"/>
  <c r="J125" i="12"/>
  <c r="K125" i="12" s="1"/>
  <c r="O125" i="12" s="1"/>
  <c r="K171" i="12"/>
  <c r="N21" i="12"/>
  <c r="O21" i="12" s="1"/>
  <c r="K121" i="12"/>
  <c r="J73" i="12"/>
  <c r="K73" i="12" s="1"/>
  <c r="O73" i="12" s="1"/>
  <c r="J326" i="8"/>
  <c r="K326" i="8" s="1"/>
  <c r="O326" i="8" s="1"/>
  <c r="N17" i="12"/>
  <c r="N24" i="12"/>
  <c r="O24" i="12" s="1"/>
  <c r="K16" i="12"/>
  <c r="O16" i="12" s="1"/>
  <c r="H265" i="8"/>
  <c r="N265" i="8" s="1"/>
  <c r="O265" i="8" s="1"/>
  <c r="N323" i="8"/>
  <c r="O323" i="8" s="1"/>
  <c r="O327" i="8"/>
  <c r="J67" i="8"/>
  <c r="K67" i="8" s="1"/>
  <c r="O67" i="8" s="1"/>
  <c r="J203" i="8"/>
  <c r="K203" i="8" s="1"/>
  <c r="O203" i="8" s="1"/>
  <c r="H136" i="8"/>
  <c r="N136" i="8" s="1"/>
  <c r="O136" i="8" s="1"/>
  <c r="K130" i="8"/>
  <c r="O130" i="8" s="1"/>
  <c r="J294" i="12" l="1"/>
  <c r="K149" i="8"/>
  <c r="N149" i="8"/>
  <c r="J33" i="12"/>
  <c r="O17" i="12"/>
  <c r="N33" i="12"/>
  <c r="J190" i="12"/>
  <c r="K190" i="12"/>
  <c r="J243" i="12"/>
  <c r="J139" i="12"/>
  <c r="O120" i="12"/>
  <c r="K139" i="12"/>
  <c r="O15" i="12"/>
  <c r="K33" i="12"/>
  <c r="O275" i="12"/>
  <c r="K294" i="12"/>
  <c r="O171" i="12"/>
  <c r="O121" i="12"/>
  <c r="I87" i="8"/>
  <c r="J87" i="8" s="1"/>
  <c r="K87" i="8" s="1"/>
  <c r="O87" i="8" s="1"/>
  <c r="E53" i="8"/>
  <c r="H45" i="8" s="1"/>
  <c r="D53" i="8"/>
  <c r="N48" i="8"/>
  <c r="O48" i="8" s="1"/>
  <c r="I45" i="8"/>
  <c r="I44" i="8"/>
  <c r="I42" i="8"/>
  <c r="H42" i="8"/>
  <c r="J42" i="8" s="1"/>
  <c r="K42" i="8" s="1"/>
  <c r="O42" i="8" s="1"/>
  <c r="H40" i="8"/>
  <c r="I39" i="8"/>
  <c r="H39" i="8"/>
  <c r="H44" i="8" l="1"/>
  <c r="H46" i="8" s="1"/>
  <c r="N46" i="8" s="1"/>
  <c r="O46" i="8" s="1"/>
  <c r="F53" i="8"/>
  <c r="J45" i="8"/>
  <c r="K45" i="8" s="1"/>
  <c r="O45" i="8" s="1"/>
  <c r="J39" i="8"/>
  <c r="J40" i="8"/>
  <c r="K40" i="8" s="1"/>
  <c r="O40" i="8" s="1"/>
  <c r="N49" i="8"/>
  <c r="O49" i="8" s="1"/>
  <c r="G53" i="8"/>
  <c r="H41" i="8" s="1"/>
  <c r="N41" i="8" s="1"/>
  <c r="O41" i="8" s="1"/>
  <c r="I35" i="8"/>
  <c r="G37" i="8" s="1"/>
  <c r="K39" i="8" l="1"/>
  <c r="O39" i="8" s="1"/>
  <c r="J44" i="8"/>
  <c r="K44" i="8" s="1"/>
  <c r="O44" i="8" s="1"/>
  <c r="I22" i="8"/>
  <c r="I21" i="8"/>
  <c r="H19" i="8"/>
  <c r="I19" i="8"/>
  <c r="H16" i="8"/>
  <c r="H17" i="8"/>
  <c r="E30" i="8"/>
  <c r="H22" i="8" s="1"/>
  <c r="D30" i="8"/>
  <c r="I16" i="8"/>
  <c r="B30" i="2"/>
  <c r="B24" i="2"/>
  <c r="B23" i="2"/>
  <c r="C60" i="1"/>
  <c r="I292" i="8" a="1"/>
  <c r="I292" i="8" s="1"/>
  <c r="J292" i="8" s="1"/>
  <c r="K292" i="8" s="1"/>
  <c r="I291" i="8" a="1"/>
  <c r="I291" i="8" s="1"/>
  <c r="J291" i="8" s="1"/>
  <c r="K291" i="8" s="1"/>
  <c r="I290" i="8" a="1"/>
  <c r="I290" i="8" s="1"/>
  <c r="J290" i="8" s="1"/>
  <c r="K290" i="8" s="1"/>
  <c r="I289" i="8" a="1"/>
  <c r="I289" i="8" s="1"/>
  <c r="L235" i="8" a="1"/>
  <c r="L235" i="8" s="1"/>
  <c r="N235" i="8" s="1"/>
  <c r="I235" i="8" a="1"/>
  <c r="I235" i="8" s="1"/>
  <c r="J235" i="8" s="1"/>
  <c r="K235" i="8" s="1"/>
  <c r="L234" i="8" a="1"/>
  <c r="L234" i="8" s="1"/>
  <c r="N234" i="8" s="1"/>
  <c r="I234" i="8" a="1"/>
  <c r="I234" i="8" s="1"/>
  <c r="J234" i="8" s="1"/>
  <c r="K234" i="8" s="1"/>
  <c r="L233" i="8" a="1"/>
  <c r="L233" i="8" s="1"/>
  <c r="N233" i="8" s="1"/>
  <c r="I233" i="8" a="1"/>
  <c r="I233" i="8" s="1"/>
  <c r="J233" i="8" s="1"/>
  <c r="K233" i="8" s="1"/>
  <c r="L232" i="8" a="1"/>
  <c r="L232" i="8" s="1"/>
  <c r="I232" i="8" a="1"/>
  <c r="I232" i="8" s="1"/>
  <c r="J232" i="8" s="1"/>
  <c r="K232" i="8" s="1"/>
  <c r="L231" i="8" a="1"/>
  <c r="L231" i="8" s="1"/>
  <c r="I231" i="8" a="1"/>
  <c r="I231" i="8" s="1"/>
  <c r="J231" i="8" s="1"/>
  <c r="K231" i="8" s="1"/>
  <c r="L230" i="8" a="1"/>
  <c r="L230" i="8" s="1"/>
  <c r="I230" i="8" a="1"/>
  <c r="I230" i="8" s="1"/>
  <c r="J230" i="8" s="1"/>
  <c r="K230" i="8" s="1"/>
  <c r="L229" i="8" a="1"/>
  <c r="L229" i="8" s="1"/>
  <c r="I229" i="8" a="1"/>
  <c r="I229" i="8" s="1"/>
  <c r="L175" i="8" a="1"/>
  <c r="L175" i="8" s="1"/>
  <c r="N175" i="8" s="1"/>
  <c r="L174" i="8" a="1"/>
  <c r="L174" i="8" s="1"/>
  <c r="N174" i="8" s="1"/>
  <c r="L173" i="8" a="1"/>
  <c r="L173" i="8" s="1"/>
  <c r="N173" i="8" s="1"/>
  <c r="L172" i="8" a="1"/>
  <c r="L172" i="8" s="1"/>
  <c r="N172" i="8" s="1"/>
  <c r="L171" i="8" a="1"/>
  <c r="L171" i="8" s="1"/>
  <c r="L170" i="8" a="1"/>
  <c r="L170" i="8" s="1"/>
  <c r="L169" i="8" a="1"/>
  <c r="L169" i="8" s="1"/>
  <c r="L168" i="8" a="1"/>
  <c r="L168" i="8" s="1"/>
  <c r="L300" i="12" a="1"/>
  <c r="L300" i="12" s="1"/>
  <c r="N300" i="12" s="1"/>
  <c r="I300" i="12" a="1"/>
  <c r="I300" i="12" s="1"/>
  <c r="J300" i="12" s="1"/>
  <c r="K300" i="12" s="1"/>
  <c r="L305" i="12" a="1"/>
  <c r="L305" i="12" s="1"/>
  <c r="N305" i="12" s="1"/>
  <c r="I305" i="12" a="1"/>
  <c r="I305" i="12" s="1"/>
  <c r="J305" i="12" s="1"/>
  <c r="K305" i="12" s="1"/>
  <c r="L304" i="12" a="1"/>
  <c r="L304" i="12" s="1"/>
  <c r="N304" i="12" s="1"/>
  <c r="I304" i="12" a="1"/>
  <c r="I304" i="12" s="1"/>
  <c r="J304" i="12" s="1"/>
  <c r="K304" i="12" s="1"/>
  <c r="L303" i="12" a="1"/>
  <c r="L303" i="12" s="1"/>
  <c r="N303" i="12" s="1"/>
  <c r="I303" i="12" a="1"/>
  <c r="I303" i="12" s="1"/>
  <c r="J303" i="12" s="1"/>
  <c r="K303" i="12" s="1"/>
  <c r="L302" i="12" a="1"/>
  <c r="L302" i="12" s="1"/>
  <c r="N302" i="12" s="1"/>
  <c r="I302" i="12" a="1"/>
  <c r="I302" i="12" s="1"/>
  <c r="J302" i="12" s="1"/>
  <c r="K302" i="12" s="1"/>
  <c r="L301" i="12" a="1"/>
  <c r="L301" i="12" s="1"/>
  <c r="N301" i="12" s="1"/>
  <c r="I301" i="12" a="1"/>
  <c r="I301" i="12" s="1"/>
  <c r="J301" i="12" s="1"/>
  <c r="K301" i="12" s="1"/>
  <c r="L299" i="12" a="1"/>
  <c r="L299" i="12" s="1"/>
  <c r="N299" i="12" s="1"/>
  <c r="I299" i="12" a="1"/>
  <c r="I299" i="12" s="1"/>
  <c r="J299" i="12" s="1"/>
  <c r="L252" i="12" a="1"/>
  <c r="L252" i="12" s="1"/>
  <c r="N252" i="12" s="1"/>
  <c r="L251" i="12" a="1"/>
  <c r="L251" i="12" s="1"/>
  <c r="N251" i="12" s="1"/>
  <c r="L250" i="12" a="1"/>
  <c r="L250" i="12" s="1"/>
  <c r="N250" i="12" s="1"/>
  <c r="L249" i="12" a="1"/>
  <c r="L249" i="12" s="1"/>
  <c r="N249" i="12" s="1"/>
  <c r="L248" i="12" a="1"/>
  <c r="L248" i="12" s="1"/>
  <c r="N248" i="12" s="1"/>
  <c r="L202" i="12" a="1"/>
  <c r="L202" i="12" s="1"/>
  <c r="N202" i="12" s="1"/>
  <c r="L200" i="12" a="1"/>
  <c r="L200" i="12" s="1"/>
  <c r="N200" i="12" s="1"/>
  <c r="L199" i="12" a="1"/>
  <c r="L199" i="12" s="1"/>
  <c r="N199" i="12" s="1"/>
  <c r="L198" i="12" a="1"/>
  <c r="L198" i="12" s="1"/>
  <c r="N198" i="12" s="1"/>
  <c r="L145" i="12" a="1"/>
  <c r="L145" i="12" s="1"/>
  <c r="N145" i="12" s="1"/>
  <c r="L144" i="12" a="1"/>
  <c r="L144" i="12" s="1"/>
  <c r="N144" i="12" s="1"/>
  <c r="K528" i="5" a="1"/>
  <c r="K528" i="5" s="1"/>
  <c r="H528" i="5" a="1"/>
  <c r="H528" i="5" s="1"/>
  <c r="H527" i="5" a="1"/>
  <c r="H527" i="5" s="1"/>
  <c r="H526" i="5" a="1"/>
  <c r="H526" i="5" s="1"/>
  <c r="K525" i="5" a="1"/>
  <c r="K525" i="5" s="1"/>
  <c r="H525" i="5" a="1"/>
  <c r="H525" i="5" s="1"/>
  <c r="K524" i="5" a="1"/>
  <c r="K524" i="5" s="1"/>
  <c r="H524" i="5" a="1"/>
  <c r="H524" i="5" s="1"/>
  <c r="K523" i="5" a="1"/>
  <c r="K523" i="5" s="1"/>
  <c r="H523" i="5" a="1"/>
  <c r="H523" i="5" s="1"/>
  <c r="H522" i="5" a="1"/>
  <c r="H522" i="5" s="1"/>
  <c r="H521" i="5" a="1"/>
  <c r="H521" i="5" s="1"/>
  <c r="H520" i="5" a="1"/>
  <c r="H520" i="5" s="1"/>
  <c r="H384" i="5" a="1"/>
  <c r="H384" i="5" s="1"/>
  <c r="H383" i="5" a="1"/>
  <c r="H383" i="5" s="1"/>
  <c r="H382" i="5" a="1"/>
  <c r="H382" i="5" s="1"/>
  <c r="DC288" i="3"/>
  <c r="DB288" i="3"/>
  <c r="DC287" i="3"/>
  <c r="DB287" i="3"/>
  <c r="DC286" i="3"/>
  <c r="DB286" i="3"/>
  <c r="DC285" i="3"/>
  <c r="DB285" i="3"/>
  <c r="DC284" i="3"/>
  <c r="DB284" i="3"/>
  <c r="DC283" i="3"/>
  <c r="DB283" i="3"/>
  <c r="DC281" i="3"/>
  <c r="DB281" i="3"/>
  <c r="DC280" i="3"/>
  <c r="DB280" i="3"/>
  <c r="DC279" i="3"/>
  <c r="DB279" i="3"/>
  <c r="DC278" i="3"/>
  <c r="DB278" i="3"/>
  <c r="DC269" i="3"/>
  <c r="DB269" i="3"/>
  <c r="DC225" i="3"/>
  <c r="DB225" i="3"/>
  <c r="DC224" i="3"/>
  <c r="DB224" i="3"/>
  <c r="DC223" i="3"/>
  <c r="DB223" i="3"/>
  <c r="DC219" i="3"/>
  <c r="DB219" i="3"/>
  <c r="DC218" i="3"/>
  <c r="DB218" i="3"/>
  <c r="DC217" i="3"/>
  <c r="DB217" i="3"/>
  <c r="DC216" i="3"/>
  <c r="DB216" i="3"/>
  <c r="DC215" i="3"/>
  <c r="DB215" i="3"/>
  <c r="DC208" i="3"/>
  <c r="DB208" i="3"/>
  <c r="DC207" i="3"/>
  <c r="DB207" i="3"/>
  <c r="DC206" i="3"/>
  <c r="DB206" i="3"/>
  <c r="DC205" i="3"/>
  <c r="DB205" i="3"/>
  <c r="DC204" i="3"/>
  <c r="DB204" i="3"/>
  <c r="C184" i="3"/>
  <c r="C162" i="3"/>
  <c r="C63" i="1"/>
  <c r="C62" i="1"/>
  <c r="H277" i="8"/>
  <c r="S307" i="8"/>
  <c r="R307" i="8"/>
  <c r="G304" i="8"/>
  <c r="N304" i="8"/>
  <c r="H297" i="8"/>
  <c r="R13" i="1" s="1"/>
  <c r="G284" i="8"/>
  <c r="N281" i="8"/>
  <c r="N284" i="8" s="1"/>
  <c r="J281" i="8"/>
  <c r="K281" i="8" s="1"/>
  <c r="R251" i="8"/>
  <c r="S318" i="12"/>
  <c r="R318" i="12"/>
  <c r="G315" i="12"/>
  <c r="N313" i="12"/>
  <c r="N315" i="12" s="1"/>
  <c r="J313" i="12"/>
  <c r="K313" i="12" s="1"/>
  <c r="K315" i="12" s="1"/>
  <c r="R269" i="12"/>
  <c r="S266" i="12"/>
  <c r="R266" i="12"/>
  <c r="G263" i="12"/>
  <c r="N261" i="12"/>
  <c r="N263" i="12" s="1"/>
  <c r="J261" i="12"/>
  <c r="K261" i="12" s="1"/>
  <c r="H257" i="12"/>
  <c r="R218" i="12"/>
  <c r="S215" i="12"/>
  <c r="R215" i="12"/>
  <c r="G212" i="12"/>
  <c r="N210" i="12"/>
  <c r="N212" i="12" s="1"/>
  <c r="J210" i="12"/>
  <c r="K210" i="12" s="1"/>
  <c r="K212" i="12" s="1"/>
  <c r="R165" i="12"/>
  <c r="S162" i="12"/>
  <c r="R162" i="12"/>
  <c r="G159" i="12"/>
  <c r="N157" i="12"/>
  <c r="N159" i="12" s="1"/>
  <c r="J157" i="12"/>
  <c r="K157" i="12" s="1"/>
  <c r="H153" i="12"/>
  <c r="R114" i="12"/>
  <c r="N54" i="12"/>
  <c r="J54" i="12"/>
  <c r="K54" i="12" s="1"/>
  <c r="C535" i="5" a="1"/>
  <c r="C535" i="5" s="1"/>
  <c r="CW301" i="3"/>
  <c r="CV301" i="3"/>
  <c r="CU301" i="3"/>
  <c r="CT301" i="3"/>
  <c r="CS301" i="3"/>
  <c r="CW300" i="3"/>
  <c r="CV300" i="3"/>
  <c r="CU300" i="3"/>
  <c r="CT300" i="3"/>
  <c r="CS300" i="3"/>
  <c r="CW291" i="3"/>
  <c r="CV291" i="3"/>
  <c r="CU291" i="3"/>
  <c r="CT291" i="3"/>
  <c r="CS291" i="3"/>
  <c r="CW290" i="3"/>
  <c r="CV290" i="3"/>
  <c r="CU290" i="3"/>
  <c r="CT290" i="3"/>
  <c r="CS290" i="3"/>
  <c r="CW288" i="3"/>
  <c r="CV288" i="3"/>
  <c r="CU288" i="3"/>
  <c r="CT288" i="3"/>
  <c r="CS288" i="3"/>
  <c r="CW287" i="3"/>
  <c r="CV287" i="3"/>
  <c r="CU287" i="3"/>
  <c r="CT287" i="3"/>
  <c r="CS287" i="3"/>
  <c r="CW286" i="3"/>
  <c r="CV286" i="3"/>
  <c r="CU286" i="3"/>
  <c r="CT286" i="3"/>
  <c r="CS286" i="3"/>
  <c r="CW285" i="3"/>
  <c r="CV285" i="3"/>
  <c r="CU285" i="3"/>
  <c r="CT285" i="3"/>
  <c r="CS285" i="3"/>
  <c r="CW284" i="3"/>
  <c r="CV284" i="3"/>
  <c r="CU284" i="3"/>
  <c r="CT284" i="3"/>
  <c r="CS284" i="3"/>
  <c r="CW283" i="3"/>
  <c r="CV283" i="3"/>
  <c r="CU283" i="3"/>
  <c r="CT283" i="3"/>
  <c r="CS283" i="3"/>
  <c r="CW282" i="3"/>
  <c r="CV282" i="3"/>
  <c r="CU282" i="3"/>
  <c r="CT282" i="3"/>
  <c r="CS282" i="3"/>
  <c r="CW281" i="3"/>
  <c r="CV281" i="3"/>
  <c r="CU281" i="3"/>
  <c r="CT281" i="3"/>
  <c r="CS281" i="3"/>
  <c r="CR281" i="3"/>
  <c r="CW280" i="3"/>
  <c r="CV280" i="3"/>
  <c r="CU280" i="3"/>
  <c r="CT280" i="3"/>
  <c r="CS280" i="3"/>
  <c r="CR280" i="3"/>
  <c r="CW279" i="3"/>
  <c r="CV279" i="3"/>
  <c r="CU279" i="3"/>
  <c r="CT279" i="3"/>
  <c r="CS279" i="3"/>
  <c r="CR279" i="3"/>
  <c r="CW278" i="3"/>
  <c r="CV278" i="3"/>
  <c r="CU278" i="3"/>
  <c r="CT278" i="3"/>
  <c r="CS278" i="3"/>
  <c r="CR278" i="3"/>
  <c r="CW277" i="3"/>
  <c r="CV277" i="3"/>
  <c r="CU277" i="3"/>
  <c r="CT277" i="3"/>
  <c r="CS277" i="3"/>
  <c r="CR277" i="3"/>
  <c r="CW276" i="3"/>
  <c r="CV276" i="3"/>
  <c r="CU276" i="3"/>
  <c r="CT276" i="3"/>
  <c r="CS276" i="3"/>
  <c r="CR276" i="3"/>
  <c r="CW275" i="3"/>
  <c r="CV275" i="3"/>
  <c r="CU275" i="3"/>
  <c r="CT275" i="3"/>
  <c r="CS275" i="3"/>
  <c r="CR275" i="3"/>
  <c r="CW274" i="3"/>
  <c r="CV274" i="3"/>
  <c r="CU274" i="3"/>
  <c r="CT274" i="3"/>
  <c r="CS274" i="3"/>
  <c r="CR274" i="3"/>
  <c r="CW273" i="3"/>
  <c r="CV273" i="3"/>
  <c r="CU273" i="3"/>
  <c r="CT273" i="3"/>
  <c r="CS273" i="3"/>
  <c r="CR273" i="3"/>
  <c r="CW272" i="3"/>
  <c r="CV272" i="3"/>
  <c r="CU272" i="3"/>
  <c r="CT272" i="3"/>
  <c r="CS272" i="3"/>
  <c r="CR272" i="3"/>
  <c r="CW271" i="3"/>
  <c r="CV271" i="3"/>
  <c r="CU271" i="3"/>
  <c r="CT271" i="3"/>
  <c r="CS271" i="3"/>
  <c r="CR271" i="3"/>
  <c r="CW270" i="3"/>
  <c r="CV270" i="3"/>
  <c r="CU270" i="3"/>
  <c r="CT270" i="3"/>
  <c r="CS270" i="3"/>
  <c r="CR270" i="3"/>
  <c r="CW269" i="3"/>
  <c r="CV269" i="3"/>
  <c r="CU269" i="3"/>
  <c r="CT269" i="3"/>
  <c r="CS269" i="3"/>
  <c r="CR269" i="3"/>
  <c r="CW268" i="3"/>
  <c r="CV268" i="3"/>
  <c r="CU268" i="3"/>
  <c r="CT268" i="3"/>
  <c r="CS268" i="3"/>
  <c r="CR268" i="3"/>
  <c r="CW267" i="3"/>
  <c r="CV267" i="3"/>
  <c r="CU267" i="3"/>
  <c r="CT267" i="3"/>
  <c r="CS267" i="3"/>
  <c r="CR267" i="3"/>
  <c r="CW266" i="3"/>
  <c r="CV266" i="3"/>
  <c r="CU266" i="3"/>
  <c r="CT266" i="3"/>
  <c r="CS266" i="3"/>
  <c r="CR266" i="3"/>
  <c r="CW265" i="3"/>
  <c r="CV265" i="3"/>
  <c r="CU265" i="3"/>
  <c r="CT265" i="3"/>
  <c r="CS265" i="3"/>
  <c r="CR265" i="3"/>
  <c r="CW264" i="3"/>
  <c r="CV264" i="3"/>
  <c r="CU264" i="3"/>
  <c r="CT264" i="3"/>
  <c r="CS264" i="3"/>
  <c r="CR264" i="3"/>
  <c r="CW263" i="3"/>
  <c r="CV263" i="3"/>
  <c r="CU263" i="3"/>
  <c r="CT263" i="3"/>
  <c r="CS263" i="3"/>
  <c r="CR263" i="3"/>
  <c r="CW262" i="3"/>
  <c r="CV262" i="3"/>
  <c r="CU262" i="3"/>
  <c r="CT262" i="3"/>
  <c r="CS262" i="3"/>
  <c r="CR262" i="3"/>
  <c r="CW261" i="3"/>
  <c r="CV261" i="3"/>
  <c r="CU261" i="3"/>
  <c r="CT261" i="3"/>
  <c r="CS261" i="3"/>
  <c r="CR261" i="3"/>
  <c r="CW260" i="3"/>
  <c r="CV260" i="3"/>
  <c r="CU260" i="3"/>
  <c r="CT260" i="3"/>
  <c r="CS260" i="3"/>
  <c r="CR260" i="3"/>
  <c r="CW259" i="3"/>
  <c r="CV259" i="3"/>
  <c r="CU259" i="3"/>
  <c r="CT259" i="3"/>
  <c r="CS259" i="3"/>
  <c r="CR259" i="3"/>
  <c r="CW258" i="3"/>
  <c r="CV258" i="3"/>
  <c r="CU258" i="3"/>
  <c r="CT258" i="3"/>
  <c r="CS258" i="3"/>
  <c r="CR258" i="3"/>
  <c r="CW257" i="3"/>
  <c r="CV257" i="3"/>
  <c r="CU257" i="3"/>
  <c r="CT257" i="3"/>
  <c r="CS257" i="3"/>
  <c r="CR257" i="3"/>
  <c r="CW256" i="3"/>
  <c r="CV256" i="3"/>
  <c r="CU256" i="3"/>
  <c r="CT256" i="3"/>
  <c r="CS256" i="3"/>
  <c r="CR256" i="3"/>
  <c r="CW255" i="3"/>
  <c r="CV255" i="3"/>
  <c r="CU255" i="3"/>
  <c r="CT255" i="3"/>
  <c r="CS255" i="3"/>
  <c r="CR255" i="3"/>
  <c r="CW254" i="3"/>
  <c r="CV254" i="3"/>
  <c r="CU254" i="3"/>
  <c r="CT254" i="3"/>
  <c r="CS254" i="3"/>
  <c r="CR254" i="3"/>
  <c r="CW253" i="3"/>
  <c r="CV253" i="3"/>
  <c r="CU253" i="3"/>
  <c r="CT253" i="3"/>
  <c r="CS253" i="3"/>
  <c r="CR253" i="3"/>
  <c r="CW252" i="3"/>
  <c r="CV252" i="3"/>
  <c r="CU252" i="3"/>
  <c r="CT252" i="3"/>
  <c r="CS252" i="3"/>
  <c r="CR252" i="3"/>
  <c r="CW251" i="3"/>
  <c r="CV251" i="3"/>
  <c r="CU251" i="3"/>
  <c r="CT251" i="3"/>
  <c r="CS251" i="3"/>
  <c r="CR251" i="3"/>
  <c r="CW250" i="3"/>
  <c r="CV250" i="3"/>
  <c r="CU250" i="3"/>
  <c r="CT250" i="3"/>
  <c r="CS250" i="3"/>
  <c r="CR250" i="3"/>
  <c r="CW249" i="3"/>
  <c r="CV249" i="3"/>
  <c r="CU249" i="3"/>
  <c r="CT249" i="3"/>
  <c r="CS249" i="3"/>
  <c r="CR249" i="3"/>
  <c r="CW248" i="3"/>
  <c r="CV248" i="3"/>
  <c r="CU248" i="3"/>
  <c r="CT248" i="3"/>
  <c r="CS248" i="3"/>
  <c r="CR248" i="3"/>
  <c r="CW247" i="3"/>
  <c r="CV247" i="3"/>
  <c r="CU247" i="3"/>
  <c r="CT247" i="3"/>
  <c r="CS247" i="3"/>
  <c r="CR247" i="3"/>
  <c r="CW246" i="3"/>
  <c r="CV246" i="3"/>
  <c r="CU246" i="3"/>
  <c r="CT246" i="3"/>
  <c r="CS246" i="3"/>
  <c r="CR246" i="3"/>
  <c r="CW245" i="3"/>
  <c r="CV245" i="3"/>
  <c r="CU245" i="3"/>
  <c r="CT245" i="3"/>
  <c r="CS245" i="3"/>
  <c r="CR245" i="3"/>
  <c r="CW244" i="3"/>
  <c r="CV244" i="3"/>
  <c r="CU244" i="3"/>
  <c r="CT244" i="3"/>
  <c r="CS244" i="3"/>
  <c r="CR244" i="3"/>
  <c r="CW243" i="3"/>
  <c r="CV243" i="3"/>
  <c r="CU243" i="3"/>
  <c r="CT243" i="3"/>
  <c r="CS243" i="3"/>
  <c r="CR243" i="3"/>
  <c r="CW242" i="3"/>
  <c r="CV242" i="3"/>
  <c r="CU242" i="3"/>
  <c r="CT242" i="3"/>
  <c r="CS242" i="3"/>
  <c r="CR242" i="3"/>
  <c r="CW241" i="3"/>
  <c r="CV241" i="3"/>
  <c r="CU241" i="3"/>
  <c r="CT241" i="3"/>
  <c r="CS241" i="3"/>
  <c r="CR241" i="3"/>
  <c r="CW240" i="3"/>
  <c r="CV240" i="3"/>
  <c r="CU240" i="3"/>
  <c r="CT240" i="3"/>
  <c r="CS240" i="3"/>
  <c r="CR240" i="3"/>
  <c r="CW239" i="3"/>
  <c r="CV239" i="3"/>
  <c r="CU239" i="3"/>
  <c r="CT239" i="3"/>
  <c r="CS239" i="3"/>
  <c r="CR239" i="3"/>
  <c r="CW238" i="3"/>
  <c r="CV238" i="3"/>
  <c r="CU238" i="3"/>
  <c r="CT238" i="3"/>
  <c r="CS238" i="3"/>
  <c r="CR238" i="3"/>
  <c r="CW237" i="3"/>
  <c r="CV237" i="3"/>
  <c r="CU237" i="3"/>
  <c r="CT237" i="3"/>
  <c r="CS237" i="3"/>
  <c r="CR237" i="3"/>
  <c r="CW236" i="3"/>
  <c r="CV236" i="3"/>
  <c r="CU236" i="3"/>
  <c r="CT236" i="3"/>
  <c r="CS236" i="3"/>
  <c r="CR236" i="3"/>
  <c r="CW235" i="3"/>
  <c r="CV235" i="3"/>
  <c r="CU235" i="3"/>
  <c r="CT235" i="3"/>
  <c r="CS235" i="3"/>
  <c r="CR235" i="3"/>
  <c r="CW234" i="3"/>
  <c r="CV234" i="3"/>
  <c r="CU234" i="3"/>
  <c r="CT234" i="3"/>
  <c r="CS234" i="3"/>
  <c r="CR234" i="3"/>
  <c r="CW233" i="3"/>
  <c r="CV233" i="3"/>
  <c r="CU233" i="3"/>
  <c r="CT233" i="3"/>
  <c r="CS233" i="3"/>
  <c r="CR233" i="3"/>
  <c r="CW232" i="3"/>
  <c r="CV232" i="3"/>
  <c r="CU232" i="3"/>
  <c r="CT232" i="3"/>
  <c r="CS232" i="3"/>
  <c r="CR232" i="3"/>
  <c r="CW231" i="3"/>
  <c r="CV231" i="3"/>
  <c r="CU231" i="3"/>
  <c r="CT231" i="3"/>
  <c r="CS231" i="3"/>
  <c r="CR231" i="3"/>
  <c r="CW230" i="3"/>
  <c r="CV230" i="3"/>
  <c r="CU230" i="3"/>
  <c r="CT230" i="3"/>
  <c r="CS230" i="3"/>
  <c r="CR230" i="3"/>
  <c r="CW229" i="3"/>
  <c r="CV229" i="3"/>
  <c r="CU229" i="3"/>
  <c r="CT229" i="3"/>
  <c r="CS229" i="3"/>
  <c r="CR229" i="3"/>
  <c r="CW228" i="3"/>
  <c r="CV228" i="3"/>
  <c r="CU228" i="3"/>
  <c r="CT228" i="3"/>
  <c r="CS228" i="3"/>
  <c r="CR228" i="3"/>
  <c r="CW227" i="3"/>
  <c r="CV227" i="3"/>
  <c r="CU227" i="3"/>
  <c r="CT227" i="3"/>
  <c r="CS227" i="3"/>
  <c r="CR227" i="3"/>
  <c r="CW226" i="3"/>
  <c r="CV226" i="3"/>
  <c r="CU226" i="3"/>
  <c r="CT226" i="3"/>
  <c r="CS226" i="3"/>
  <c r="CR226" i="3"/>
  <c r="CW225" i="3"/>
  <c r="CV225" i="3"/>
  <c r="CU225" i="3"/>
  <c r="CT225" i="3"/>
  <c r="CS225" i="3"/>
  <c r="CR225" i="3"/>
  <c r="CW224" i="3"/>
  <c r="CV224" i="3"/>
  <c r="CU224" i="3"/>
  <c r="CT224" i="3"/>
  <c r="CS224" i="3"/>
  <c r="CR224" i="3"/>
  <c r="CW223" i="3"/>
  <c r="CV223" i="3"/>
  <c r="CU223" i="3"/>
  <c r="CT223" i="3"/>
  <c r="CS223" i="3"/>
  <c r="CR223" i="3"/>
  <c r="CW222" i="3"/>
  <c r="CV222" i="3"/>
  <c r="CU222" i="3"/>
  <c r="CT222" i="3"/>
  <c r="CS222" i="3"/>
  <c r="CR222" i="3"/>
  <c r="CW221" i="3"/>
  <c r="CV221" i="3"/>
  <c r="CU221" i="3"/>
  <c r="CT221" i="3"/>
  <c r="CS221" i="3"/>
  <c r="CR221" i="3"/>
  <c r="CW220" i="3"/>
  <c r="CV220" i="3"/>
  <c r="CU220" i="3"/>
  <c r="CT220" i="3"/>
  <c r="CS220" i="3"/>
  <c r="CR220" i="3"/>
  <c r="CW219" i="3"/>
  <c r="CV219" i="3"/>
  <c r="CU219" i="3"/>
  <c r="CT219" i="3"/>
  <c r="CS219" i="3"/>
  <c r="CR219" i="3"/>
  <c r="CW218" i="3"/>
  <c r="CV218" i="3"/>
  <c r="CU218" i="3"/>
  <c r="CT218" i="3"/>
  <c r="CS218" i="3"/>
  <c r="CR218" i="3"/>
  <c r="CW217" i="3"/>
  <c r="CV217" i="3"/>
  <c r="CU217" i="3"/>
  <c r="CT217" i="3"/>
  <c r="CS217" i="3"/>
  <c r="CR217" i="3"/>
  <c r="CW216" i="3"/>
  <c r="CV216" i="3"/>
  <c r="CU216" i="3"/>
  <c r="CT216" i="3"/>
  <c r="CS216" i="3"/>
  <c r="CR216" i="3"/>
  <c r="CW215" i="3"/>
  <c r="CV215" i="3"/>
  <c r="CU215" i="3"/>
  <c r="CT215" i="3"/>
  <c r="CS215" i="3"/>
  <c r="CR215" i="3"/>
  <c r="CW214" i="3"/>
  <c r="CV214" i="3"/>
  <c r="CU214" i="3"/>
  <c r="CT214" i="3"/>
  <c r="CS214" i="3"/>
  <c r="CR214" i="3"/>
  <c r="CW211" i="3"/>
  <c r="CV211" i="3"/>
  <c r="CU211" i="3"/>
  <c r="CT211" i="3"/>
  <c r="CS211" i="3"/>
  <c r="CR211" i="3"/>
  <c r="CW210" i="3"/>
  <c r="CV210" i="3"/>
  <c r="CU210" i="3"/>
  <c r="CT210" i="3"/>
  <c r="CS210" i="3"/>
  <c r="CR210" i="3"/>
  <c r="CW209" i="3"/>
  <c r="CV209" i="3"/>
  <c r="CU209" i="3"/>
  <c r="CT209" i="3"/>
  <c r="CS209" i="3"/>
  <c r="CR209" i="3"/>
  <c r="CW208" i="3"/>
  <c r="CV208" i="3"/>
  <c r="CU208" i="3"/>
  <c r="CT208" i="3"/>
  <c r="CS208" i="3"/>
  <c r="CR208" i="3"/>
  <c r="CW207" i="3"/>
  <c r="CV207" i="3"/>
  <c r="CU207" i="3"/>
  <c r="CT207" i="3"/>
  <c r="CS207" i="3"/>
  <c r="CR207" i="3"/>
  <c r="CW206" i="3"/>
  <c r="CV206" i="3"/>
  <c r="CU206" i="3"/>
  <c r="CT206" i="3"/>
  <c r="CS206" i="3"/>
  <c r="CR206" i="3"/>
  <c r="CW187" i="3"/>
  <c r="CV187" i="3"/>
  <c r="CU187" i="3"/>
  <c r="CT187" i="3"/>
  <c r="CS187" i="3"/>
  <c r="CR187" i="3"/>
  <c r="CW186" i="3"/>
  <c r="CV186" i="3"/>
  <c r="CU186" i="3"/>
  <c r="CT186" i="3"/>
  <c r="CS186" i="3"/>
  <c r="CR186" i="3"/>
  <c r="CW185" i="3"/>
  <c r="CV185" i="3"/>
  <c r="CU185" i="3"/>
  <c r="CT185" i="3"/>
  <c r="CS185" i="3"/>
  <c r="CR185" i="3"/>
  <c r="CW184" i="3"/>
  <c r="CV184" i="3"/>
  <c r="CU184" i="3"/>
  <c r="CT184" i="3"/>
  <c r="CS184" i="3"/>
  <c r="CR184" i="3"/>
  <c r="CW183" i="3"/>
  <c r="CV183" i="3"/>
  <c r="CU183" i="3"/>
  <c r="CT183" i="3"/>
  <c r="CS183" i="3"/>
  <c r="CR183" i="3"/>
  <c r="CW169" i="3"/>
  <c r="CV169" i="3"/>
  <c r="CU169" i="3"/>
  <c r="CT169" i="3"/>
  <c r="CS169" i="3"/>
  <c r="CR169" i="3"/>
  <c r="CW168" i="3"/>
  <c r="CV168" i="3"/>
  <c r="CU168" i="3"/>
  <c r="CT168" i="3"/>
  <c r="CS168" i="3"/>
  <c r="CR168" i="3"/>
  <c r="CW167" i="3"/>
  <c r="CV167" i="3"/>
  <c r="CU167" i="3"/>
  <c r="CT167" i="3"/>
  <c r="CS167" i="3"/>
  <c r="CR167" i="3"/>
  <c r="CW166" i="3"/>
  <c r="CV166" i="3"/>
  <c r="CU166" i="3"/>
  <c r="CT166" i="3"/>
  <c r="CS166" i="3"/>
  <c r="CR166" i="3"/>
  <c r="CW165" i="3"/>
  <c r="CU165" i="3"/>
  <c r="CT165" i="3"/>
  <c r="CS165" i="3"/>
  <c r="CR165" i="3"/>
  <c r="CW164" i="3"/>
  <c r="CV164" i="3"/>
  <c r="CU164" i="3"/>
  <c r="CT164" i="3"/>
  <c r="CS164" i="3"/>
  <c r="CR164" i="3"/>
  <c r="CW163" i="3"/>
  <c r="CV163" i="3"/>
  <c r="CU163" i="3"/>
  <c r="CT163" i="3"/>
  <c r="CS163" i="3"/>
  <c r="CR163" i="3"/>
  <c r="CW162" i="3"/>
  <c r="CV162" i="3"/>
  <c r="CU162" i="3"/>
  <c r="CT162" i="3"/>
  <c r="CS162" i="3"/>
  <c r="CR162" i="3"/>
  <c r="N43" i="12"/>
  <c r="C628" i="5"/>
  <c r="H628" i="5" s="1" a="1"/>
  <c r="H628" i="5" s="1"/>
  <c r="C627" i="5"/>
  <c r="AU163" i="3"/>
  <c r="AT163" i="3"/>
  <c r="AS163" i="3"/>
  <c r="AR163" i="3"/>
  <c r="AQ163" i="3"/>
  <c r="AP163" i="3"/>
  <c r="AO163" i="3"/>
  <c r="AN163" i="3"/>
  <c r="AM163" i="3"/>
  <c r="AU162" i="3"/>
  <c r="AT162" i="3"/>
  <c r="AS162" i="3"/>
  <c r="AR162" i="3"/>
  <c r="AQ162" i="3"/>
  <c r="AP162" i="3"/>
  <c r="AO162" i="3"/>
  <c r="AN162" i="3"/>
  <c r="AM162" i="3"/>
  <c r="CQ281" i="3"/>
  <c r="CP281" i="3"/>
  <c r="CO281" i="3"/>
  <c r="CN281" i="3"/>
  <c r="CM281" i="3"/>
  <c r="CL281" i="3"/>
  <c r="CQ280" i="3"/>
  <c r="CP280" i="3"/>
  <c r="CO280" i="3"/>
  <c r="CN280" i="3"/>
  <c r="CM280" i="3"/>
  <c r="CL280" i="3"/>
  <c r="CQ279" i="3"/>
  <c r="CP279" i="3"/>
  <c r="CO279" i="3"/>
  <c r="CN279" i="3"/>
  <c r="CM279" i="3"/>
  <c r="CL279" i="3"/>
  <c r="CQ278" i="3"/>
  <c r="CP278" i="3"/>
  <c r="CO278" i="3"/>
  <c r="CN278" i="3"/>
  <c r="CM278" i="3"/>
  <c r="CL278" i="3"/>
  <c r="CQ277" i="3"/>
  <c r="CP277" i="3"/>
  <c r="CO277" i="3"/>
  <c r="CN277" i="3"/>
  <c r="CM277" i="3"/>
  <c r="CL277" i="3"/>
  <c r="CQ276" i="3"/>
  <c r="CP276" i="3"/>
  <c r="CO276" i="3"/>
  <c r="CN276" i="3"/>
  <c r="CM276" i="3"/>
  <c r="CL276" i="3"/>
  <c r="CQ275" i="3"/>
  <c r="CP275" i="3"/>
  <c r="CO275" i="3"/>
  <c r="CN275" i="3"/>
  <c r="CM275" i="3"/>
  <c r="CL275" i="3"/>
  <c r="CQ274" i="3"/>
  <c r="CP274" i="3"/>
  <c r="CO274" i="3"/>
  <c r="CN274" i="3"/>
  <c r="CM274" i="3"/>
  <c r="CL274" i="3"/>
  <c r="CQ273" i="3"/>
  <c r="CP273" i="3"/>
  <c r="CO273" i="3"/>
  <c r="CN273" i="3"/>
  <c r="CM273" i="3"/>
  <c r="CL273" i="3"/>
  <c r="CQ272" i="3"/>
  <c r="CP272" i="3"/>
  <c r="CO272" i="3"/>
  <c r="CN272" i="3"/>
  <c r="CM272" i="3"/>
  <c r="CL272" i="3"/>
  <c r="CQ271" i="3"/>
  <c r="CP271" i="3"/>
  <c r="CO271" i="3"/>
  <c r="CN271" i="3"/>
  <c r="CM271" i="3"/>
  <c r="CL271" i="3"/>
  <c r="CQ270" i="3"/>
  <c r="CP270" i="3"/>
  <c r="CO270" i="3"/>
  <c r="CN270" i="3"/>
  <c r="CM270" i="3"/>
  <c r="CL270" i="3"/>
  <c r="CQ269" i="3"/>
  <c r="CP269" i="3"/>
  <c r="CO269" i="3"/>
  <c r="CN269" i="3"/>
  <c r="CM269" i="3"/>
  <c r="CL269" i="3"/>
  <c r="CQ268" i="3"/>
  <c r="CP268" i="3"/>
  <c r="CO268" i="3"/>
  <c r="CN268" i="3"/>
  <c r="CM268" i="3"/>
  <c r="CL268" i="3"/>
  <c r="CQ267" i="3"/>
  <c r="CP267" i="3"/>
  <c r="CO267" i="3"/>
  <c r="CN267" i="3"/>
  <c r="CM267" i="3"/>
  <c r="CL267" i="3"/>
  <c r="CQ266" i="3"/>
  <c r="CP266" i="3"/>
  <c r="CO266" i="3"/>
  <c r="CN266" i="3"/>
  <c r="CM266" i="3"/>
  <c r="CL266" i="3"/>
  <c r="CQ265" i="3"/>
  <c r="CP265" i="3"/>
  <c r="CO265" i="3"/>
  <c r="CN265" i="3"/>
  <c r="CM265" i="3"/>
  <c r="CL265" i="3"/>
  <c r="CQ264" i="3"/>
  <c r="CP264" i="3"/>
  <c r="CO264" i="3"/>
  <c r="CN264" i="3"/>
  <c r="CM264" i="3"/>
  <c r="CL264" i="3"/>
  <c r="CQ263" i="3"/>
  <c r="CP263" i="3"/>
  <c r="CO263" i="3"/>
  <c r="CN263" i="3"/>
  <c r="CM263" i="3"/>
  <c r="CL263" i="3"/>
  <c r="CQ262" i="3"/>
  <c r="CP262" i="3"/>
  <c r="CO262" i="3"/>
  <c r="CN262" i="3"/>
  <c r="CM262" i="3"/>
  <c r="CL262" i="3"/>
  <c r="CQ261" i="3"/>
  <c r="CP261" i="3"/>
  <c r="CO261" i="3"/>
  <c r="CN261" i="3"/>
  <c r="CM261" i="3"/>
  <c r="CL261" i="3"/>
  <c r="CQ260" i="3"/>
  <c r="CP260" i="3"/>
  <c r="CO260" i="3"/>
  <c r="CN260" i="3"/>
  <c r="CM260" i="3"/>
  <c r="CL260" i="3"/>
  <c r="CQ259" i="3"/>
  <c r="CP259" i="3"/>
  <c r="CO259" i="3"/>
  <c r="CN259" i="3"/>
  <c r="CM259" i="3"/>
  <c r="CL259" i="3"/>
  <c r="CQ258" i="3"/>
  <c r="CP258" i="3"/>
  <c r="CO258" i="3"/>
  <c r="CN258" i="3"/>
  <c r="CM258" i="3"/>
  <c r="CL258" i="3"/>
  <c r="CQ257" i="3"/>
  <c r="CP257" i="3"/>
  <c r="CO257" i="3"/>
  <c r="CN257" i="3"/>
  <c r="CM257" i="3"/>
  <c r="CL257" i="3"/>
  <c r="CQ256" i="3"/>
  <c r="CP256" i="3"/>
  <c r="CO256" i="3"/>
  <c r="CN256" i="3"/>
  <c r="CM256" i="3"/>
  <c r="CL256" i="3"/>
  <c r="CQ255" i="3"/>
  <c r="CP255" i="3"/>
  <c r="CO255" i="3"/>
  <c r="CN255" i="3"/>
  <c r="CM255" i="3"/>
  <c r="CL255" i="3"/>
  <c r="CQ254" i="3"/>
  <c r="CP254" i="3"/>
  <c r="CO254" i="3"/>
  <c r="CN254" i="3"/>
  <c r="CM254" i="3"/>
  <c r="CL254" i="3"/>
  <c r="CQ253" i="3"/>
  <c r="CP253" i="3"/>
  <c r="CO253" i="3"/>
  <c r="CN253" i="3"/>
  <c r="CM253" i="3"/>
  <c r="CL253" i="3"/>
  <c r="CQ252" i="3"/>
  <c r="CP252" i="3"/>
  <c r="CO252" i="3"/>
  <c r="CN252" i="3"/>
  <c r="CM252" i="3"/>
  <c r="CL252" i="3"/>
  <c r="CQ251" i="3"/>
  <c r="CP251" i="3"/>
  <c r="CO251" i="3"/>
  <c r="CN251" i="3"/>
  <c r="CM251" i="3"/>
  <c r="CL251" i="3"/>
  <c r="CQ250" i="3"/>
  <c r="CP250" i="3"/>
  <c r="CO250" i="3"/>
  <c r="CN250" i="3"/>
  <c r="CM250" i="3"/>
  <c r="CL250" i="3"/>
  <c r="CQ249" i="3"/>
  <c r="CP249" i="3"/>
  <c r="CO249" i="3"/>
  <c r="CN249" i="3"/>
  <c r="CM249" i="3"/>
  <c r="CL249" i="3"/>
  <c r="CQ248" i="3"/>
  <c r="CP248" i="3"/>
  <c r="CO248" i="3"/>
  <c r="CN248" i="3"/>
  <c r="CM248" i="3"/>
  <c r="CL248" i="3"/>
  <c r="CQ247" i="3"/>
  <c r="CP247" i="3"/>
  <c r="CO247" i="3"/>
  <c r="CN247" i="3"/>
  <c r="CM247" i="3"/>
  <c r="CL247" i="3"/>
  <c r="CQ246" i="3"/>
  <c r="CP246" i="3"/>
  <c r="CO246" i="3"/>
  <c r="CN246" i="3"/>
  <c r="CM246" i="3"/>
  <c r="CL246" i="3"/>
  <c r="CQ245" i="3"/>
  <c r="CP245" i="3"/>
  <c r="CO245" i="3"/>
  <c r="CN245" i="3"/>
  <c r="CM245" i="3"/>
  <c r="CL245" i="3"/>
  <c r="CQ244" i="3"/>
  <c r="CP244" i="3"/>
  <c r="CO244" i="3"/>
  <c r="CN244" i="3"/>
  <c r="CM244" i="3"/>
  <c r="CL244" i="3"/>
  <c r="CQ243" i="3"/>
  <c r="CP243" i="3"/>
  <c r="CO243" i="3"/>
  <c r="CN243" i="3"/>
  <c r="CM243" i="3"/>
  <c r="CL243" i="3"/>
  <c r="CQ242" i="3"/>
  <c r="CP242" i="3"/>
  <c r="CO242" i="3"/>
  <c r="CN242" i="3"/>
  <c r="CM242" i="3"/>
  <c r="CL242" i="3"/>
  <c r="CQ241" i="3"/>
  <c r="CP241" i="3"/>
  <c r="CO241" i="3"/>
  <c r="CN241" i="3"/>
  <c r="CM241" i="3"/>
  <c r="CL241" i="3"/>
  <c r="CQ240" i="3"/>
  <c r="CP240" i="3"/>
  <c r="CO240" i="3"/>
  <c r="CN240" i="3"/>
  <c r="CM240" i="3"/>
  <c r="CL240" i="3"/>
  <c r="CQ239" i="3"/>
  <c r="CP239" i="3"/>
  <c r="CO239" i="3"/>
  <c r="CN239" i="3"/>
  <c r="CM239" i="3"/>
  <c r="CL239" i="3"/>
  <c r="CQ238" i="3"/>
  <c r="CP238" i="3"/>
  <c r="CO238" i="3"/>
  <c r="CN238" i="3"/>
  <c r="CM238" i="3"/>
  <c r="CL238" i="3"/>
  <c r="CQ237" i="3"/>
  <c r="CP237" i="3"/>
  <c r="CO237" i="3"/>
  <c r="CN237" i="3"/>
  <c r="CM237" i="3"/>
  <c r="CL237" i="3"/>
  <c r="CQ236" i="3"/>
  <c r="CP236" i="3"/>
  <c r="CO236" i="3"/>
  <c r="CN236" i="3"/>
  <c r="CM236" i="3"/>
  <c r="CL236" i="3"/>
  <c r="CQ235" i="3"/>
  <c r="CP235" i="3"/>
  <c r="CO235" i="3"/>
  <c r="CN235" i="3"/>
  <c r="CM235" i="3"/>
  <c r="CL235" i="3"/>
  <c r="CQ234" i="3"/>
  <c r="CP234" i="3"/>
  <c r="CO234" i="3"/>
  <c r="CN234" i="3"/>
  <c r="CM234" i="3"/>
  <c r="CL234" i="3"/>
  <c r="CQ233" i="3"/>
  <c r="CP233" i="3"/>
  <c r="CO233" i="3"/>
  <c r="CN233" i="3"/>
  <c r="CM233" i="3"/>
  <c r="CL233" i="3"/>
  <c r="CQ232" i="3"/>
  <c r="CP232" i="3"/>
  <c r="CO232" i="3"/>
  <c r="CN232" i="3"/>
  <c r="CM232" i="3"/>
  <c r="CL232" i="3"/>
  <c r="CQ231" i="3"/>
  <c r="CP231" i="3"/>
  <c r="CO231" i="3"/>
  <c r="CN231" i="3"/>
  <c r="CM231" i="3"/>
  <c r="CL231" i="3"/>
  <c r="CQ230" i="3"/>
  <c r="CP230" i="3"/>
  <c r="CO230" i="3"/>
  <c r="CN230" i="3"/>
  <c r="CM230" i="3"/>
  <c r="CL230" i="3"/>
  <c r="CQ229" i="3"/>
  <c r="CP229" i="3"/>
  <c r="CO229" i="3"/>
  <c r="CN229" i="3"/>
  <c r="CM229" i="3"/>
  <c r="CL229" i="3"/>
  <c r="CQ228" i="3"/>
  <c r="CP228" i="3"/>
  <c r="CO228" i="3"/>
  <c r="CN228" i="3"/>
  <c r="CM228" i="3"/>
  <c r="CL228" i="3"/>
  <c r="CQ227" i="3"/>
  <c r="CP227" i="3"/>
  <c r="CO227" i="3"/>
  <c r="CN227" i="3"/>
  <c r="CM227" i="3"/>
  <c r="CL227" i="3"/>
  <c r="CQ226" i="3"/>
  <c r="CP226" i="3"/>
  <c r="CO226" i="3"/>
  <c r="CN226" i="3"/>
  <c r="CM226" i="3"/>
  <c r="CL226" i="3"/>
  <c r="CQ225" i="3"/>
  <c r="CP225" i="3"/>
  <c r="CO225" i="3"/>
  <c r="CN225" i="3"/>
  <c r="CM225" i="3"/>
  <c r="CL225" i="3"/>
  <c r="CQ224" i="3"/>
  <c r="CP224" i="3"/>
  <c r="CO224" i="3"/>
  <c r="CN224" i="3"/>
  <c r="CM224" i="3"/>
  <c r="CL224" i="3"/>
  <c r="CQ223" i="3"/>
  <c r="CP223" i="3"/>
  <c r="CO223" i="3"/>
  <c r="CN223" i="3"/>
  <c r="CM223" i="3"/>
  <c r="CL223" i="3"/>
  <c r="CQ222" i="3"/>
  <c r="CP222" i="3"/>
  <c r="CO222" i="3"/>
  <c r="CN222" i="3"/>
  <c r="CM222" i="3"/>
  <c r="CL222" i="3"/>
  <c r="CQ221" i="3"/>
  <c r="CP221" i="3"/>
  <c r="CO221" i="3"/>
  <c r="CN221" i="3"/>
  <c r="CM221" i="3"/>
  <c r="CL221" i="3"/>
  <c r="CQ220" i="3"/>
  <c r="CP220" i="3"/>
  <c r="CO220" i="3"/>
  <c r="CN220" i="3"/>
  <c r="CM220" i="3"/>
  <c r="CL220" i="3"/>
  <c r="CQ219" i="3"/>
  <c r="CP219" i="3"/>
  <c r="CO219" i="3"/>
  <c r="CN219" i="3"/>
  <c r="CM219" i="3"/>
  <c r="CL219" i="3"/>
  <c r="CQ218" i="3"/>
  <c r="CP218" i="3"/>
  <c r="CO218" i="3"/>
  <c r="CN218" i="3"/>
  <c r="CM218" i="3"/>
  <c r="CL218" i="3"/>
  <c r="CQ217" i="3"/>
  <c r="CP217" i="3"/>
  <c r="CO217" i="3"/>
  <c r="CN217" i="3"/>
  <c r="CM217" i="3"/>
  <c r="CL217" i="3"/>
  <c r="CQ216" i="3"/>
  <c r="CP216" i="3"/>
  <c r="CO216" i="3"/>
  <c r="CN216" i="3"/>
  <c r="CM216" i="3"/>
  <c r="CL216" i="3"/>
  <c r="CQ215" i="3"/>
  <c r="CP215" i="3"/>
  <c r="CO215" i="3"/>
  <c r="CN215" i="3"/>
  <c r="CM215" i="3"/>
  <c r="CL215" i="3"/>
  <c r="CQ214" i="3"/>
  <c r="CP214" i="3"/>
  <c r="CO214" i="3"/>
  <c r="CN214" i="3"/>
  <c r="CM214" i="3"/>
  <c r="CL214" i="3"/>
  <c r="CQ211" i="3"/>
  <c r="CP211" i="3"/>
  <c r="CO211" i="3"/>
  <c r="CN211" i="3"/>
  <c r="CM211" i="3"/>
  <c r="CL211" i="3"/>
  <c r="CQ210" i="3"/>
  <c r="CP210" i="3"/>
  <c r="CO210" i="3"/>
  <c r="CN210" i="3"/>
  <c r="CM210" i="3"/>
  <c r="CL210" i="3"/>
  <c r="CQ209" i="3"/>
  <c r="CP209" i="3"/>
  <c r="CO209" i="3"/>
  <c r="CN209" i="3"/>
  <c r="CM209" i="3"/>
  <c r="CL209" i="3"/>
  <c r="CQ208" i="3"/>
  <c r="CP208" i="3"/>
  <c r="CO208" i="3"/>
  <c r="CN208" i="3"/>
  <c r="CM208" i="3"/>
  <c r="CL208" i="3"/>
  <c r="CQ207" i="3"/>
  <c r="CP207" i="3"/>
  <c r="CO207" i="3"/>
  <c r="CN207" i="3"/>
  <c r="CM207" i="3"/>
  <c r="CL207" i="3"/>
  <c r="CQ206" i="3"/>
  <c r="CP206" i="3"/>
  <c r="CO206" i="3"/>
  <c r="CN206" i="3"/>
  <c r="CM206" i="3"/>
  <c r="CL206" i="3"/>
  <c r="CQ205" i="3"/>
  <c r="CP205" i="3"/>
  <c r="CO205" i="3"/>
  <c r="CN205" i="3"/>
  <c r="CM205" i="3"/>
  <c r="CL205" i="3"/>
  <c r="CQ204" i="3"/>
  <c r="CP204" i="3"/>
  <c r="CO204" i="3"/>
  <c r="CN204" i="3"/>
  <c r="CM204" i="3"/>
  <c r="CL204" i="3"/>
  <c r="CQ187" i="3"/>
  <c r="CP187" i="3"/>
  <c r="CO187" i="3"/>
  <c r="CN187" i="3"/>
  <c r="CM187" i="3"/>
  <c r="CL187" i="3"/>
  <c r="CQ186" i="3"/>
  <c r="CP186" i="3"/>
  <c r="CO186" i="3"/>
  <c r="CN186" i="3"/>
  <c r="CM186" i="3"/>
  <c r="CL186" i="3"/>
  <c r="CQ185" i="3"/>
  <c r="CP185" i="3"/>
  <c r="CO185" i="3"/>
  <c r="CN185" i="3"/>
  <c r="CM185" i="3"/>
  <c r="CL185" i="3"/>
  <c r="CQ184" i="3"/>
  <c r="CP184" i="3"/>
  <c r="CO184" i="3"/>
  <c r="CN184" i="3"/>
  <c r="CM184" i="3"/>
  <c r="CL184" i="3"/>
  <c r="CQ183" i="3"/>
  <c r="CP183" i="3"/>
  <c r="CO183" i="3"/>
  <c r="CN183" i="3"/>
  <c r="CM183" i="3"/>
  <c r="CL183" i="3"/>
  <c r="CQ169" i="3"/>
  <c r="CP169" i="3"/>
  <c r="CO169" i="3"/>
  <c r="CN169" i="3"/>
  <c r="CM169" i="3"/>
  <c r="CL169" i="3"/>
  <c r="CQ168" i="3"/>
  <c r="CP168" i="3"/>
  <c r="CO168" i="3"/>
  <c r="CN168" i="3"/>
  <c r="CM168" i="3"/>
  <c r="CL168" i="3"/>
  <c r="CQ167" i="3"/>
  <c r="CP167" i="3"/>
  <c r="CO167" i="3"/>
  <c r="CN167" i="3"/>
  <c r="CM167" i="3"/>
  <c r="CL167" i="3"/>
  <c r="CQ166" i="3"/>
  <c r="CP166" i="3"/>
  <c r="CO166" i="3"/>
  <c r="CN166" i="3"/>
  <c r="CM166" i="3"/>
  <c r="CL166" i="3"/>
  <c r="CQ165" i="3"/>
  <c r="CP165" i="3"/>
  <c r="CO165" i="3"/>
  <c r="CN165" i="3"/>
  <c r="CM165" i="3"/>
  <c r="CL165" i="3"/>
  <c r="CQ164" i="3"/>
  <c r="CP164" i="3"/>
  <c r="CO164" i="3"/>
  <c r="CN164" i="3"/>
  <c r="CM164" i="3"/>
  <c r="CL164" i="3"/>
  <c r="CQ163" i="3"/>
  <c r="CP163" i="3"/>
  <c r="CO163" i="3"/>
  <c r="CN163" i="3"/>
  <c r="CM163" i="3"/>
  <c r="CL163" i="3"/>
  <c r="CP162" i="3"/>
  <c r="CO162" i="3"/>
  <c r="CN162" i="3"/>
  <c r="CQ162" i="3"/>
  <c r="CM162" i="3"/>
  <c r="CL162" i="3"/>
  <c r="CE281" i="3"/>
  <c r="CD281" i="3"/>
  <c r="CC281" i="3"/>
  <c r="CB281" i="3"/>
  <c r="CA281" i="3"/>
  <c r="BZ281" i="3"/>
  <c r="BY281" i="3"/>
  <c r="BX281" i="3"/>
  <c r="BW281" i="3"/>
  <c r="CE280" i="3"/>
  <c r="CD280" i="3"/>
  <c r="CC280" i="3"/>
  <c r="CB280" i="3"/>
  <c r="CA280" i="3"/>
  <c r="BZ280" i="3"/>
  <c r="BY280" i="3"/>
  <c r="BX280" i="3"/>
  <c r="BW280" i="3"/>
  <c r="CE279" i="3"/>
  <c r="CD279" i="3"/>
  <c r="CC279" i="3"/>
  <c r="CB279" i="3"/>
  <c r="CA279" i="3"/>
  <c r="BZ279" i="3"/>
  <c r="BY279" i="3"/>
  <c r="BX279" i="3"/>
  <c r="BW279" i="3"/>
  <c r="CE278" i="3"/>
  <c r="CD278" i="3"/>
  <c r="CC278" i="3"/>
  <c r="CB278" i="3"/>
  <c r="CA278" i="3"/>
  <c r="BZ278" i="3"/>
  <c r="BY278" i="3"/>
  <c r="BX278" i="3"/>
  <c r="BW278" i="3"/>
  <c r="CE277" i="3"/>
  <c r="CD277" i="3"/>
  <c r="CC277" i="3"/>
  <c r="CB277" i="3"/>
  <c r="CA277" i="3"/>
  <c r="BZ277" i="3"/>
  <c r="BY277" i="3"/>
  <c r="BX277" i="3"/>
  <c r="BW277" i="3"/>
  <c r="CE276" i="3"/>
  <c r="CD276" i="3"/>
  <c r="CC276" i="3"/>
  <c r="CB276" i="3"/>
  <c r="CA276" i="3"/>
  <c r="BZ276" i="3"/>
  <c r="BY276" i="3"/>
  <c r="BX276" i="3"/>
  <c r="BW276" i="3"/>
  <c r="CE275" i="3"/>
  <c r="CD275" i="3"/>
  <c r="CC275" i="3"/>
  <c r="CB275" i="3"/>
  <c r="CA275" i="3"/>
  <c r="BZ275" i="3"/>
  <c r="BY275" i="3"/>
  <c r="BX275" i="3"/>
  <c r="BW275" i="3"/>
  <c r="CE274" i="3"/>
  <c r="CD274" i="3"/>
  <c r="CC274" i="3"/>
  <c r="CB274" i="3"/>
  <c r="CA274" i="3"/>
  <c r="BZ274" i="3"/>
  <c r="BY274" i="3"/>
  <c r="BX274" i="3"/>
  <c r="BW274" i="3"/>
  <c r="CE273" i="3"/>
  <c r="CD273" i="3"/>
  <c r="CC273" i="3"/>
  <c r="CB273" i="3"/>
  <c r="CA273" i="3"/>
  <c r="BZ273" i="3"/>
  <c r="BY273" i="3"/>
  <c r="BX273" i="3"/>
  <c r="BW273" i="3"/>
  <c r="CE272" i="3"/>
  <c r="CD272" i="3"/>
  <c r="CC272" i="3"/>
  <c r="CB272" i="3"/>
  <c r="CA272" i="3"/>
  <c r="BZ272" i="3"/>
  <c r="BY272" i="3"/>
  <c r="BX272" i="3"/>
  <c r="BW272" i="3"/>
  <c r="CE271" i="3"/>
  <c r="CD271" i="3"/>
  <c r="CC271" i="3"/>
  <c r="CB271" i="3"/>
  <c r="CA271" i="3"/>
  <c r="BZ271" i="3"/>
  <c r="BY271" i="3"/>
  <c r="BX271" i="3"/>
  <c r="BW271" i="3"/>
  <c r="CE270" i="3"/>
  <c r="CD270" i="3"/>
  <c r="CC270" i="3"/>
  <c r="CB270" i="3"/>
  <c r="CA270" i="3"/>
  <c r="BZ270" i="3"/>
  <c r="BY270" i="3"/>
  <c r="BX270" i="3"/>
  <c r="BW270" i="3"/>
  <c r="CE269" i="3"/>
  <c r="CD269" i="3"/>
  <c r="CC269" i="3"/>
  <c r="CB269" i="3"/>
  <c r="CA269" i="3"/>
  <c r="BZ269" i="3"/>
  <c r="BY269" i="3"/>
  <c r="BX269" i="3"/>
  <c r="BW269" i="3"/>
  <c r="CE268" i="3"/>
  <c r="CD268" i="3"/>
  <c r="CC268" i="3"/>
  <c r="CB268" i="3"/>
  <c r="CA268" i="3"/>
  <c r="BZ268" i="3"/>
  <c r="BY268" i="3"/>
  <c r="BX268" i="3"/>
  <c r="BW268" i="3"/>
  <c r="CE267" i="3"/>
  <c r="CD267" i="3"/>
  <c r="CC267" i="3"/>
  <c r="CB267" i="3"/>
  <c r="CA267" i="3"/>
  <c r="BZ267" i="3"/>
  <c r="BY267" i="3"/>
  <c r="BX267" i="3"/>
  <c r="BW267" i="3"/>
  <c r="CE266" i="3"/>
  <c r="CD266" i="3"/>
  <c r="CC266" i="3"/>
  <c r="CB266" i="3"/>
  <c r="CA266" i="3"/>
  <c r="BZ266" i="3"/>
  <c r="BY266" i="3"/>
  <c r="BX266" i="3"/>
  <c r="BW266" i="3"/>
  <c r="CE265" i="3"/>
  <c r="CD265" i="3"/>
  <c r="CC265" i="3"/>
  <c r="CB265" i="3"/>
  <c r="CA265" i="3"/>
  <c r="BZ265" i="3"/>
  <c r="BY265" i="3"/>
  <c r="BX265" i="3"/>
  <c r="BW265" i="3"/>
  <c r="CE264" i="3"/>
  <c r="CD264" i="3"/>
  <c r="CC264" i="3"/>
  <c r="CB264" i="3"/>
  <c r="CA264" i="3"/>
  <c r="BZ264" i="3"/>
  <c r="BY264" i="3"/>
  <c r="BX264" i="3"/>
  <c r="BW264" i="3"/>
  <c r="CE263" i="3"/>
  <c r="CD263" i="3"/>
  <c r="CC263" i="3"/>
  <c r="CB263" i="3"/>
  <c r="CA263" i="3"/>
  <c r="BZ263" i="3"/>
  <c r="BY263" i="3"/>
  <c r="BX263" i="3"/>
  <c r="BW263" i="3"/>
  <c r="CE262" i="3"/>
  <c r="CD262" i="3"/>
  <c r="CC262" i="3"/>
  <c r="CB262" i="3"/>
  <c r="CA262" i="3"/>
  <c r="BZ262" i="3"/>
  <c r="BY262" i="3"/>
  <c r="BX262" i="3"/>
  <c r="BW262" i="3"/>
  <c r="CE261" i="3"/>
  <c r="CD261" i="3"/>
  <c r="CC261" i="3"/>
  <c r="CB261" i="3"/>
  <c r="CA261" i="3"/>
  <c r="BZ261" i="3"/>
  <c r="BY261" i="3"/>
  <c r="BX261" i="3"/>
  <c r="BW261" i="3"/>
  <c r="CE260" i="3"/>
  <c r="CD260" i="3"/>
  <c r="CC260" i="3"/>
  <c r="CB260" i="3"/>
  <c r="CA260" i="3"/>
  <c r="BZ260" i="3"/>
  <c r="BY260" i="3"/>
  <c r="BX260" i="3"/>
  <c r="BW260" i="3"/>
  <c r="CE259" i="3"/>
  <c r="CD259" i="3"/>
  <c r="CC259" i="3"/>
  <c r="CB259" i="3"/>
  <c r="CA259" i="3"/>
  <c r="BZ259" i="3"/>
  <c r="BY259" i="3"/>
  <c r="BX259" i="3"/>
  <c r="BW259" i="3"/>
  <c r="CE258" i="3"/>
  <c r="CD258" i="3"/>
  <c r="CC258" i="3"/>
  <c r="CB258" i="3"/>
  <c r="CA258" i="3"/>
  <c r="BZ258" i="3"/>
  <c r="BY258" i="3"/>
  <c r="BX258" i="3"/>
  <c r="BW258" i="3"/>
  <c r="CE257" i="3"/>
  <c r="CD257" i="3"/>
  <c r="CC257" i="3"/>
  <c r="CB257" i="3"/>
  <c r="CA257" i="3"/>
  <c r="BZ257" i="3"/>
  <c r="BY257" i="3"/>
  <c r="BX257" i="3"/>
  <c r="BW257" i="3"/>
  <c r="CE256" i="3"/>
  <c r="CD256" i="3"/>
  <c r="CC256" i="3"/>
  <c r="CB256" i="3"/>
  <c r="CA256" i="3"/>
  <c r="BZ256" i="3"/>
  <c r="BY256" i="3"/>
  <c r="BX256" i="3"/>
  <c r="BW256" i="3"/>
  <c r="CE255" i="3"/>
  <c r="CD255" i="3"/>
  <c r="CC255" i="3"/>
  <c r="CB255" i="3"/>
  <c r="CA255" i="3"/>
  <c r="BZ255" i="3"/>
  <c r="BY255" i="3"/>
  <c r="BX255" i="3"/>
  <c r="BW255" i="3"/>
  <c r="CE254" i="3"/>
  <c r="CD254" i="3"/>
  <c r="CC254" i="3"/>
  <c r="CB254" i="3"/>
  <c r="CA254" i="3"/>
  <c r="BZ254" i="3"/>
  <c r="BY254" i="3"/>
  <c r="BX254" i="3"/>
  <c r="BW254" i="3"/>
  <c r="CE253" i="3"/>
  <c r="CD253" i="3"/>
  <c r="CC253" i="3"/>
  <c r="CB253" i="3"/>
  <c r="CA253" i="3"/>
  <c r="BZ253" i="3"/>
  <c r="BY253" i="3"/>
  <c r="BX253" i="3"/>
  <c r="BW253" i="3"/>
  <c r="CE252" i="3"/>
  <c r="CD252" i="3"/>
  <c r="CC252" i="3"/>
  <c r="CB252" i="3"/>
  <c r="CA252" i="3"/>
  <c r="BZ252" i="3"/>
  <c r="BY252" i="3"/>
  <c r="BX252" i="3"/>
  <c r="BW252" i="3"/>
  <c r="CE251" i="3"/>
  <c r="CD251" i="3"/>
  <c r="CC251" i="3"/>
  <c r="CB251" i="3"/>
  <c r="CA251" i="3"/>
  <c r="BZ251" i="3"/>
  <c r="BY251" i="3"/>
  <c r="BX251" i="3"/>
  <c r="BW251" i="3"/>
  <c r="CE250" i="3"/>
  <c r="CD250" i="3"/>
  <c r="CC250" i="3"/>
  <c r="CB250" i="3"/>
  <c r="CA250" i="3"/>
  <c r="BZ250" i="3"/>
  <c r="BY250" i="3"/>
  <c r="BX250" i="3"/>
  <c r="BW250" i="3"/>
  <c r="CE249" i="3"/>
  <c r="CD249" i="3"/>
  <c r="CC249" i="3"/>
  <c r="CB249" i="3"/>
  <c r="CA249" i="3"/>
  <c r="BZ249" i="3"/>
  <c r="BY249" i="3"/>
  <c r="BX249" i="3"/>
  <c r="BW249" i="3"/>
  <c r="CE248" i="3"/>
  <c r="CD248" i="3"/>
  <c r="CC248" i="3"/>
  <c r="CB248" i="3"/>
  <c r="CA248" i="3"/>
  <c r="BZ248" i="3"/>
  <c r="BY248" i="3"/>
  <c r="BX248" i="3"/>
  <c r="BW248" i="3"/>
  <c r="CE247" i="3"/>
  <c r="CD247" i="3"/>
  <c r="CC247" i="3"/>
  <c r="CB247" i="3"/>
  <c r="CA247" i="3"/>
  <c r="BZ247" i="3"/>
  <c r="BY247" i="3"/>
  <c r="BX247" i="3"/>
  <c r="BW247" i="3"/>
  <c r="CE246" i="3"/>
  <c r="CD246" i="3"/>
  <c r="CC246" i="3"/>
  <c r="CB246" i="3"/>
  <c r="CA246" i="3"/>
  <c r="BZ246" i="3"/>
  <c r="BY246" i="3"/>
  <c r="BX246" i="3"/>
  <c r="BW246" i="3"/>
  <c r="CE245" i="3"/>
  <c r="CD245" i="3"/>
  <c r="CC245" i="3"/>
  <c r="CB245" i="3"/>
  <c r="CA245" i="3"/>
  <c r="BZ245" i="3"/>
  <c r="BY245" i="3"/>
  <c r="BX245" i="3"/>
  <c r="BW245" i="3"/>
  <c r="CE244" i="3"/>
  <c r="CD244" i="3"/>
  <c r="CC244" i="3"/>
  <c r="CB244" i="3"/>
  <c r="CA244" i="3"/>
  <c r="BZ244" i="3"/>
  <c r="BY244" i="3"/>
  <c r="BX244" i="3"/>
  <c r="BW244" i="3"/>
  <c r="CE243" i="3"/>
  <c r="CD243" i="3"/>
  <c r="CC243" i="3"/>
  <c r="CB243" i="3"/>
  <c r="CA243" i="3"/>
  <c r="BZ243" i="3"/>
  <c r="BY243" i="3"/>
  <c r="BX243" i="3"/>
  <c r="BW243" i="3"/>
  <c r="CE242" i="3"/>
  <c r="CD242" i="3"/>
  <c r="CC242" i="3"/>
  <c r="CB242" i="3"/>
  <c r="CA242" i="3"/>
  <c r="BZ242" i="3"/>
  <c r="BY242" i="3"/>
  <c r="BX242" i="3"/>
  <c r="BW242" i="3"/>
  <c r="CE241" i="3"/>
  <c r="CD241" i="3"/>
  <c r="CC241" i="3"/>
  <c r="CB241" i="3"/>
  <c r="CA241" i="3"/>
  <c r="BZ241" i="3"/>
  <c r="BY241" i="3"/>
  <c r="BX241" i="3"/>
  <c r="BW241" i="3"/>
  <c r="CE240" i="3"/>
  <c r="CD240" i="3"/>
  <c r="CC240" i="3"/>
  <c r="CB240" i="3"/>
  <c r="CA240" i="3"/>
  <c r="BZ240" i="3"/>
  <c r="BY240" i="3"/>
  <c r="BX240" i="3"/>
  <c r="BW240" i="3"/>
  <c r="CE239" i="3"/>
  <c r="CD239" i="3"/>
  <c r="CC239" i="3"/>
  <c r="CB239" i="3"/>
  <c r="CA239" i="3"/>
  <c r="BZ239" i="3"/>
  <c r="BY239" i="3"/>
  <c r="BX239" i="3"/>
  <c r="BW239" i="3"/>
  <c r="CE238" i="3"/>
  <c r="CD238" i="3"/>
  <c r="CC238" i="3"/>
  <c r="CB238" i="3"/>
  <c r="CA238" i="3"/>
  <c r="BZ238" i="3"/>
  <c r="BY238" i="3"/>
  <c r="BX238" i="3"/>
  <c r="BW238" i="3"/>
  <c r="CE237" i="3"/>
  <c r="CD237" i="3"/>
  <c r="CC237" i="3"/>
  <c r="CB237" i="3"/>
  <c r="CA237" i="3"/>
  <c r="BZ237" i="3"/>
  <c r="BY237" i="3"/>
  <c r="BX237" i="3"/>
  <c r="BW237" i="3"/>
  <c r="CE236" i="3"/>
  <c r="CD236" i="3"/>
  <c r="CC236" i="3"/>
  <c r="CB236" i="3"/>
  <c r="CA236" i="3"/>
  <c r="BZ236" i="3"/>
  <c r="BY236" i="3"/>
  <c r="BX236" i="3"/>
  <c r="BW236" i="3"/>
  <c r="CE235" i="3"/>
  <c r="CD235" i="3"/>
  <c r="CC235" i="3"/>
  <c r="CB235" i="3"/>
  <c r="CA235" i="3"/>
  <c r="BZ235" i="3"/>
  <c r="BY235" i="3"/>
  <c r="BX235" i="3"/>
  <c r="BW235" i="3"/>
  <c r="CE234" i="3"/>
  <c r="CD234" i="3"/>
  <c r="CC234" i="3"/>
  <c r="CB234" i="3"/>
  <c r="CA234" i="3"/>
  <c r="BZ234" i="3"/>
  <c r="BY234" i="3"/>
  <c r="BX234" i="3"/>
  <c r="BW234" i="3"/>
  <c r="CE233" i="3"/>
  <c r="CD233" i="3"/>
  <c r="CC233" i="3"/>
  <c r="CB233" i="3"/>
  <c r="CA233" i="3"/>
  <c r="BZ233" i="3"/>
  <c r="BY233" i="3"/>
  <c r="BX233" i="3"/>
  <c r="BW233" i="3"/>
  <c r="CE232" i="3"/>
  <c r="CD232" i="3"/>
  <c r="CC232" i="3"/>
  <c r="CB232" i="3"/>
  <c r="CA232" i="3"/>
  <c r="BZ232" i="3"/>
  <c r="BY232" i="3"/>
  <c r="BX232" i="3"/>
  <c r="BW232" i="3"/>
  <c r="CE231" i="3"/>
  <c r="CD231" i="3"/>
  <c r="CC231" i="3"/>
  <c r="CB231" i="3"/>
  <c r="CA231" i="3"/>
  <c r="BZ231" i="3"/>
  <c r="BY231" i="3"/>
  <c r="BX231" i="3"/>
  <c r="BW231" i="3"/>
  <c r="CE230" i="3"/>
  <c r="CD230" i="3"/>
  <c r="CC230" i="3"/>
  <c r="CB230" i="3"/>
  <c r="CA230" i="3"/>
  <c r="BZ230" i="3"/>
  <c r="BY230" i="3"/>
  <c r="BX230" i="3"/>
  <c r="BW230" i="3"/>
  <c r="CE229" i="3"/>
  <c r="CD229" i="3"/>
  <c r="CC229" i="3"/>
  <c r="CB229" i="3"/>
  <c r="CA229" i="3"/>
  <c r="BZ229" i="3"/>
  <c r="BY229" i="3"/>
  <c r="BX229" i="3"/>
  <c r="BW229" i="3"/>
  <c r="CE228" i="3"/>
  <c r="CD228" i="3"/>
  <c r="CC228" i="3"/>
  <c r="CB228" i="3"/>
  <c r="CA228" i="3"/>
  <c r="BZ228" i="3"/>
  <c r="BY228" i="3"/>
  <c r="BX228" i="3"/>
  <c r="BW228" i="3"/>
  <c r="CE227" i="3"/>
  <c r="CD227" i="3"/>
  <c r="CC227" i="3"/>
  <c r="CB227" i="3"/>
  <c r="CA227" i="3"/>
  <c r="BZ227" i="3"/>
  <c r="BY227" i="3"/>
  <c r="BX227" i="3"/>
  <c r="BW227" i="3"/>
  <c r="CE226" i="3"/>
  <c r="CD226" i="3"/>
  <c r="CC226" i="3"/>
  <c r="CB226" i="3"/>
  <c r="CA226" i="3"/>
  <c r="BZ226" i="3"/>
  <c r="BY226" i="3"/>
  <c r="BX226" i="3"/>
  <c r="BW226" i="3"/>
  <c r="CE225" i="3"/>
  <c r="CD225" i="3"/>
  <c r="CC225" i="3"/>
  <c r="CB225" i="3"/>
  <c r="CA225" i="3"/>
  <c r="BZ225" i="3"/>
  <c r="BY225" i="3"/>
  <c r="BX225" i="3"/>
  <c r="BW225" i="3"/>
  <c r="CE224" i="3"/>
  <c r="CD224" i="3"/>
  <c r="CC224" i="3"/>
  <c r="CB224" i="3"/>
  <c r="CA224" i="3"/>
  <c r="BZ224" i="3"/>
  <c r="BY224" i="3"/>
  <c r="BX224" i="3"/>
  <c r="BW224" i="3"/>
  <c r="CE223" i="3"/>
  <c r="CD223" i="3"/>
  <c r="CC223" i="3"/>
  <c r="CB223" i="3"/>
  <c r="CA223" i="3"/>
  <c r="BZ223" i="3"/>
  <c r="BY223" i="3"/>
  <c r="BX223" i="3"/>
  <c r="BW223" i="3"/>
  <c r="CE222" i="3"/>
  <c r="CD222" i="3"/>
  <c r="CC222" i="3"/>
  <c r="CB222" i="3"/>
  <c r="CA222" i="3"/>
  <c r="BZ222" i="3"/>
  <c r="BY222" i="3"/>
  <c r="BX222" i="3"/>
  <c r="BW222" i="3"/>
  <c r="CE221" i="3"/>
  <c r="CD221" i="3"/>
  <c r="CC221" i="3"/>
  <c r="CB221" i="3"/>
  <c r="CA221" i="3"/>
  <c r="BZ221" i="3"/>
  <c r="BY221" i="3"/>
  <c r="BX221" i="3"/>
  <c r="BW221" i="3"/>
  <c r="CE220" i="3"/>
  <c r="CD220" i="3"/>
  <c r="CC220" i="3"/>
  <c r="CB220" i="3"/>
  <c r="CA220" i="3"/>
  <c r="BZ220" i="3"/>
  <c r="BY220" i="3"/>
  <c r="BX220" i="3"/>
  <c r="BW220" i="3"/>
  <c r="CE219" i="3"/>
  <c r="CD219" i="3"/>
  <c r="CC219" i="3"/>
  <c r="CB219" i="3"/>
  <c r="CA219" i="3"/>
  <c r="BZ219" i="3"/>
  <c r="BY219" i="3"/>
  <c r="BX219" i="3"/>
  <c r="BW219" i="3"/>
  <c r="CE218" i="3"/>
  <c r="CD218" i="3"/>
  <c r="CC218" i="3"/>
  <c r="CB218" i="3"/>
  <c r="CA218" i="3"/>
  <c r="BZ218" i="3"/>
  <c r="BY218" i="3"/>
  <c r="BX218" i="3"/>
  <c r="BW218" i="3"/>
  <c r="CE217" i="3"/>
  <c r="CD217" i="3"/>
  <c r="CC217" i="3"/>
  <c r="CB217" i="3"/>
  <c r="CA217" i="3"/>
  <c r="BZ217" i="3"/>
  <c r="BY217" i="3"/>
  <c r="BX217" i="3"/>
  <c r="BW217" i="3"/>
  <c r="CE216" i="3"/>
  <c r="CD216" i="3"/>
  <c r="CC216" i="3"/>
  <c r="CB216" i="3"/>
  <c r="CA216" i="3"/>
  <c r="BZ216" i="3"/>
  <c r="BY216" i="3"/>
  <c r="BX216" i="3"/>
  <c r="BW216" i="3"/>
  <c r="CE215" i="3"/>
  <c r="CD215" i="3"/>
  <c r="CC215" i="3"/>
  <c r="CB215" i="3"/>
  <c r="CA215" i="3"/>
  <c r="BZ215" i="3"/>
  <c r="BY215" i="3"/>
  <c r="BX215" i="3"/>
  <c r="BW215" i="3"/>
  <c r="CE214" i="3"/>
  <c r="CD214" i="3"/>
  <c r="CC214" i="3"/>
  <c r="CB214" i="3"/>
  <c r="CA214" i="3"/>
  <c r="BZ214" i="3"/>
  <c r="BY214" i="3"/>
  <c r="BX214" i="3"/>
  <c r="BW214" i="3"/>
  <c r="CE211" i="3"/>
  <c r="CD211" i="3"/>
  <c r="CC211" i="3"/>
  <c r="CB211" i="3"/>
  <c r="CA211" i="3"/>
  <c r="BZ211" i="3"/>
  <c r="BY211" i="3"/>
  <c r="BX211" i="3"/>
  <c r="BW211" i="3"/>
  <c r="CE210" i="3"/>
  <c r="CD210" i="3"/>
  <c r="CC210" i="3"/>
  <c r="CB210" i="3"/>
  <c r="CA210" i="3"/>
  <c r="BZ210" i="3"/>
  <c r="BY210" i="3"/>
  <c r="BX210" i="3"/>
  <c r="BW210" i="3"/>
  <c r="CE209" i="3"/>
  <c r="CD209" i="3"/>
  <c r="CC209" i="3"/>
  <c r="CB209" i="3"/>
  <c r="CA209" i="3"/>
  <c r="BZ209" i="3"/>
  <c r="BY209" i="3"/>
  <c r="BX209" i="3"/>
  <c r="BW209" i="3"/>
  <c r="CE208" i="3"/>
  <c r="CD208" i="3"/>
  <c r="CC208" i="3"/>
  <c r="CB208" i="3"/>
  <c r="CA208" i="3"/>
  <c r="BZ208" i="3"/>
  <c r="BY208" i="3"/>
  <c r="BX208" i="3"/>
  <c r="BW208" i="3"/>
  <c r="CE207" i="3"/>
  <c r="CD207" i="3"/>
  <c r="CC207" i="3"/>
  <c r="CB207" i="3"/>
  <c r="CA207" i="3"/>
  <c r="BZ207" i="3"/>
  <c r="BY207" i="3"/>
  <c r="BX207" i="3"/>
  <c r="BW207" i="3"/>
  <c r="CE206" i="3"/>
  <c r="CD206" i="3"/>
  <c r="CC206" i="3"/>
  <c r="CB206" i="3"/>
  <c r="CA206" i="3"/>
  <c r="BZ206" i="3"/>
  <c r="BY206" i="3"/>
  <c r="BX206" i="3"/>
  <c r="BW206" i="3"/>
  <c r="CE205" i="3"/>
  <c r="CD205" i="3"/>
  <c r="CC205" i="3"/>
  <c r="CB205" i="3"/>
  <c r="CA205" i="3"/>
  <c r="BZ205" i="3"/>
  <c r="BY205" i="3"/>
  <c r="BX205" i="3"/>
  <c r="BW205" i="3"/>
  <c r="CE204" i="3"/>
  <c r="CD204" i="3"/>
  <c r="CC204" i="3"/>
  <c r="CB204" i="3"/>
  <c r="CA204" i="3"/>
  <c r="BZ204" i="3"/>
  <c r="BY204" i="3"/>
  <c r="BX204" i="3"/>
  <c r="BW204" i="3"/>
  <c r="CE187" i="3"/>
  <c r="CD187" i="3"/>
  <c r="CC187" i="3"/>
  <c r="CB187" i="3"/>
  <c r="CA187" i="3"/>
  <c r="BZ187" i="3"/>
  <c r="BY187" i="3"/>
  <c r="BX187" i="3"/>
  <c r="BW187" i="3"/>
  <c r="CE186" i="3"/>
  <c r="CD186" i="3"/>
  <c r="CC186" i="3"/>
  <c r="CB186" i="3"/>
  <c r="CA186" i="3"/>
  <c r="BZ186" i="3"/>
  <c r="BY186" i="3"/>
  <c r="BX186" i="3"/>
  <c r="BW186" i="3"/>
  <c r="CE185" i="3"/>
  <c r="CD185" i="3"/>
  <c r="CC185" i="3"/>
  <c r="CB185" i="3"/>
  <c r="CA185" i="3"/>
  <c r="BZ185" i="3"/>
  <c r="BY185" i="3"/>
  <c r="BX185" i="3"/>
  <c r="BW185" i="3"/>
  <c r="CE184" i="3"/>
  <c r="CD184" i="3"/>
  <c r="CC184" i="3"/>
  <c r="CB184" i="3"/>
  <c r="CA184" i="3"/>
  <c r="BZ184" i="3"/>
  <c r="BY184" i="3"/>
  <c r="BX184" i="3"/>
  <c r="BW184" i="3"/>
  <c r="CE183" i="3"/>
  <c r="CD183" i="3"/>
  <c r="CC183" i="3"/>
  <c r="CB183" i="3"/>
  <c r="CA183" i="3"/>
  <c r="BZ183" i="3"/>
  <c r="BY183" i="3"/>
  <c r="BX183" i="3"/>
  <c r="BW183" i="3"/>
  <c r="CE169" i="3"/>
  <c r="CD169" i="3"/>
  <c r="CC169" i="3"/>
  <c r="CB169" i="3"/>
  <c r="CA169" i="3"/>
  <c r="BZ169" i="3"/>
  <c r="BY169" i="3"/>
  <c r="BX169" i="3"/>
  <c r="BW169" i="3"/>
  <c r="CE168" i="3"/>
  <c r="CD168" i="3"/>
  <c r="CC168" i="3"/>
  <c r="CB168" i="3"/>
  <c r="CA168" i="3"/>
  <c r="BZ168" i="3"/>
  <c r="BY168" i="3"/>
  <c r="BX168" i="3"/>
  <c r="BW168" i="3"/>
  <c r="CE167" i="3"/>
  <c r="CD167" i="3"/>
  <c r="CC167" i="3"/>
  <c r="CB167" i="3"/>
  <c r="CA167" i="3"/>
  <c r="BZ167" i="3"/>
  <c r="BY167" i="3"/>
  <c r="BX167" i="3"/>
  <c r="BW167" i="3"/>
  <c r="CE166" i="3"/>
  <c r="CD166" i="3"/>
  <c r="CC166" i="3"/>
  <c r="CB166" i="3"/>
  <c r="CA166" i="3"/>
  <c r="BZ166" i="3"/>
  <c r="BY166" i="3"/>
  <c r="BX166" i="3"/>
  <c r="BW166" i="3"/>
  <c r="CE165" i="3"/>
  <c r="CD165" i="3"/>
  <c r="CC165" i="3"/>
  <c r="CB165" i="3"/>
  <c r="CA165" i="3"/>
  <c r="BZ165" i="3"/>
  <c r="BY165" i="3"/>
  <c r="BX165" i="3"/>
  <c r="BW165" i="3"/>
  <c r="CE164" i="3"/>
  <c r="CD164" i="3"/>
  <c r="CC164" i="3"/>
  <c r="CB164" i="3"/>
  <c r="CA164" i="3"/>
  <c r="BZ164" i="3"/>
  <c r="BY164" i="3"/>
  <c r="BX164" i="3"/>
  <c r="BW164" i="3"/>
  <c r="CE163" i="3"/>
  <c r="CD163" i="3"/>
  <c r="CC163" i="3"/>
  <c r="CB163" i="3"/>
  <c r="CA163" i="3"/>
  <c r="BZ163" i="3"/>
  <c r="BY163" i="3"/>
  <c r="BX163" i="3"/>
  <c r="BW163" i="3"/>
  <c r="CD162" i="3"/>
  <c r="CC162" i="3"/>
  <c r="CB162" i="3"/>
  <c r="CA162" i="3"/>
  <c r="BZ162" i="3"/>
  <c r="BY162" i="3"/>
  <c r="CE162" i="3"/>
  <c r="BX162" i="3"/>
  <c r="BW162" i="3"/>
  <c r="BV281" i="3"/>
  <c r="BU281" i="3"/>
  <c r="BT281" i="3"/>
  <c r="BS281" i="3"/>
  <c r="BR281" i="3"/>
  <c r="BQ281" i="3"/>
  <c r="BP281" i="3"/>
  <c r="BO281" i="3"/>
  <c r="BN281" i="3"/>
  <c r="BV280" i="3"/>
  <c r="BU280" i="3"/>
  <c r="BT280" i="3"/>
  <c r="BS280" i="3"/>
  <c r="BR280" i="3"/>
  <c r="BQ280" i="3"/>
  <c r="BP280" i="3"/>
  <c r="BO280" i="3"/>
  <c r="BN280" i="3"/>
  <c r="BV279" i="3"/>
  <c r="BU279" i="3"/>
  <c r="BT279" i="3"/>
  <c r="BS279" i="3"/>
  <c r="BR279" i="3"/>
  <c r="BQ279" i="3"/>
  <c r="BP279" i="3"/>
  <c r="BO279" i="3"/>
  <c r="BN279" i="3"/>
  <c r="BV278" i="3"/>
  <c r="BU278" i="3"/>
  <c r="BT278" i="3"/>
  <c r="BS278" i="3"/>
  <c r="BR278" i="3"/>
  <c r="BQ278" i="3"/>
  <c r="BP278" i="3"/>
  <c r="BO278" i="3"/>
  <c r="BN278" i="3"/>
  <c r="BV277" i="3"/>
  <c r="BU277" i="3"/>
  <c r="BT277" i="3"/>
  <c r="BS277" i="3"/>
  <c r="BR277" i="3"/>
  <c r="BQ277" i="3"/>
  <c r="BP277" i="3"/>
  <c r="BO277" i="3"/>
  <c r="BN277" i="3"/>
  <c r="BV276" i="3"/>
  <c r="BU276" i="3"/>
  <c r="BT276" i="3"/>
  <c r="BS276" i="3"/>
  <c r="BR276" i="3"/>
  <c r="BQ276" i="3"/>
  <c r="BP276" i="3"/>
  <c r="BO276" i="3"/>
  <c r="BN276" i="3"/>
  <c r="BV275" i="3"/>
  <c r="BU275" i="3"/>
  <c r="BT275" i="3"/>
  <c r="BS275" i="3"/>
  <c r="BR275" i="3"/>
  <c r="BQ275" i="3"/>
  <c r="BP275" i="3"/>
  <c r="BO275" i="3"/>
  <c r="BN275" i="3"/>
  <c r="BV274" i="3"/>
  <c r="BU274" i="3"/>
  <c r="BT274" i="3"/>
  <c r="BS274" i="3"/>
  <c r="BR274" i="3"/>
  <c r="BQ274" i="3"/>
  <c r="BP274" i="3"/>
  <c r="BO274" i="3"/>
  <c r="BN274" i="3"/>
  <c r="BV273" i="3"/>
  <c r="BU273" i="3"/>
  <c r="BT273" i="3"/>
  <c r="BS273" i="3"/>
  <c r="BR273" i="3"/>
  <c r="BQ273" i="3"/>
  <c r="BP273" i="3"/>
  <c r="BO273" i="3"/>
  <c r="BN273" i="3"/>
  <c r="BV272" i="3"/>
  <c r="BU272" i="3"/>
  <c r="BT272" i="3"/>
  <c r="BS272" i="3"/>
  <c r="BR272" i="3"/>
  <c r="BQ272" i="3"/>
  <c r="BP272" i="3"/>
  <c r="BO272" i="3"/>
  <c r="BN272" i="3"/>
  <c r="BV271" i="3"/>
  <c r="BU271" i="3"/>
  <c r="BT271" i="3"/>
  <c r="BS271" i="3"/>
  <c r="BR271" i="3"/>
  <c r="BQ271" i="3"/>
  <c r="BP271" i="3"/>
  <c r="BO271" i="3"/>
  <c r="BN271" i="3"/>
  <c r="BV270" i="3"/>
  <c r="BU270" i="3"/>
  <c r="BT270" i="3"/>
  <c r="BS270" i="3"/>
  <c r="BR270" i="3"/>
  <c r="BQ270" i="3"/>
  <c r="BP270" i="3"/>
  <c r="BO270" i="3"/>
  <c r="BN270" i="3"/>
  <c r="BV269" i="3"/>
  <c r="BU269" i="3"/>
  <c r="BT269" i="3"/>
  <c r="BS269" i="3"/>
  <c r="BR269" i="3"/>
  <c r="BQ269" i="3"/>
  <c r="BP269" i="3"/>
  <c r="BO269" i="3"/>
  <c r="BN269" i="3"/>
  <c r="BV268" i="3"/>
  <c r="BU268" i="3"/>
  <c r="BT268" i="3"/>
  <c r="BS268" i="3"/>
  <c r="BR268" i="3"/>
  <c r="BQ268" i="3"/>
  <c r="BP268" i="3"/>
  <c r="BO268" i="3"/>
  <c r="BN268" i="3"/>
  <c r="BV267" i="3"/>
  <c r="BU267" i="3"/>
  <c r="BT267" i="3"/>
  <c r="BS267" i="3"/>
  <c r="BR267" i="3"/>
  <c r="BQ267" i="3"/>
  <c r="BP267" i="3"/>
  <c r="BO267" i="3"/>
  <c r="BN267" i="3"/>
  <c r="BV266" i="3"/>
  <c r="BU266" i="3"/>
  <c r="BT266" i="3"/>
  <c r="BS266" i="3"/>
  <c r="BR266" i="3"/>
  <c r="BQ266" i="3"/>
  <c r="BP266" i="3"/>
  <c r="BO266" i="3"/>
  <c r="BN266" i="3"/>
  <c r="BV265" i="3"/>
  <c r="BU265" i="3"/>
  <c r="BT265" i="3"/>
  <c r="BS265" i="3"/>
  <c r="BR265" i="3"/>
  <c r="BQ265" i="3"/>
  <c r="BP265" i="3"/>
  <c r="BO265" i="3"/>
  <c r="BN265" i="3"/>
  <c r="BV264" i="3"/>
  <c r="BU264" i="3"/>
  <c r="BT264" i="3"/>
  <c r="BS264" i="3"/>
  <c r="BR264" i="3"/>
  <c r="BQ264" i="3"/>
  <c r="BP264" i="3"/>
  <c r="BO264" i="3"/>
  <c r="BN264" i="3"/>
  <c r="BV263" i="3"/>
  <c r="BU263" i="3"/>
  <c r="BT263" i="3"/>
  <c r="BS263" i="3"/>
  <c r="BR263" i="3"/>
  <c r="BQ263" i="3"/>
  <c r="BP263" i="3"/>
  <c r="BO263" i="3"/>
  <c r="BN263" i="3"/>
  <c r="BV262" i="3"/>
  <c r="BU262" i="3"/>
  <c r="BT262" i="3"/>
  <c r="BS262" i="3"/>
  <c r="BR262" i="3"/>
  <c r="BQ262" i="3"/>
  <c r="BP262" i="3"/>
  <c r="BO262" i="3"/>
  <c r="BN262" i="3"/>
  <c r="BV261" i="3"/>
  <c r="BU261" i="3"/>
  <c r="BT261" i="3"/>
  <c r="BS261" i="3"/>
  <c r="BR261" i="3"/>
  <c r="BQ261" i="3"/>
  <c r="BP261" i="3"/>
  <c r="BO261" i="3"/>
  <c r="BN261" i="3"/>
  <c r="BV260" i="3"/>
  <c r="BU260" i="3"/>
  <c r="BT260" i="3"/>
  <c r="BS260" i="3"/>
  <c r="BR260" i="3"/>
  <c r="BQ260" i="3"/>
  <c r="BP260" i="3"/>
  <c r="BO260" i="3"/>
  <c r="BN260" i="3"/>
  <c r="BV259" i="3"/>
  <c r="BU259" i="3"/>
  <c r="BT259" i="3"/>
  <c r="BS259" i="3"/>
  <c r="BR259" i="3"/>
  <c r="BQ259" i="3"/>
  <c r="BP259" i="3"/>
  <c r="BO259" i="3"/>
  <c r="BN259" i="3"/>
  <c r="BV258" i="3"/>
  <c r="BU258" i="3"/>
  <c r="BT258" i="3"/>
  <c r="BS258" i="3"/>
  <c r="BR258" i="3"/>
  <c r="BQ258" i="3"/>
  <c r="BP258" i="3"/>
  <c r="BO258" i="3"/>
  <c r="BN258" i="3"/>
  <c r="BV257" i="3"/>
  <c r="BU257" i="3"/>
  <c r="BT257" i="3"/>
  <c r="BS257" i="3"/>
  <c r="BR257" i="3"/>
  <c r="BQ257" i="3"/>
  <c r="BP257" i="3"/>
  <c r="BO257" i="3"/>
  <c r="BN257" i="3"/>
  <c r="BV256" i="3"/>
  <c r="BU256" i="3"/>
  <c r="BT256" i="3"/>
  <c r="BS256" i="3"/>
  <c r="BR256" i="3"/>
  <c r="BQ256" i="3"/>
  <c r="BP256" i="3"/>
  <c r="BO256" i="3"/>
  <c r="BN256" i="3"/>
  <c r="BV255" i="3"/>
  <c r="BU255" i="3"/>
  <c r="BT255" i="3"/>
  <c r="BS255" i="3"/>
  <c r="BR255" i="3"/>
  <c r="BQ255" i="3"/>
  <c r="BP255" i="3"/>
  <c r="BO255" i="3"/>
  <c r="BN255" i="3"/>
  <c r="BV254" i="3"/>
  <c r="BU254" i="3"/>
  <c r="BT254" i="3"/>
  <c r="BS254" i="3"/>
  <c r="BR254" i="3"/>
  <c r="BQ254" i="3"/>
  <c r="BP254" i="3"/>
  <c r="BO254" i="3"/>
  <c r="BN254" i="3"/>
  <c r="BV253" i="3"/>
  <c r="BU253" i="3"/>
  <c r="BT253" i="3"/>
  <c r="BS253" i="3"/>
  <c r="BR253" i="3"/>
  <c r="BQ253" i="3"/>
  <c r="BP253" i="3"/>
  <c r="BO253" i="3"/>
  <c r="BN253" i="3"/>
  <c r="BV252" i="3"/>
  <c r="BU252" i="3"/>
  <c r="BT252" i="3"/>
  <c r="BS252" i="3"/>
  <c r="BR252" i="3"/>
  <c r="BQ252" i="3"/>
  <c r="BP252" i="3"/>
  <c r="BO252" i="3"/>
  <c r="BN252" i="3"/>
  <c r="BV251" i="3"/>
  <c r="BU251" i="3"/>
  <c r="BT251" i="3"/>
  <c r="BS251" i="3"/>
  <c r="BR251" i="3"/>
  <c r="BQ251" i="3"/>
  <c r="BP251" i="3"/>
  <c r="BO251" i="3"/>
  <c r="BN251" i="3"/>
  <c r="BV250" i="3"/>
  <c r="BU250" i="3"/>
  <c r="BT250" i="3"/>
  <c r="BS250" i="3"/>
  <c r="BR250" i="3"/>
  <c r="BQ250" i="3"/>
  <c r="BP250" i="3"/>
  <c r="BO250" i="3"/>
  <c r="BN250" i="3"/>
  <c r="BV249" i="3"/>
  <c r="BU249" i="3"/>
  <c r="BT249" i="3"/>
  <c r="BS249" i="3"/>
  <c r="BR249" i="3"/>
  <c r="BQ249" i="3"/>
  <c r="BP249" i="3"/>
  <c r="BO249" i="3"/>
  <c r="BN249" i="3"/>
  <c r="BV248" i="3"/>
  <c r="BU248" i="3"/>
  <c r="BT248" i="3"/>
  <c r="BS248" i="3"/>
  <c r="BR248" i="3"/>
  <c r="BQ248" i="3"/>
  <c r="BP248" i="3"/>
  <c r="BO248" i="3"/>
  <c r="BN248" i="3"/>
  <c r="BV247" i="3"/>
  <c r="BU247" i="3"/>
  <c r="BT247" i="3"/>
  <c r="BS247" i="3"/>
  <c r="BR247" i="3"/>
  <c r="BQ247" i="3"/>
  <c r="BP247" i="3"/>
  <c r="BO247" i="3"/>
  <c r="BN247" i="3"/>
  <c r="BV246" i="3"/>
  <c r="BU246" i="3"/>
  <c r="BT246" i="3"/>
  <c r="BS246" i="3"/>
  <c r="BR246" i="3"/>
  <c r="BQ246" i="3"/>
  <c r="BP246" i="3"/>
  <c r="BO246" i="3"/>
  <c r="BN246" i="3"/>
  <c r="BV245" i="3"/>
  <c r="BU245" i="3"/>
  <c r="BT245" i="3"/>
  <c r="BS245" i="3"/>
  <c r="BR245" i="3"/>
  <c r="BQ245" i="3"/>
  <c r="BP245" i="3"/>
  <c r="BO245" i="3"/>
  <c r="BN245" i="3"/>
  <c r="BV244" i="3"/>
  <c r="BU244" i="3"/>
  <c r="BT244" i="3"/>
  <c r="BS244" i="3"/>
  <c r="BR244" i="3"/>
  <c r="BQ244" i="3"/>
  <c r="BP244" i="3"/>
  <c r="BO244" i="3"/>
  <c r="BN244" i="3"/>
  <c r="BV243" i="3"/>
  <c r="BU243" i="3"/>
  <c r="BT243" i="3"/>
  <c r="BS243" i="3"/>
  <c r="BR243" i="3"/>
  <c r="BQ243" i="3"/>
  <c r="BP243" i="3"/>
  <c r="BO243" i="3"/>
  <c r="BN243" i="3"/>
  <c r="BV242" i="3"/>
  <c r="BU242" i="3"/>
  <c r="BT242" i="3"/>
  <c r="BS242" i="3"/>
  <c r="BR242" i="3"/>
  <c r="BQ242" i="3"/>
  <c r="BP242" i="3"/>
  <c r="BO242" i="3"/>
  <c r="BN242" i="3"/>
  <c r="BV241" i="3"/>
  <c r="BU241" i="3"/>
  <c r="BT241" i="3"/>
  <c r="BS241" i="3"/>
  <c r="BR241" i="3"/>
  <c r="BQ241" i="3"/>
  <c r="BP241" i="3"/>
  <c r="BO241" i="3"/>
  <c r="BN241" i="3"/>
  <c r="BV240" i="3"/>
  <c r="BU240" i="3"/>
  <c r="BT240" i="3"/>
  <c r="BS240" i="3"/>
  <c r="BR240" i="3"/>
  <c r="BQ240" i="3"/>
  <c r="BP240" i="3"/>
  <c r="BO240" i="3"/>
  <c r="BN240" i="3"/>
  <c r="BV239" i="3"/>
  <c r="BU239" i="3"/>
  <c r="BT239" i="3"/>
  <c r="BS239" i="3"/>
  <c r="BR239" i="3"/>
  <c r="BQ239" i="3"/>
  <c r="BP239" i="3"/>
  <c r="BO239" i="3"/>
  <c r="BN239" i="3"/>
  <c r="BV238" i="3"/>
  <c r="BU238" i="3"/>
  <c r="BT238" i="3"/>
  <c r="BS238" i="3"/>
  <c r="BR238" i="3"/>
  <c r="BQ238" i="3"/>
  <c r="BP238" i="3"/>
  <c r="BO238" i="3"/>
  <c r="BN238" i="3"/>
  <c r="BV237" i="3"/>
  <c r="BU237" i="3"/>
  <c r="BT237" i="3"/>
  <c r="BS237" i="3"/>
  <c r="BR237" i="3"/>
  <c r="BQ237" i="3"/>
  <c r="BP237" i="3"/>
  <c r="BO237" i="3"/>
  <c r="BN237" i="3"/>
  <c r="BV236" i="3"/>
  <c r="BU236" i="3"/>
  <c r="BT236" i="3"/>
  <c r="BS236" i="3"/>
  <c r="BR236" i="3"/>
  <c r="BQ236" i="3"/>
  <c r="BP236" i="3"/>
  <c r="BO236" i="3"/>
  <c r="BN236" i="3"/>
  <c r="BV235" i="3"/>
  <c r="BU235" i="3"/>
  <c r="BT235" i="3"/>
  <c r="BS235" i="3"/>
  <c r="BR235" i="3"/>
  <c r="BQ235" i="3"/>
  <c r="BP235" i="3"/>
  <c r="BO235" i="3"/>
  <c r="BN235" i="3"/>
  <c r="BV234" i="3"/>
  <c r="BU234" i="3"/>
  <c r="BT234" i="3"/>
  <c r="BS234" i="3"/>
  <c r="BR234" i="3"/>
  <c r="BQ234" i="3"/>
  <c r="BP234" i="3"/>
  <c r="BO234" i="3"/>
  <c r="BN234" i="3"/>
  <c r="BV233" i="3"/>
  <c r="BU233" i="3"/>
  <c r="BT233" i="3"/>
  <c r="BS233" i="3"/>
  <c r="BR233" i="3"/>
  <c r="BQ233" i="3"/>
  <c r="BP233" i="3"/>
  <c r="BO233" i="3"/>
  <c r="BN233" i="3"/>
  <c r="BV232" i="3"/>
  <c r="BU232" i="3"/>
  <c r="BT232" i="3"/>
  <c r="BS232" i="3"/>
  <c r="BR232" i="3"/>
  <c r="BQ232" i="3"/>
  <c r="BP232" i="3"/>
  <c r="BO232" i="3"/>
  <c r="BN232" i="3"/>
  <c r="BV231" i="3"/>
  <c r="BU231" i="3"/>
  <c r="BT231" i="3"/>
  <c r="BS231" i="3"/>
  <c r="BR231" i="3"/>
  <c r="BQ231" i="3"/>
  <c r="BP231" i="3"/>
  <c r="BO231" i="3"/>
  <c r="BN231" i="3"/>
  <c r="BV230" i="3"/>
  <c r="BU230" i="3"/>
  <c r="BT230" i="3"/>
  <c r="BS230" i="3"/>
  <c r="BR230" i="3"/>
  <c r="BQ230" i="3"/>
  <c r="BP230" i="3"/>
  <c r="BO230" i="3"/>
  <c r="BN230" i="3"/>
  <c r="BV229" i="3"/>
  <c r="BU229" i="3"/>
  <c r="BT229" i="3"/>
  <c r="BS229" i="3"/>
  <c r="BR229" i="3"/>
  <c r="BQ229" i="3"/>
  <c r="BP229" i="3"/>
  <c r="BO229" i="3"/>
  <c r="BN229" i="3"/>
  <c r="BV228" i="3"/>
  <c r="BU228" i="3"/>
  <c r="BT228" i="3"/>
  <c r="BS228" i="3"/>
  <c r="BR228" i="3"/>
  <c r="BQ228" i="3"/>
  <c r="BP228" i="3"/>
  <c r="BO228" i="3"/>
  <c r="BN228" i="3"/>
  <c r="BV227" i="3"/>
  <c r="BU227" i="3"/>
  <c r="BT227" i="3"/>
  <c r="BS227" i="3"/>
  <c r="BR227" i="3"/>
  <c r="BQ227" i="3"/>
  <c r="BP227" i="3"/>
  <c r="BO227" i="3"/>
  <c r="BN227" i="3"/>
  <c r="BV226" i="3"/>
  <c r="BU226" i="3"/>
  <c r="BT226" i="3"/>
  <c r="BS226" i="3"/>
  <c r="BR226" i="3"/>
  <c r="BQ226" i="3"/>
  <c r="BP226" i="3"/>
  <c r="BO226" i="3"/>
  <c r="BN226" i="3"/>
  <c r="BV225" i="3"/>
  <c r="BU225" i="3"/>
  <c r="BT225" i="3"/>
  <c r="BS225" i="3"/>
  <c r="BR225" i="3"/>
  <c r="BQ225" i="3"/>
  <c r="BP225" i="3"/>
  <c r="BO225" i="3"/>
  <c r="BN225" i="3"/>
  <c r="BV224" i="3"/>
  <c r="BU224" i="3"/>
  <c r="BT224" i="3"/>
  <c r="BS224" i="3"/>
  <c r="BR224" i="3"/>
  <c r="BQ224" i="3"/>
  <c r="BP224" i="3"/>
  <c r="BO224" i="3"/>
  <c r="BN224" i="3"/>
  <c r="BV223" i="3"/>
  <c r="BU223" i="3"/>
  <c r="BT223" i="3"/>
  <c r="BS223" i="3"/>
  <c r="BR223" i="3"/>
  <c r="BQ223" i="3"/>
  <c r="BP223" i="3"/>
  <c r="BO223" i="3"/>
  <c r="BN223" i="3"/>
  <c r="BV222" i="3"/>
  <c r="BU222" i="3"/>
  <c r="BT222" i="3"/>
  <c r="BS222" i="3"/>
  <c r="BR222" i="3"/>
  <c r="BQ222" i="3"/>
  <c r="BP222" i="3"/>
  <c r="BO222" i="3"/>
  <c r="BN222" i="3"/>
  <c r="BV221" i="3"/>
  <c r="BU221" i="3"/>
  <c r="BT221" i="3"/>
  <c r="BS221" i="3"/>
  <c r="BR221" i="3"/>
  <c r="BQ221" i="3"/>
  <c r="BP221" i="3"/>
  <c r="BO221" i="3"/>
  <c r="BN221" i="3"/>
  <c r="BV220" i="3"/>
  <c r="BU220" i="3"/>
  <c r="BT220" i="3"/>
  <c r="BS220" i="3"/>
  <c r="BR220" i="3"/>
  <c r="BQ220" i="3"/>
  <c r="BP220" i="3"/>
  <c r="BO220" i="3"/>
  <c r="BN220" i="3"/>
  <c r="BV219" i="3"/>
  <c r="BU219" i="3"/>
  <c r="BT219" i="3"/>
  <c r="BS219" i="3"/>
  <c r="BR219" i="3"/>
  <c r="BQ219" i="3"/>
  <c r="BP219" i="3"/>
  <c r="BO219" i="3"/>
  <c r="BN219" i="3"/>
  <c r="BV218" i="3"/>
  <c r="BU218" i="3"/>
  <c r="BT218" i="3"/>
  <c r="BS218" i="3"/>
  <c r="BR218" i="3"/>
  <c r="BQ218" i="3"/>
  <c r="BP218" i="3"/>
  <c r="BO218" i="3"/>
  <c r="BN218" i="3"/>
  <c r="BV217" i="3"/>
  <c r="BU217" i="3"/>
  <c r="BT217" i="3"/>
  <c r="BS217" i="3"/>
  <c r="BR217" i="3"/>
  <c r="BQ217" i="3"/>
  <c r="BP217" i="3"/>
  <c r="BO217" i="3"/>
  <c r="BN217" i="3"/>
  <c r="BV216" i="3"/>
  <c r="BU216" i="3"/>
  <c r="BT216" i="3"/>
  <c r="BS216" i="3"/>
  <c r="BR216" i="3"/>
  <c r="BQ216" i="3"/>
  <c r="BP216" i="3"/>
  <c r="BO216" i="3"/>
  <c r="BN216" i="3"/>
  <c r="BV215" i="3"/>
  <c r="BU215" i="3"/>
  <c r="BT215" i="3"/>
  <c r="BS215" i="3"/>
  <c r="BR215" i="3"/>
  <c r="BQ215" i="3"/>
  <c r="BP215" i="3"/>
  <c r="BO215" i="3"/>
  <c r="BN215" i="3"/>
  <c r="BV214" i="3"/>
  <c r="BU214" i="3"/>
  <c r="BT214" i="3"/>
  <c r="BS214" i="3"/>
  <c r="BR214" i="3"/>
  <c r="BQ214" i="3"/>
  <c r="BP214" i="3"/>
  <c r="BO214" i="3"/>
  <c r="BN214" i="3"/>
  <c r="BV211" i="3"/>
  <c r="BU211" i="3"/>
  <c r="BT211" i="3"/>
  <c r="BS211" i="3"/>
  <c r="BR211" i="3"/>
  <c r="BQ211" i="3"/>
  <c r="BP211" i="3"/>
  <c r="BO211" i="3"/>
  <c r="BN211" i="3"/>
  <c r="BV210" i="3"/>
  <c r="BU210" i="3"/>
  <c r="BT210" i="3"/>
  <c r="BS210" i="3"/>
  <c r="BR210" i="3"/>
  <c r="BQ210" i="3"/>
  <c r="BP210" i="3"/>
  <c r="BO210" i="3"/>
  <c r="BN210" i="3"/>
  <c r="BV209" i="3"/>
  <c r="BU209" i="3"/>
  <c r="BT209" i="3"/>
  <c r="BS209" i="3"/>
  <c r="BR209" i="3"/>
  <c r="BQ209" i="3"/>
  <c r="BP209" i="3"/>
  <c r="BO209" i="3"/>
  <c r="BN209" i="3"/>
  <c r="BV208" i="3"/>
  <c r="BU208" i="3"/>
  <c r="BT208" i="3"/>
  <c r="BS208" i="3"/>
  <c r="BR208" i="3"/>
  <c r="BQ208" i="3"/>
  <c r="BP208" i="3"/>
  <c r="BO208" i="3"/>
  <c r="BN208" i="3"/>
  <c r="BV207" i="3"/>
  <c r="BU207" i="3"/>
  <c r="BT207" i="3"/>
  <c r="BS207" i="3"/>
  <c r="BR207" i="3"/>
  <c r="BQ207" i="3"/>
  <c r="BP207" i="3"/>
  <c r="BO207" i="3"/>
  <c r="BN207" i="3"/>
  <c r="BV206" i="3"/>
  <c r="BU206" i="3"/>
  <c r="BT206" i="3"/>
  <c r="BS206" i="3"/>
  <c r="BR206" i="3"/>
  <c r="BQ206" i="3"/>
  <c r="BP206" i="3"/>
  <c r="BO206" i="3"/>
  <c r="BN206" i="3"/>
  <c r="BV205" i="3"/>
  <c r="BU205" i="3"/>
  <c r="BT205" i="3"/>
  <c r="BS205" i="3"/>
  <c r="BR205" i="3"/>
  <c r="BQ205" i="3"/>
  <c r="BP205" i="3"/>
  <c r="BO205" i="3"/>
  <c r="BN205" i="3"/>
  <c r="BV204" i="3"/>
  <c r="BU204" i="3"/>
  <c r="BT204" i="3"/>
  <c r="BS204" i="3"/>
  <c r="BR204" i="3"/>
  <c r="BQ204" i="3"/>
  <c r="BP204" i="3"/>
  <c r="BO204" i="3"/>
  <c r="BN204" i="3"/>
  <c r="BV187" i="3"/>
  <c r="BU187" i="3"/>
  <c r="BT187" i="3"/>
  <c r="BS187" i="3"/>
  <c r="BR187" i="3"/>
  <c r="BQ187" i="3"/>
  <c r="BP187" i="3"/>
  <c r="BO187" i="3"/>
  <c r="BN187" i="3"/>
  <c r="BV186" i="3"/>
  <c r="BU186" i="3"/>
  <c r="BT186" i="3"/>
  <c r="BS186" i="3"/>
  <c r="BR186" i="3"/>
  <c r="BQ186" i="3"/>
  <c r="BP186" i="3"/>
  <c r="BO186" i="3"/>
  <c r="BN186" i="3"/>
  <c r="BV185" i="3"/>
  <c r="BU185" i="3"/>
  <c r="BT185" i="3"/>
  <c r="BS185" i="3"/>
  <c r="BR185" i="3"/>
  <c r="BQ185" i="3"/>
  <c r="BP185" i="3"/>
  <c r="BO185" i="3"/>
  <c r="BN185" i="3"/>
  <c r="BV184" i="3"/>
  <c r="BU184" i="3"/>
  <c r="BT184" i="3"/>
  <c r="BS184" i="3"/>
  <c r="BR184" i="3"/>
  <c r="BP184" i="3"/>
  <c r="BO184" i="3"/>
  <c r="BN184" i="3"/>
  <c r="BV183" i="3"/>
  <c r="BU183" i="3"/>
  <c r="BT183" i="3"/>
  <c r="BS183" i="3"/>
  <c r="BR183" i="3"/>
  <c r="BQ183" i="3"/>
  <c r="BP183" i="3"/>
  <c r="BO183" i="3"/>
  <c r="BN183" i="3"/>
  <c r="BV169" i="3"/>
  <c r="BU169" i="3"/>
  <c r="BT169" i="3"/>
  <c r="BS169" i="3"/>
  <c r="BR169" i="3"/>
  <c r="BQ169" i="3"/>
  <c r="BP169" i="3"/>
  <c r="BO169" i="3"/>
  <c r="BN169" i="3"/>
  <c r="BV168" i="3"/>
  <c r="BU168" i="3"/>
  <c r="BT168" i="3"/>
  <c r="BS168" i="3"/>
  <c r="BR168" i="3"/>
  <c r="BQ168" i="3"/>
  <c r="BP168" i="3"/>
  <c r="BO168" i="3"/>
  <c r="BN168" i="3"/>
  <c r="BV167" i="3"/>
  <c r="BU167" i="3"/>
  <c r="BT167" i="3"/>
  <c r="BS167" i="3"/>
  <c r="BR167" i="3"/>
  <c r="BQ167" i="3"/>
  <c r="BP167" i="3"/>
  <c r="BO167" i="3"/>
  <c r="BN167" i="3"/>
  <c r="BV166" i="3"/>
  <c r="BU166" i="3"/>
  <c r="BT166" i="3"/>
  <c r="BS166" i="3"/>
  <c r="BR166" i="3"/>
  <c r="BQ166" i="3"/>
  <c r="BP166" i="3"/>
  <c r="BO166" i="3"/>
  <c r="BN166" i="3"/>
  <c r="BV165" i="3"/>
  <c r="BU165" i="3"/>
  <c r="BT165" i="3"/>
  <c r="BS165" i="3"/>
  <c r="BR165" i="3"/>
  <c r="BQ165" i="3"/>
  <c r="BP165" i="3"/>
  <c r="BO165" i="3"/>
  <c r="BN165" i="3"/>
  <c r="BV164" i="3"/>
  <c r="BU164" i="3"/>
  <c r="BT164" i="3"/>
  <c r="BS164" i="3"/>
  <c r="BR164" i="3"/>
  <c r="BQ164" i="3"/>
  <c r="BP164" i="3"/>
  <c r="BO164" i="3"/>
  <c r="BN164" i="3"/>
  <c r="BV163" i="3"/>
  <c r="BU163" i="3"/>
  <c r="BT163" i="3"/>
  <c r="BS163" i="3"/>
  <c r="BR163" i="3"/>
  <c r="BQ163" i="3"/>
  <c r="BP163" i="3"/>
  <c r="BO163" i="3"/>
  <c r="BN163" i="3"/>
  <c r="BA281" i="3"/>
  <c r="AZ281" i="3"/>
  <c r="AY281" i="3"/>
  <c r="AX281" i="3"/>
  <c r="AW281" i="3"/>
  <c r="AV281" i="3"/>
  <c r="BA280" i="3"/>
  <c r="AZ280" i="3"/>
  <c r="AY280" i="3"/>
  <c r="AX280" i="3"/>
  <c r="AW280" i="3"/>
  <c r="AV280" i="3"/>
  <c r="BA279" i="3"/>
  <c r="AZ279" i="3"/>
  <c r="AY279" i="3"/>
  <c r="AX279" i="3"/>
  <c r="AW279" i="3"/>
  <c r="AV279" i="3"/>
  <c r="BA278" i="3"/>
  <c r="AZ278" i="3"/>
  <c r="AY278" i="3"/>
  <c r="AX278" i="3"/>
  <c r="AW278" i="3"/>
  <c r="AV278" i="3"/>
  <c r="BA277" i="3"/>
  <c r="AZ277" i="3"/>
  <c r="AY277" i="3"/>
  <c r="AX277" i="3"/>
  <c r="AW277" i="3"/>
  <c r="AV277" i="3"/>
  <c r="BA276" i="3"/>
  <c r="AZ276" i="3"/>
  <c r="AY276" i="3"/>
  <c r="AX276" i="3"/>
  <c r="AW276" i="3"/>
  <c r="AV276" i="3"/>
  <c r="BA275" i="3"/>
  <c r="AZ275" i="3"/>
  <c r="AY275" i="3"/>
  <c r="AX275" i="3"/>
  <c r="AW275" i="3"/>
  <c r="AV275" i="3"/>
  <c r="BA274" i="3"/>
  <c r="AZ274" i="3"/>
  <c r="AY274" i="3"/>
  <c r="AX274" i="3"/>
  <c r="AW274" i="3"/>
  <c r="AV274" i="3"/>
  <c r="BA273" i="3"/>
  <c r="AZ273" i="3"/>
  <c r="AY273" i="3"/>
  <c r="AX273" i="3"/>
  <c r="AW273" i="3"/>
  <c r="AV273" i="3"/>
  <c r="BA272" i="3"/>
  <c r="AZ272" i="3"/>
  <c r="AY272" i="3"/>
  <c r="AX272" i="3"/>
  <c r="AW272" i="3"/>
  <c r="AV272" i="3"/>
  <c r="BA271" i="3"/>
  <c r="AZ271" i="3"/>
  <c r="AY271" i="3"/>
  <c r="AX271" i="3"/>
  <c r="AW271" i="3"/>
  <c r="AV271" i="3"/>
  <c r="BA270" i="3"/>
  <c r="AZ270" i="3"/>
  <c r="AY270" i="3"/>
  <c r="AX270" i="3"/>
  <c r="AW270" i="3"/>
  <c r="AV270" i="3"/>
  <c r="BA269" i="3"/>
  <c r="AZ269" i="3"/>
  <c r="AY269" i="3"/>
  <c r="AX269" i="3"/>
  <c r="AW269" i="3"/>
  <c r="AV269" i="3"/>
  <c r="BA268" i="3"/>
  <c r="AZ268" i="3"/>
  <c r="AY268" i="3"/>
  <c r="AX268" i="3"/>
  <c r="AW268" i="3"/>
  <c r="AV268" i="3"/>
  <c r="BA267" i="3"/>
  <c r="AZ267" i="3"/>
  <c r="AY267" i="3"/>
  <c r="AX267" i="3"/>
  <c r="AW267" i="3"/>
  <c r="AV267" i="3"/>
  <c r="BA266" i="3"/>
  <c r="AZ266" i="3"/>
  <c r="AY266" i="3"/>
  <c r="AX266" i="3"/>
  <c r="AW266" i="3"/>
  <c r="AV266" i="3"/>
  <c r="BA265" i="3"/>
  <c r="AZ265" i="3"/>
  <c r="AY265" i="3"/>
  <c r="AX265" i="3"/>
  <c r="AW265" i="3"/>
  <c r="AV265" i="3"/>
  <c r="BA264" i="3"/>
  <c r="AZ264" i="3"/>
  <c r="AY264" i="3"/>
  <c r="AX264" i="3"/>
  <c r="AW264" i="3"/>
  <c r="AV264" i="3"/>
  <c r="BA263" i="3"/>
  <c r="AZ263" i="3"/>
  <c r="AY263" i="3"/>
  <c r="AX263" i="3"/>
  <c r="AW263" i="3"/>
  <c r="AV263" i="3"/>
  <c r="BA262" i="3"/>
  <c r="AZ262" i="3"/>
  <c r="AY262" i="3"/>
  <c r="AX262" i="3"/>
  <c r="AW262" i="3"/>
  <c r="AV262" i="3"/>
  <c r="BA261" i="3"/>
  <c r="AZ261" i="3"/>
  <c r="AY261" i="3"/>
  <c r="AX261" i="3"/>
  <c r="AW261" i="3"/>
  <c r="AV261" i="3"/>
  <c r="BA260" i="3"/>
  <c r="AZ260" i="3"/>
  <c r="AY260" i="3"/>
  <c r="AX260" i="3"/>
  <c r="AW260" i="3"/>
  <c r="AV260" i="3"/>
  <c r="BA259" i="3"/>
  <c r="AZ259" i="3"/>
  <c r="AY259" i="3"/>
  <c r="AX259" i="3"/>
  <c r="AW259" i="3"/>
  <c r="AV259" i="3"/>
  <c r="BA258" i="3"/>
  <c r="AZ258" i="3"/>
  <c r="AY258" i="3"/>
  <c r="AX258" i="3"/>
  <c r="AW258" i="3"/>
  <c r="AV258" i="3"/>
  <c r="BA257" i="3"/>
  <c r="AZ257" i="3"/>
  <c r="AY257" i="3"/>
  <c r="AX257" i="3"/>
  <c r="AW257" i="3"/>
  <c r="AV257" i="3"/>
  <c r="BA256" i="3"/>
  <c r="AZ256" i="3"/>
  <c r="AY256" i="3"/>
  <c r="AX256" i="3"/>
  <c r="AW256" i="3"/>
  <c r="AV256" i="3"/>
  <c r="BA255" i="3"/>
  <c r="AZ255" i="3"/>
  <c r="AY255" i="3"/>
  <c r="AX255" i="3"/>
  <c r="AW255" i="3"/>
  <c r="AV255" i="3"/>
  <c r="BA254" i="3"/>
  <c r="AZ254" i="3"/>
  <c r="AY254" i="3"/>
  <c r="AX254" i="3"/>
  <c r="AW254" i="3"/>
  <c r="AV254" i="3"/>
  <c r="BA253" i="3"/>
  <c r="AZ253" i="3"/>
  <c r="AY253" i="3"/>
  <c r="AX253" i="3"/>
  <c r="AW253" i="3"/>
  <c r="AV253" i="3"/>
  <c r="BA252" i="3"/>
  <c r="AZ252" i="3"/>
  <c r="AY252" i="3"/>
  <c r="AX252" i="3"/>
  <c r="AW252" i="3"/>
  <c r="AV252" i="3"/>
  <c r="BA251" i="3"/>
  <c r="AZ251" i="3"/>
  <c r="AY251" i="3"/>
  <c r="AX251" i="3"/>
  <c r="AW251" i="3"/>
  <c r="AV251" i="3"/>
  <c r="BA250" i="3"/>
  <c r="AZ250" i="3"/>
  <c r="AY250" i="3"/>
  <c r="AX250" i="3"/>
  <c r="AW250" i="3"/>
  <c r="AV250" i="3"/>
  <c r="BA249" i="3"/>
  <c r="AZ249" i="3"/>
  <c r="AY249" i="3"/>
  <c r="AX249" i="3"/>
  <c r="AW249" i="3"/>
  <c r="AV249" i="3"/>
  <c r="BA248" i="3"/>
  <c r="AZ248" i="3"/>
  <c r="AY248" i="3"/>
  <c r="AX248" i="3"/>
  <c r="AW248" i="3"/>
  <c r="AV248" i="3"/>
  <c r="BA247" i="3"/>
  <c r="AZ247" i="3"/>
  <c r="AY247" i="3"/>
  <c r="AX247" i="3"/>
  <c r="AW247" i="3"/>
  <c r="AV247" i="3"/>
  <c r="BA246" i="3"/>
  <c r="AZ246" i="3"/>
  <c r="AY246" i="3"/>
  <c r="AX246" i="3"/>
  <c r="AW246" i="3"/>
  <c r="AV246" i="3"/>
  <c r="BA245" i="3"/>
  <c r="AZ245" i="3"/>
  <c r="AY245" i="3"/>
  <c r="AX245" i="3"/>
  <c r="AW245" i="3"/>
  <c r="AV245" i="3"/>
  <c r="BA244" i="3"/>
  <c r="AZ244" i="3"/>
  <c r="AY244" i="3"/>
  <c r="AX244" i="3"/>
  <c r="AW244" i="3"/>
  <c r="AV244" i="3"/>
  <c r="BA243" i="3"/>
  <c r="AZ243" i="3"/>
  <c r="AY243" i="3"/>
  <c r="AX243" i="3"/>
  <c r="AW243" i="3"/>
  <c r="AV243" i="3"/>
  <c r="BA242" i="3"/>
  <c r="AZ242" i="3"/>
  <c r="AY242" i="3"/>
  <c r="AX242" i="3"/>
  <c r="AW242" i="3"/>
  <c r="AV242" i="3"/>
  <c r="BA241" i="3"/>
  <c r="AZ241" i="3"/>
  <c r="AY241" i="3"/>
  <c r="AX241" i="3"/>
  <c r="AW241" i="3"/>
  <c r="AV241" i="3"/>
  <c r="BA240" i="3"/>
  <c r="AZ240" i="3"/>
  <c r="AY240" i="3"/>
  <c r="AX240" i="3"/>
  <c r="AW240" i="3"/>
  <c r="AV240" i="3"/>
  <c r="BA239" i="3"/>
  <c r="AZ239" i="3"/>
  <c r="AY239" i="3"/>
  <c r="AX239" i="3"/>
  <c r="AW239" i="3"/>
  <c r="AV239" i="3"/>
  <c r="BA238" i="3"/>
  <c r="AZ238" i="3"/>
  <c r="AY238" i="3"/>
  <c r="AX238" i="3"/>
  <c r="AW238" i="3"/>
  <c r="AV238" i="3"/>
  <c r="BA237" i="3"/>
  <c r="AZ237" i="3"/>
  <c r="AY237" i="3"/>
  <c r="AX237" i="3"/>
  <c r="AW237" i="3"/>
  <c r="AV237" i="3"/>
  <c r="BA236" i="3"/>
  <c r="AZ236" i="3"/>
  <c r="AY236" i="3"/>
  <c r="AX236" i="3"/>
  <c r="AW236" i="3"/>
  <c r="AV236" i="3"/>
  <c r="BA235" i="3"/>
  <c r="AZ235" i="3"/>
  <c r="AY235" i="3"/>
  <c r="AX235" i="3"/>
  <c r="AW235" i="3"/>
  <c r="AV235" i="3"/>
  <c r="BA234" i="3"/>
  <c r="AZ234" i="3"/>
  <c r="AY234" i="3"/>
  <c r="AX234" i="3"/>
  <c r="AW234" i="3"/>
  <c r="AV234" i="3"/>
  <c r="BA233" i="3"/>
  <c r="AZ233" i="3"/>
  <c r="AY233" i="3"/>
  <c r="AX233" i="3"/>
  <c r="AW233" i="3"/>
  <c r="AV233" i="3"/>
  <c r="BA232" i="3"/>
  <c r="AZ232" i="3"/>
  <c r="AY232" i="3"/>
  <c r="AX232" i="3"/>
  <c r="AW232" i="3"/>
  <c r="AV232" i="3"/>
  <c r="BA231" i="3"/>
  <c r="AZ231" i="3"/>
  <c r="AY231" i="3"/>
  <c r="AX231" i="3"/>
  <c r="AW231" i="3"/>
  <c r="AV231" i="3"/>
  <c r="BA230" i="3"/>
  <c r="AZ230" i="3"/>
  <c r="AY230" i="3"/>
  <c r="AX230" i="3"/>
  <c r="AW230" i="3"/>
  <c r="AV230" i="3"/>
  <c r="BA229" i="3"/>
  <c r="AZ229" i="3"/>
  <c r="AY229" i="3"/>
  <c r="AX229" i="3"/>
  <c r="AW229" i="3"/>
  <c r="AV229" i="3"/>
  <c r="BA228" i="3"/>
  <c r="AZ228" i="3"/>
  <c r="AY228" i="3"/>
  <c r="AX228" i="3"/>
  <c r="AW228" i="3"/>
  <c r="AV228" i="3"/>
  <c r="BA227" i="3"/>
  <c r="AZ227" i="3"/>
  <c r="AY227" i="3"/>
  <c r="AX227" i="3"/>
  <c r="AW227" i="3"/>
  <c r="AV227" i="3"/>
  <c r="BA226" i="3"/>
  <c r="AZ226" i="3"/>
  <c r="AY226" i="3"/>
  <c r="AX226" i="3"/>
  <c r="AW226" i="3"/>
  <c r="AV226" i="3"/>
  <c r="BA225" i="3"/>
  <c r="AZ225" i="3"/>
  <c r="AY225" i="3"/>
  <c r="AX225" i="3"/>
  <c r="AW225" i="3"/>
  <c r="AV225" i="3"/>
  <c r="BA224" i="3"/>
  <c r="AZ224" i="3"/>
  <c r="AY224" i="3"/>
  <c r="AX224" i="3"/>
  <c r="AW224" i="3"/>
  <c r="AV224" i="3"/>
  <c r="BA223" i="3"/>
  <c r="AZ223" i="3"/>
  <c r="AY223" i="3"/>
  <c r="AX223" i="3"/>
  <c r="AW223" i="3"/>
  <c r="AV223" i="3"/>
  <c r="BA222" i="3"/>
  <c r="AZ222" i="3"/>
  <c r="AY222" i="3"/>
  <c r="AX222" i="3"/>
  <c r="AW222" i="3"/>
  <c r="AV222" i="3"/>
  <c r="BA221" i="3"/>
  <c r="AZ221" i="3"/>
  <c r="AY221" i="3"/>
  <c r="AX221" i="3"/>
  <c r="AW221" i="3"/>
  <c r="AV221" i="3"/>
  <c r="BA220" i="3"/>
  <c r="AZ220" i="3"/>
  <c r="AY220" i="3"/>
  <c r="AX220" i="3"/>
  <c r="AW220" i="3"/>
  <c r="AV220" i="3"/>
  <c r="BA219" i="3"/>
  <c r="AZ219" i="3"/>
  <c r="AY219" i="3"/>
  <c r="AX219" i="3"/>
  <c r="AW219" i="3"/>
  <c r="AV219" i="3"/>
  <c r="BA218" i="3"/>
  <c r="AZ218" i="3"/>
  <c r="AY218" i="3"/>
  <c r="AX218" i="3"/>
  <c r="AW218" i="3"/>
  <c r="AV218" i="3"/>
  <c r="BA217" i="3"/>
  <c r="AZ217" i="3"/>
  <c r="AY217" i="3"/>
  <c r="AX217" i="3"/>
  <c r="AW217" i="3"/>
  <c r="AV217" i="3"/>
  <c r="BA216" i="3"/>
  <c r="AZ216" i="3"/>
  <c r="AY216" i="3"/>
  <c r="AX216" i="3"/>
  <c r="AW216" i="3"/>
  <c r="AV216" i="3"/>
  <c r="BA215" i="3"/>
  <c r="AZ215" i="3"/>
  <c r="AY215" i="3"/>
  <c r="AX215" i="3"/>
  <c r="AW215" i="3"/>
  <c r="AV215" i="3"/>
  <c r="BA214" i="3"/>
  <c r="AZ214" i="3"/>
  <c r="AY214" i="3"/>
  <c r="AX214" i="3"/>
  <c r="AW214" i="3"/>
  <c r="AV214" i="3"/>
  <c r="BA211" i="3"/>
  <c r="AZ211" i="3"/>
  <c r="AY211" i="3"/>
  <c r="AX211" i="3"/>
  <c r="AW211" i="3"/>
  <c r="AV211" i="3"/>
  <c r="BA210" i="3"/>
  <c r="AZ210" i="3"/>
  <c r="AY210" i="3"/>
  <c r="AW210" i="3"/>
  <c r="AV210" i="3"/>
  <c r="BA209" i="3"/>
  <c r="AZ209" i="3"/>
  <c r="AY209" i="3"/>
  <c r="AX209" i="3"/>
  <c r="AW209" i="3"/>
  <c r="AV209" i="3"/>
  <c r="BA208" i="3"/>
  <c r="AZ208" i="3"/>
  <c r="AY208" i="3"/>
  <c r="AX208" i="3"/>
  <c r="AW208" i="3"/>
  <c r="AV208" i="3"/>
  <c r="BA207" i="3"/>
  <c r="AZ207" i="3"/>
  <c r="AY207" i="3"/>
  <c r="AX207" i="3"/>
  <c r="AW207" i="3"/>
  <c r="AV207" i="3"/>
  <c r="BA206" i="3"/>
  <c r="AZ206" i="3"/>
  <c r="AY206" i="3"/>
  <c r="AX206" i="3"/>
  <c r="AW206" i="3"/>
  <c r="AV206" i="3"/>
  <c r="BA205" i="3"/>
  <c r="AZ205" i="3"/>
  <c r="AY205" i="3"/>
  <c r="AX205" i="3"/>
  <c r="AW205" i="3"/>
  <c r="AV205" i="3"/>
  <c r="BA204" i="3"/>
  <c r="AZ204" i="3"/>
  <c r="AY204" i="3"/>
  <c r="AX204" i="3"/>
  <c r="AW204" i="3"/>
  <c r="AV204" i="3"/>
  <c r="BA187" i="3"/>
  <c r="AZ187" i="3"/>
  <c r="AY187" i="3"/>
  <c r="AX187" i="3"/>
  <c r="AW187" i="3"/>
  <c r="AV187" i="3"/>
  <c r="BA186" i="3"/>
  <c r="AZ186" i="3"/>
  <c r="AY186" i="3"/>
  <c r="AX186" i="3"/>
  <c r="AW186" i="3"/>
  <c r="AV186" i="3"/>
  <c r="BA185" i="3"/>
  <c r="AZ185" i="3"/>
  <c r="AY185" i="3"/>
  <c r="AX185" i="3"/>
  <c r="AW185" i="3"/>
  <c r="AV185" i="3"/>
  <c r="BA184" i="3"/>
  <c r="AZ184" i="3"/>
  <c r="AY184" i="3"/>
  <c r="AX184" i="3"/>
  <c r="AW184" i="3"/>
  <c r="AV184" i="3"/>
  <c r="BA183" i="3"/>
  <c r="AZ183" i="3"/>
  <c r="AY183" i="3"/>
  <c r="AX183" i="3"/>
  <c r="AW183" i="3"/>
  <c r="AV183" i="3"/>
  <c r="BA169" i="3"/>
  <c r="AZ169" i="3"/>
  <c r="AY169" i="3"/>
  <c r="AV169" i="3"/>
  <c r="AZ168" i="3"/>
  <c r="AY168" i="3"/>
  <c r="AV168" i="3"/>
  <c r="AZ167" i="3"/>
  <c r="AY167" i="3"/>
  <c r="AV167" i="3"/>
  <c r="AZ166" i="3"/>
  <c r="AY166" i="3"/>
  <c r="AV166" i="3"/>
  <c r="AZ165" i="3"/>
  <c r="AY165" i="3"/>
  <c r="AV165" i="3"/>
  <c r="BA164" i="3"/>
  <c r="AZ164" i="3"/>
  <c r="AY164" i="3"/>
  <c r="AV164" i="3"/>
  <c r="BA163" i="3"/>
  <c r="AZ163" i="3"/>
  <c r="AY163" i="3"/>
  <c r="BG281" i="3"/>
  <c r="BF281" i="3"/>
  <c r="BE281" i="3"/>
  <c r="BD281" i="3"/>
  <c r="BC281" i="3"/>
  <c r="BB281" i="3"/>
  <c r="BG280" i="3"/>
  <c r="BF280" i="3"/>
  <c r="BE280" i="3"/>
  <c r="BD280" i="3"/>
  <c r="BC280" i="3"/>
  <c r="BB280" i="3"/>
  <c r="BG279" i="3"/>
  <c r="BF279" i="3"/>
  <c r="BE279" i="3"/>
  <c r="BD279" i="3"/>
  <c r="BC279" i="3"/>
  <c r="BB279" i="3"/>
  <c r="BG278" i="3"/>
  <c r="BF278" i="3"/>
  <c r="BE278" i="3"/>
  <c r="BD278" i="3"/>
  <c r="BC278" i="3"/>
  <c r="BB278" i="3"/>
  <c r="BG277" i="3"/>
  <c r="BF277" i="3"/>
  <c r="BE277" i="3"/>
  <c r="BD277" i="3"/>
  <c r="BC277" i="3"/>
  <c r="BB277" i="3"/>
  <c r="BG276" i="3"/>
  <c r="BF276" i="3"/>
  <c r="BE276" i="3"/>
  <c r="BD276" i="3"/>
  <c r="BC276" i="3"/>
  <c r="BB276" i="3"/>
  <c r="BG275" i="3"/>
  <c r="BF275" i="3"/>
  <c r="BE275" i="3"/>
  <c r="BD275" i="3"/>
  <c r="BC275" i="3"/>
  <c r="BB275" i="3"/>
  <c r="BG274" i="3"/>
  <c r="BF274" i="3"/>
  <c r="BE274" i="3"/>
  <c r="BD274" i="3"/>
  <c r="BC274" i="3"/>
  <c r="BB274" i="3"/>
  <c r="BG273" i="3"/>
  <c r="BF273" i="3"/>
  <c r="BE273" i="3"/>
  <c r="BD273" i="3"/>
  <c r="BC273" i="3"/>
  <c r="BB273" i="3"/>
  <c r="BG272" i="3"/>
  <c r="BF272" i="3"/>
  <c r="BE272" i="3"/>
  <c r="BD272" i="3"/>
  <c r="BC272" i="3"/>
  <c r="BB272" i="3"/>
  <c r="BG271" i="3"/>
  <c r="BF271" i="3"/>
  <c r="BE271" i="3"/>
  <c r="BD271" i="3"/>
  <c r="BC271" i="3"/>
  <c r="BB271" i="3"/>
  <c r="BG270" i="3"/>
  <c r="BF270" i="3"/>
  <c r="BE270" i="3"/>
  <c r="BD270" i="3"/>
  <c r="BC270" i="3"/>
  <c r="BB270" i="3"/>
  <c r="BG269" i="3"/>
  <c r="BF269" i="3"/>
  <c r="BE269" i="3"/>
  <c r="BD269" i="3"/>
  <c r="BC269" i="3"/>
  <c r="BB269" i="3"/>
  <c r="BG268" i="3"/>
  <c r="BF268" i="3"/>
  <c r="BE268" i="3"/>
  <c r="BD268" i="3"/>
  <c r="BC268" i="3"/>
  <c r="BB268" i="3"/>
  <c r="BG267" i="3"/>
  <c r="BF267" i="3"/>
  <c r="BE267" i="3"/>
  <c r="BD267" i="3"/>
  <c r="BC267" i="3"/>
  <c r="BB267" i="3"/>
  <c r="BG266" i="3"/>
  <c r="BF266" i="3"/>
  <c r="BE266" i="3"/>
  <c r="BD266" i="3"/>
  <c r="BC266" i="3"/>
  <c r="BB266" i="3"/>
  <c r="BG265" i="3"/>
  <c r="BF265" i="3"/>
  <c r="BE265" i="3"/>
  <c r="BD265" i="3"/>
  <c r="BC265" i="3"/>
  <c r="BB265" i="3"/>
  <c r="BG264" i="3"/>
  <c r="BF264" i="3"/>
  <c r="BE264" i="3"/>
  <c r="BD264" i="3"/>
  <c r="BC264" i="3"/>
  <c r="BB264" i="3"/>
  <c r="BG263" i="3"/>
  <c r="BF263" i="3"/>
  <c r="BE263" i="3"/>
  <c r="BD263" i="3"/>
  <c r="BC263" i="3"/>
  <c r="BB263" i="3"/>
  <c r="BG262" i="3"/>
  <c r="BF262" i="3"/>
  <c r="BE262" i="3"/>
  <c r="BD262" i="3"/>
  <c r="BC262" i="3"/>
  <c r="BB262" i="3"/>
  <c r="BG261" i="3"/>
  <c r="BF261" i="3"/>
  <c r="BE261" i="3"/>
  <c r="BD261" i="3"/>
  <c r="BC261" i="3"/>
  <c r="BB261" i="3"/>
  <c r="BG260" i="3"/>
  <c r="BF260" i="3"/>
  <c r="BE260" i="3"/>
  <c r="BD260" i="3"/>
  <c r="BC260" i="3"/>
  <c r="BB260" i="3"/>
  <c r="BG259" i="3"/>
  <c r="BF259" i="3"/>
  <c r="BE259" i="3"/>
  <c r="BD259" i="3"/>
  <c r="BC259" i="3"/>
  <c r="BB259" i="3"/>
  <c r="BG258" i="3"/>
  <c r="BF258" i="3"/>
  <c r="BE258" i="3"/>
  <c r="BD258" i="3"/>
  <c r="BC258" i="3"/>
  <c r="BB258" i="3"/>
  <c r="BG257" i="3"/>
  <c r="BF257" i="3"/>
  <c r="BE257" i="3"/>
  <c r="BD257" i="3"/>
  <c r="BC257" i="3"/>
  <c r="BB257" i="3"/>
  <c r="BG256" i="3"/>
  <c r="BF256" i="3"/>
  <c r="BE256" i="3"/>
  <c r="BD256" i="3"/>
  <c r="BC256" i="3"/>
  <c r="BB256" i="3"/>
  <c r="BG255" i="3"/>
  <c r="BF255" i="3"/>
  <c r="BE255" i="3"/>
  <c r="BD255" i="3"/>
  <c r="BC255" i="3"/>
  <c r="BB255" i="3"/>
  <c r="BG254" i="3"/>
  <c r="BF254" i="3"/>
  <c r="BE254" i="3"/>
  <c r="BD254" i="3"/>
  <c r="BC254" i="3"/>
  <c r="BB254" i="3"/>
  <c r="BG253" i="3"/>
  <c r="BF253" i="3"/>
  <c r="BE253" i="3"/>
  <c r="BD253" i="3"/>
  <c r="BC253" i="3"/>
  <c r="BB253" i="3"/>
  <c r="BG252" i="3"/>
  <c r="BF252" i="3"/>
  <c r="BE252" i="3"/>
  <c r="BD252" i="3"/>
  <c r="BC252" i="3"/>
  <c r="BB252" i="3"/>
  <c r="BG251" i="3"/>
  <c r="BF251" i="3"/>
  <c r="BE251" i="3"/>
  <c r="BD251" i="3"/>
  <c r="BC251" i="3"/>
  <c r="BB251" i="3"/>
  <c r="BG250" i="3"/>
  <c r="BF250" i="3"/>
  <c r="BE250" i="3"/>
  <c r="BD250" i="3"/>
  <c r="BC250" i="3"/>
  <c r="BB250" i="3"/>
  <c r="BG249" i="3"/>
  <c r="BF249" i="3"/>
  <c r="BE249" i="3"/>
  <c r="BD249" i="3"/>
  <c r="BC249" i="3"/>
  <c r="BB249" i="3"/>
  <c r="BG248" i="3"/>
  <c r="BF248" i="3"/>
  <c r="BE248" i="3"/>
  <c r="BD248" i="3"/>
  <c r="BC248" i="3"/>
  <c r="BB248" i="3"/>
  <c r="BG247" i="3"/>
  <c r="BF247" i="3"/>
  <c r="BE247" i="3"/>
  <c r="BD247" i="3"/>
  <c r="BC247" i="3"/>
  <c r="BB247" i="3"/>
  <c r="BG246" i="3"/>
  <c r="BF246" i="3"/>
  <c r="BE246" i="3"/>
  <c r="BD246" i="3"/>
  <c r="BC246" i="3"/>
  <c r="BB246" i="3"/>
  <c r="BG245" i="3"/>
  <c r="BF245" i="3"/>
  <c r="BE245" i="3"/>
  <c r="BD245" i="3"/>
  <c r="BC245" i="3"/>
  <c r="BB245" i="3"/>
  <c r="BG244" i="3"/>
  <c r="BF244" i="3"/>
  <c r="BE244" i="3"/>
  <c r="BD244" i="3"/>
  <c r="BC244" i="3"/>
  <c r="BB244" i="3"/>
  <c r="BG243" i="3"/>
  <c r="BF243" i="3"/>
  <c r="BE243" i="3"/>
  <c r="BD243" i="3"/>
  <c r="BC243" i="3"/>
  <c r="BB243" i="3"/>
  <c r="BG242" i="3"/>
  <c r="BF242" i="3"/>
  <c r="BE242" i="3"/>
  <c r="BD242" i="3"/>
  <c r="BC242" i="3"/>
  <c r="BB242" i="3"/>
  <c r="BG241" i="3"/>
  <c r="BF241" i="3"/>
  <c r="BE241" i="3"/>
  <c r="BD241" i="3"/>
  <c r="BC241" i="3"/>
  <c r="BB241" i="3"/>
  <c r="BG240" i="3"/>
  <c r="BF240" i="3"/>
  <c r="BE240" i="3"/>
  <c r="BD240" i="3"/>
  <c r="BC240" i="3"/>
  <c r="BB240" i="3"/>
  <c r="BG239" i="3"/>
  <c r="BF239" i="3"/>
  <c r="BE239" i="3"/>
  <c r="BD239" i="3"/>
  <c r="BC239" i="3"/>
  <c r="BB239" i="3"/>
  <c r="BG238" i="3"/>
  <c r="BF238" i="3"/>
  <c r="BE238" i="3"/>
  <c r="BD238" i="3"/>
  <c r="BC238" i="3"/>
  <c r="BB238" i="3"/>
  <c r="BG237" i="3"/>
  <c r="BF237" i="3"/>
  <c r="BE237" i="3"/>
  <c r="BD237" i="3"/>
  <c r="BC237" i="3"/>
  <c r="BB237" i="3"/>
  <c r="BG236" i="3"/>
  <c r="BF236" i="3"/>
  <c r="BE236" i="3"/>
  <c r="BD236" i="3"/>
  <c r="BC236" i="3"/>
  <c r="BB236" i="3"/>
  <c r="BG235" i="3"/>
  <c r="BF235" i="3"/>
  <c r="BE235" i="3"/>
  <c r="BD235" i="3"/>
  <c r="BC235" i="3"/>
  <c r="BB235" i="3"/>
  <c r="BG234" i="3"/>
  <c r="BF234" i="3"/>
  <c r="BE234" i="3"/>
  <c r="BD234" i="3"/>
  <c r="BC234" i="3"/>
  <c r="BB234" i="3"/>
  <c r="BG233" i="3"/>
  <c r="BF233" i="3"/>
  <c r="BE233" i="3"/>
  <c r="BD233" i="3"/>
  <c r="BC233" i="3"/>
  <c r="BB233" i="3"/>
  <c r="BG232" i="3"/>
  <c r="BF232" i="3"/>
  <c r="BE232" i="3"/>
  <c r="BD232" i="3"/>
  <c r="BC232" i="3"/>
  <c r="BB232" i="3"/>
  <c r="BG231" i="3"/>
  <c r="BF231" i="3"/>
  <c r="BE231" i="3"/>
  <c r="BD231" i="3"/>
  <c r="BC231" i="3"/>
  <c r="BB231" i="3"/>
  <c r="BG230" i="3"/>
  <c r="BF230" i="3"/>
  <c r="BE230" i="3"/>
  <c r="BD230" i="3"/>
  <c r="BC230" i="3"/>
  <c r="BB230" i="3"/>
  <c r="BG229" i="3"/>
  <c r="BF229" i="3"/>
  <c r="BE229" i="3"/>
  <c r="BD229" i="3"/>
  <c r="BC229" i="3"/>
  <c r="BB229" i="3"/>
  <c r="BG228" i="3"/>
  <c r="BF228" i="3"/>
  <c r="BE228" i="3"/>
  <c r="BD228" i="3"/>
  <c r="BC228" i="3"/>
  <c r="BB228" i="3"/>
  <c r="BG227" i="3"/>
  <c r="BF227" i="3"/>
  <c r="BE227" i="3"/>
  <c r="BD227" i="3"/>
  <c r="BC227" i="3"/>
  <c r="BB227" i="3"/>
  <c r="BG226" i="3"/>
  <c r="BF226" i="3"/>
  <c r="BE226" i="3"/>
  <c r="BD226" i="3"/>
  <c r="BC226" i="3"/>
  <c r="BB226" i="3"/>
  <c r="BG225" i="3"/>
  <c r="BF225" i="3"/>
  <c r="BE225" i="3"/>
  <c r="BD225" i="3"/>
  <c r="BC225" i="3"/>
  <c r="BB225" i="3"/>
  <c r="BG224" i="3"/>
  <c r="BF224" i="3"/>
  <c r="BE224" i="3"/>
  <c r="BD224" i="3"/>
  <c r="BC224" i="3"/>
  <c r="BB224" i="3"/>
  <c r="BG223" i="3"/>
  <c r="BF223" i="3"/>
  <c r="BE223" i="3"/>
  <c r="BD223" i="3"/>
  <c r="BC223" i="3"/>
  <c r="BB223" i="3"/>
  <c r="BG222" i="3"/>
  <c r="BF222" i="3"/>
  <c r="BE222" i="3"/>
  <c r="BD222" i="3"/>
  <c r="BC222" i="3"/>
  <c r="BB222" i="3"/>
  <c r="BG221" i="3"/>
  <c r="BF221" i="3"/>
  <c r="BE221" i="3"/>
  <c r="BD221" i="3"/>
  <c r="BC221" i="3"/>
  <c r="BB221" i="3"/>
  <c r="BG220" i="3"/>
  <c r="BF220" i="3"/>
  <c r="BE220" i="3"/>
  <c r="BD220" i="3"/>
  <c r="BC220" i="3"/>
  <c r="BB220" i="3"/>
  <c r="BG219" i="3"/>
  <c r="BF219" i="3"/>
  <c r="BE219" i="3"/>
  <c r="BD219" i="3"/>
  <c r="BC219" i="3"/>
  <c r="BB219" i="3"/>
  <c r="BG218" i="3"/>
  <c r="BF218" i="3"/>
  <c r="BE218" i="3"/>
  <c r="BD218" i="3"/>
  <c r="BC218" i="3"/>
  <c r="BB218" i="3"/>
  <c r="BG217" i="3"/>
  <c r="BF217" i="3"/>
  <c r="BE217" i="3"/>
  <c r="BD217" i="3"/>
  <c r="BC217" i="3"/>
  <c r="BB217" i="3"/>
  <c r="BG216" i="3"/>
  <c r="BF216" i="3"/>
  <c r="BE216" i="3"/>
  <c r="BD216" i="3"/>
  <c r="BC216" i="3"/>
  <c r="BB216" i="3"/>
  <c r="BG215" i="3"/>
  <c r="BF215" i="3"/>
  <c r="BE215" i="3"/>
  <c r="BD215" i="3"/>
  <c r="BC215" i="3"/>
  <c r="BB215" i="3"/>
  <c r="BG214" i="3"/>
  <c r="BF214" i="3"/>
  <c r="BE214" i="3"/>
  <c r="BD214" i="3"/>
  <c r="BC214" i="3"/>
  <c r="BB214" i="3"/>
  <c r="BG211" i="3"/>
  <c r="BF211" i="3"/>
  <c r="BE211" i="3"/>
  <c r="BD211" i="3"/>
  <c r="BC211" i="3"/>
  <c r="BB211" i="3"/>
  <c r="BG210" i="3"/>
  <c r="BF210" i="3"/>
  <c r="BE210" i="3"/>
  <c r="BD210" i="3"/>
  <c r="BC210" i="3"/>
  <c r="BB210" i="3"/>
  <c r="BG209" i="3"/>
  <c r="BF209" i="3"/>
  <c r="BE209" i="3"/>
  <c r="BC209" i="3"/>
  <c r="BB209" i="3"/>
  <c r="BG208" i="3"/>
  <c r="BF208" i="3"/>
  <c r="BE208" i="3"/>
  <c r="BC208" i="3"/>
  <c r="BB208" i="3"/>
  <c r="BG207" i="3"/>
  <c r="BF207" i="3"/>
  <c r="BE207" i="3"/>
  <c r="BD207" i="3"/>
  <c r="BC207" i="3"/>
  <c r="BB207" i="3"/>
  <c r="BG206" i="3"/>
  <c r="BF206" i="3"/>
  <c r="BE206" i="3"/>
  <c r="BD206" i="3"/>
  <c r="BC206" i="3"/>
  <c r="BB206" i="3"/>
  <c r="BG205" i="3"/>
  <c r="BF205" i="3"/>
  <c r="BE205" i="3"/>
  <c r="BD205" i="3"/>
  <c r="BC205" i="3"/>
  <c r="BB205" i="3"/>
  <c r="BG204" i="3"/>
  <c r="BF204" i="3"/>
  <c r="BE204" i="3"/>
  <c r="BD204" i="3"/>
  <c r="BC204" i="3"/>
  <c r="BB204" i="3"/>
  <c r="BG187" i="3"/>
  <c r="BF187" i="3"/>
  <c r="BE187" i="3"/>
  <c r="BD187" i="3"/>
  <c r="BC187" i="3"/>
  <c r="BG186" i="3"/>
  <c r="BF186" i="3"/>
  <c r="BE186" i="3"/>
  <c r="BD186" i="3"/>
  <c r="BC186" i="3"/>
  <c r="BG185" i="3"/>
  <c r="BF185" i="3"/>
  <c r="BE185" i="3"/>
  <c r="BD185" i="3"/>
  <c r="BC185" i="3"/>
  <c r="BB185" i="3"/>
  <c r="BG184" i="3"/>
  <c r="BF184" i="3"/>
  <c r="BE184" i="3"/>
  <c r="BD184" i="3"/>
  <c r="BC184" i="3"/>
  <c r="BB184" i="3"/>
  <c r="BG183" i="3"/>
  <c r="BF183" i="3"/>
  <c r="BE183" i="3"/>
  <c r="BD183" i="3"/>
  <c r="BC183" i="3"/>
  <c r="BB183" i="3"/>
  <c r="BG169" i="3"/>
  <c r="BF169" i="3"/>
  <c r="BE169" i="3"/>
  <c r="BD169" i="3"/>
  <c r="BB169" i="3"/>
  <c r="BG168" i="3"/>
  <c r="BF168" i="3"/>
  <c r="BE168" i="3"/>
  <c r="BD168" i="3"/>
  <c r="BC168" i="3"/>
  <c r="BB168" i="3"/>
  <c r="BG167" i="3"/>
  <c r="BF167" i="3"/>
  <c r="BE167" i="3"/>
  <c r="BD167" i="3"/>
  <c r="BC167" i="3"/>
  <c r="BG166" i="3"/>
  <c r="BF166" i="3"/>
  <c r="BE166" i="3"/>
  <c r="BD166" i="3"/>
  <c r="BB166" i="3"/>
  <c r="BG165" i="3"/>
  <c r="BF165" i="3"/>
  <c r="BE165" i="3"/>
  <c r="BC165" i="3"/>
  <c r="BB165" i="3"/>
  <c r="BG164" i="3"/>
  <c r="BF164" i="3"/>
  <c r="BE164" i="3"/>
  <c r="BD164" i="3"/>
  <c r="BB164" i="3"/>
  <c r="BG163" i="3"/>
  <c r="BF163" i="3"/>
  <c r="BE163" i="3"/>
  <c r="BC163" i="3"/>
  <c r="BB163" i="3"/>
  <c r="AT281" i="3"/>
  <c r="AS281" i="3"/>
  <c r="AR281" i="3"/>
  <c r="AQ281" i="3"/>
  <c r="AP281" i="3"/>
  <c r="AO281" i="3"/>
  <c r="AT280" i="3"/>
  <c r="AS280" i="3"/>
  <c r="AR280" i="3"/>
  <c r="AQ280" i="3"/>
  <c r="AP280" i="3"/>
  <c r="AO280" i="3"/>
  <c r="AT279" i="3"/>
  <c r="AS279" i="3"/>
  <c r="AR279" i="3"/>
  <c r="AQ279" i="3"/>
  <c r="AP279" i="3"/>
  <c r="AO279" i="3"/>
  <c r="AT278" i="3"/>
  <c r="AS278" i="3"/>
  <c r="AR278" i="3"/>
  <c r="AQ278" i="3"/>
  <c r="AP278" i="3"/>
  <c r="AO278" i="3"/>
  <c r="AT277" i="3"/>
  <c r="AS277" i="3"/>
  <c r="AR277" i="3"/>
  <c r="AQ277" i="3"/>
  <c r="AP277" i="3"/>
  <c r="AO277" i="3"/>
  <c r="AT276" i="3"/>
  <c r="AS276" i="3"/>
  <c r="AR276" i="3"/>
  <c r="AQ276" i="3"/>
  <c r="AP276" i="3"/>
  <c r="AO276" i="3"/>
  <c r="AT275" i="3"/>
  <c r="AS275" i="3"/>
  <c r="AR275" i="3"/>
  <c r="AQ275" i="3"/>
  <c r="AP275" i="3"/>
  <c r="AO275" i="3"/>
  <c r="AT274" i="3"/>
  <c r="AS274" i="3"/>
  <c r="AR274" i="3"/>
  <c r="AQ274" i="3"/>
  <c r="AP274" i="3"/>
  <c r="AO274" i="3"/>
  <c r="AT273" i="3"/>
  <c r="AS273" i="3"/>
  <c r="AR273" i="3"/>
  <c r="AQ273" i="3"/>
  <c r="AP273" i="3"/>
  <c r="AO273" i="3"/>
  <c r="AT272" i="3"/>
  <c r="AS272" i="3"/>
  <c r="AR272" i="3"/>
  <c r="AQ272" i="3"/>
  <c r="AP272" i="3"/>
  <c r="AO272" i="3"/>
  <c r="AT271" i="3"/>
  <c r="AS271" i="3"/>
  <c r="AR271" i="3"/>
  <c r="AQ271" i="3"/>
  <c r="AP271" i="3"/>
  <c r="AO271" i="3"/>
  <c r="AT270" i="3"/>
  <c r="AS270" i="3"/>
  <c r="AR270" i="3"/>
  <c r="AQ270" i="3"/>
  <c r="AP270" i="3"/>
  <c r="AO270" i="3"/>
  <c r="AT269" i="3"/>
  <c r="AS269" i="3"/>
  <c r="AR269" i="3"/>
  <c r="AQ269" i="3"/>
  <c r="AP269" i="3"/>
  <c r="AO269" i="3"/>
  <c r="AT268" i="3"/>
  <c r="AS268" i="3"/>
  <c r="AR268" i="3"/>
  <c r="AQ268" i="3"/>
  <c r="AP268" i="3"/>
  <c r="AO268" i="3"/>
  <c r="AT267" i="3"/>
  <c r="AS267" i="3"/>
  <c r="AR267" i="3"/>
  <c r="AQ267" i="3"/>
  <c r="AP267" i="3"/>
  <c r="AO267" i="3"/>
  <c r="AT266" i="3"/>
  <c r="AS266" i="3"/>
  <c r="AR266" i="3"/>
  <c r="AQ266" i="3"/>
  <c r="AP266" i="3"/>
  <c r="AO266" i="3"/>
  <c r="AT265" i="3"/>
  <c r="AS265" i="3"/>
  <c r="AR265" i="3"/>
  <c r="AQ265" i="3"/>
  <c r="AP265" i="3"/>
  <c r="AO265" i="3"/>
  <c r="AT264" i="3"/>
  <c r="AS264" i="3"/>
  <c r="AR264" i="3"/>
  <c r="AQ264" i="3"/>
  <c r="AP264" i="3"/>
  <c r="AO264" i="3"/>
  <c r="AT263" i="3"/>
  <c r="AS263" i="3"/>
  <c r="AR263" i="3"/>
  <c r="AQ263" i="3"/>
  <c r="AP263" i="3"/>
  <c r="AO263" i="3"/>
  <c r="AT262" i="3"/>
  <c r="AS262" i="3"/>
  <c r="AR262" i="3"/>
  <c r="AQ262" i="3"/>
  <c r="AP262" i="3"/>
  <c r="AO262" i="3"/>
  <c r="AT261" i="3"/>
  <c r="AS261" i="3"/>
  <c r="AR261" i="3"/>
  <c r="AQ261" i="3"/>
  <c r="AP261" i="3"/>
  <c r="AO261" i="3"/>
  <c r="AT260" i="3"/>
  <c r="AS260" i="3"/>
  <c r="AR260" i="3"/>
  <c r="AQ260" i="3"/>
  <c r="AP260" i="3"/>
  <c r="AO260" i="3"/>
  <c r="AT259" i="3"/>
  <c r="AS259" i="3"/>
  <c r="AR259" i="3"/>
  <c r="AQ259" i="3"/>
  <c r="AP259" i="3"/>
  <c r="AO259" i="3"/>
  <c r="AT258" i="3"/>
  <c r="AS258" i="3"/>
  <c r="AR258" i="3"/>
  <c r="AQ258" i="3"/>
  <c r="AP258" i="3"/>
  <c r="AO258" i="3"/>
  <c r="AT257" i="3"/>
  <c r="AS257" i="3"/>
  <c r="AR257" i="3"/>
  <c r="AQ257" i="3"/>
  <c r="AP257" i="3"/>
  <c r="AO257" i="3"/>
  <c r="AT256" i="3"/>
  <c r="AS256" i="3"/>
  <c r="AR256" i="3"/>
  <c r="AQ256" i="3"/>
  <c r="AP256" i="3"/>
  <c r="AO256" i="3"/>
  <c r="AT255" i="3"/>
  <c r="AS255" i="3"/>
  <c r="AR255" i="3"/>
  <c r="AQ255" i="3"/>
  <c r="AP255" i="3"/>
  <c r="AO255" i="3"/>
  <c r="AT254" i="3"/>
  <c r="AS254" i="3"/>
  <c r="AR254" i="3"/>
  <c r="AQ254" i="3"/>
  <c r="AP254" i="3"/>
  <c r="AO254" i="3"/>
  <c r="AT253" i="3"/>
  <c r="AS253" i="3"/>
  <c r="AR253" i="3"/>
  <c r="AQ253" i="3"/>
  <c r="AP253" i="3"/>
  <c r="AO253" i="3"/>
  <c r="AT252" i="3"/>
  <c r="AS252" i="3"/>
  <c r="AR252" i="3"/>
  <c r="AQ252" i="3"/>
  <c r="AP252" i="3"/>
  <c r="AO252" i="3"/>
  <c r="AT251" i="3"/>
  <c r="AS251" i="3"/>
  <c r="AR251" i="3"/>
  <c r="AQ251" i="3"/>
  <c r="AP251" i="3"/>
  <c r="AO251" i="3"/>
  <c r="AT250" i="3"/>
  <c r="AS250" i="3"/>
  <c r="AR250" i="3"/>
  <c r="AQ250" i="3"/>
  <c r="AP250" i="3"/>
  <c r="AO250" i="3"/>
  <c r="AT249" i="3"/>
  <c r="AS249" i="3"/>
  <c r="AR249" i="3"/>
  <c r="AQ249" i="3"/>
  <c r="AP249" i="3"/>
  <c r="AO249" i="3"/>
  <c r="AT248" i="3"/>
  <c r="AS248" i="3"/>
  <c r="AR248" i="3"/>
  <c r="AQ248" i="3"/>
  <c r="AP248" i="3"/>
  <c r="AO248" i="3"/>
  <c r="AT247" i="3"/>
  <c r="AS247" i="3"/>
  <c r="AR247" i="3"/>
  <c r="AQ247" i="3"/>
  <c r="AP247" i="3"/>
  <c r="AO247" i="3"/>
  <c r="AT246" i="3"/>
  <c r="AS246" i="3"/>
  <c r="AR246" i="3"/>
  <c r="AQ246" i="3"/>
  <c r="AP246" i="3"/>
  <c r="AO246" i="3"/>
  <c r="AT245" i="3"/>
  <c r="AS245" i="3"/>
  <c r="AR245" i="3"/>
  <c r="AQ245" i="3"/>
  <c r="AP245" i="3"/>
  <c r="AO245" i="3"/>
  <c r="AT244" i="3"/>
  <c r="AS244" i="3"/>
  <c r="AR244" i="3"/>
  <c r="AQ244" i="3"/>
  <c r="AP244" i="3"/>
  <c r="AO244" i="3"/>
  <c r="AT243" i="3"/>
  <c r="AS243" i="3"/>
  <c r="AR243" i="3"/>
  <c r="AQ243" i="3"/>
  <c r="AP243" i="3"/>
  <c r="AO243" i="3"/>
  <c r="AT242" i="3"/>
  <c r="AS242" i="3"/>
  <c r="AR242" i="3"/>
  <c r="AQ242" i="3"/>
  <c r="AP242" i="3"/>
  <c r="AO242" i="3"/>
  <c r="AT241" i="3"/>
  <c r="AS241" i="3"/>
  <c r="AR241" i="3"/>
  <c r="AQ241" i="3"/>
  <c r="AP241" i="3"/>
  <c r="AO241" i="3"/>
  <c r="AT240" i="3"/>
  <c r="AS240" i="3"/>
  <c r="AR240" i="3"/>
  <c r="AQ240" i="3"/>
  <c r="AP240" i="3"/>
  <c r="AO240" i="3"/>
  <c r="AT239" i="3"/>
  <c r="AS239" i="3"/>
  <c r="AR239" i="3"/>
  <c r="AQ239" i="3"/>
  <c r="AP239" i="3"/>
  <c r="AO239" i="3"/>
  <c r="AT238" i="3"/>
  <c r="AS238" i="3"/>
  <c r="AR238" i="3"/>
  <c r="AQ238" i="3"/>
  <c r="AP238" i="3"/>
  <c r="AO238" i="3"/>
  <c r="AT237" i="3"/>
  <c r="AS237" i="3"/>
  <c r="AR237" i="3"/>
  <c r="AQ237" i="3"/>
  <c r="AP237" i="3"/>
  <c r="AO237" i="3"/>
  <c r="AT236" i="3"/>
  <c r="AS236" i="3"/>
  <c r="AR236" i="3"/>
  <c r="AQ236" i="3"/>
  <c r="AP236" i="3"/>
  <c r="AO236" i="3"/>
  <c r="AT235" i="3"/>
  <c r="AS235" i="3"/>
  <c r="AR235" i="3"/>
  <c r="AQ235" i="3"/>
  <c r="AP235" i="3"/>
  <c r="AO235" i="3"/>
  <c r="AT234" i="3"/>
  <c r="AS234" i="3"/>
  <c r="AR234" i="3"/>
  <c r="AQ234" i="3"/>
  <c r="AP234" i="3"/>
  <c r="AO234" i="3"/>
  <c r="AT233" i="3"/>
  <c r="AS233" i="3"/>
  <c r="AR233" i="3"/>
  <c r="AQ233" i="3"/>
  <c r="AP233" i="3"/>
  <c r="AO233" i="3"/>
  <c r="AT232" i="3"/>
  <c r="AS232" i="3"/>
  <c r="AR232" i="3"/>
  <c r="AQ232" i="3"/>
  <c r="AP232" i="3"/>
  <c r="AO232" i="3"/>
  <c r="AT231" i="3"/>
  <c r="AS231" i="3"/>
  <c r="AR231" i="3"/>
  <c r="AQ231" i="3"/>
  <c r="AP231" i="3"/>
  <c r="AO231" i="3"/>
  <c r="AT230" i="3"/>
  <c r="AS230" i="3"/>
  <c r="AR230" i="3"/>
  <c r="AQ230" i="3"/>
  <c r="AP230" i="3"/>
  <c r="AO230" i="3"/>
  <c r="AT229" i="3"/>
  <c r="AS229" i="3"/>
  <c r="AR229" i="3"/>
  <c r="AQ229" i="3"/>
  <c r="AP229" i="3"/>
  <c r="AO229" i="3"/>
  <c r="AT228" i="3"/>
  <c r="AS228" i="3"/>
  <c r="AR228" i="3"/>
  <c r="AQ228" i="3"/>
  <c r="AP228" i="3"/>
  <c r="AO228" i="3"/>
  <c r="AT227" i="3"/>
  <c r="AS227" i="3"/>
  <c r="AR227" i="3"/>
  <c r="AQ227" i="3"/>
  <c r="AP227" i="3"/>
  <c r="AO227" i="3"/>
  <c r="AT226" i="3"/>
  <c r="AS226" i="3"/>
  <c r="AR226" i="3"/>
  <c r="AQ226" i="3"/>
  <c r="AP226" i="3"/>
  <c r="AO226" i="3"/>
  <c r="AT225" i="3"/>
  <c r="AS225" i="3"/>
  <c r="AR225" i="3"/>
  <c r="AQ225" i="3"/>
  <c r="AP225" i="3"/>
  <c r="AO225" i="3"/>
  <c r="AT224" i="3"/>
  <c r="AS224" i="3"/>
  <c r="AR224" i="3"/>
  <c r="AQ224" i="3"/>
  <c r="AP224" i="3"/>
  <c r="AO224" i="3"/>
  <c r="AT223" i="3"/>
  <c r="AS223" i="3"/>
  <c r="AR223" i="3"/>
  <c r="AQ223" i="3"/>
  <c r="AP223" i="3"/>
  <c r="AO223" i="3"/>
  <c r="AT222" i="3"/>
  <c r="AS222" i="3"/>
  <c r="AR222" i="3"/>
  <c r="AQ222" i="3"/>
  <c r="AP222" i="3"/>
  <c r="AO222" i="3"/>
  <c r="AT221" i="3"/>
  <c r="AS221" i="3"/>
  <c r="AR221" i="3"/>
  <c r="AQ221" i="3"/>
  <c r="AP221" i="3"/>
  <c r="AO221" i="3"/>
  <c r="AT220" i="3"/>
  <c r="AS220" i="3"/>
  <c r="AR220" i="3"/>
  <c r="AQ220" i="3"/>
  <c r="AP220" i="3"/>
  <c r="AO220" i="3"/>
  <c r="AT219" i="3"/>
  <c r="AS219" i="3"/>
  <c r="AR219" i="3"/>
  <c r="AQ219" i="3"/>
  <c r="AP219" i="3"/>
  <c r="AO219" i="3"/>
  <c r="AT218" i="3"/>
  <c r="AS218" i="3"/>
  <c r="AR218" i="3"/>
  <c r="AQ218" i="3"/>
  <c r="AP218" i="3"/>
  <c r="AO218" i="3"/>
  <c r="AT217" i="3"/>
  <c r="AS217" i="3"/>
  <c r="AR217" i="3"/>
  <c r="AQ217" i="3"/>
  <c r="AP217" i="3"/>
  <c r="AO217" i="3"/>
  <c r="AT216" i="3"/>
  <c r="AS216" i="3"/>
  <c r="AR216" i="3"/>
  <c r="AQ216" i="3"/>
  <c r="AP216" i="3"/>
  <c r="AO216" i="3"/>
  <c r="AT215" i="3"/>
  <c r="AS215" i="3"/>
  <c r="AR215" i="3"/>
  <c r="AQ215" i="3"/>
  <c r="AP215" i="3"/>
  <c r="AO215" i="3"/>
  <c r="AT214" i="3"/>
  <c r="AS214" i="3"/>
  <c r="AR214" i="3"/>
  <c r="AQ214" i="3"/>
  <c r="AP214" i="3"/>
  <c r="AO214" i="3"/>
  <c r="AT211" i="3"/>
  <c r="AS211" i="3"/>
  <c r="AR211" i="3"/>
  <c r="AQ211" i="3"/>
  <c r="AP211" i="3"/>
  <c r="AO211" i="3"/>
  <c r="AT210" i="3"/>
  <c r="AS210" i="3"/>
  <c r="AR210" i="3"/>
  <c r="AQ210" i="3"/>
  <c r="AP210" i="3"/>
  <c r="AO210" i="3"/>
  <c r="AT209" i="3"/>
  <c r="AS209" i="3"/>
  <c r="AR209" i="3"/>
  <c r="AQ209" i="3"/>
  <c r="AP209" i="3"/>
  <c r="AO209" i="3"/>
  <c r="AT208" i="3"/>
  <c r="AS208" i="3"/>
  <c r="AR208" i="3"/>
  <c r="AQ208" i="3"/>
  <c r="AP208" i="3"/>
  <c r="AO208" i="3"/>
  <c r="AT207" i="3"/>
  <c r="AS207" i="3"/>
  <c r="AR207" i="3"/>
  <c r="AQ207" i="3"/>
  <c r="AP207" i="3"/>
  <c r="AO207" i="3"/>
  <c r="AT206" i="3"/>
  <c r="AS206" i="3"/>
  <c r="AR206" i="3"/>
  <c r="AQ206" i="3"/>
  <c r="AP206" i="3"/>
  <c r="AO206" i="3"/>
  <c r="AT205" i="3"/>
  <c r="AS205" i="3"/>
  <c r="AR205" i="3"/>
  <c r="AQ205" i="3"/>
  <c r="AP205" i="3"/>
  <c r="AO205" i="3"/>
  <c r="AT204" i="3"/>
  <c r="AS204" i="3"/>
  <c r="AR204" i="3"/>
  <c r="AQ204" i="3"/>
  <c r="AP204" i="3"/>
  <c r="AO204" i="3"/>
  <c r="AT187" i="3"/>
  <c r="AS187" i="3"/>
  <c r="AR187" i="3"/>
  <c r="AQ187" i="3"/>
  <c r="AP187" i="3"/>
  <c r="AT186" i="3"/>
  <c r="AS186" i="3"/>
  <c r="AR186" i="3"/>
  <c r="AQ186" i="3"/>
  <c r="AP186" i="3"/>
  <c r="AO186" i="3"/>
  <c r="AT185" i="3"/>
  <c r="AS185" i="3"/>
  <c r="AR185" i="3"/>
  <c r="AQ185" i="3"/>
  <c r="AP185" i="3"/>
  <c r="AO185" i="3"/>
  <c r="AT184" i="3"/>
  <c r="AS184" i="3"/>
  <c r="AR184" i="3"/>
  <c r="AQ184" i="3"/>
  <c r="AP184" i="3"/>
  <c r="AO184" i="3"/>
  <c r="AT183" i="3"/>
  <c r="AS183" i="3"/>
  <c r="AR183" i="3"/>
  <c r="AQ183" i="3"/>
  <c r="AP183" i="3"/>
  <c r="AO183" i="3"/>
  <c r="AT169" i="3"/>
  <c r="AS169" i="3"/>
  <c r="AR169" i="3"/>
  <c r="AQ169" i="3"/>
  <c r="AP169" i="3"/>
  <c r="AO169" i="3"/>
  <c r="AT168" i="3"/>
  <c r="AS168" i="3"/>
  <c r="AR168" i="3"/>
  <c r="AQ168" i="3"/>
  <c r="AP168" i="3"/>
  <c r="AO168" i="3"/>
  <c r="AT167" i="3"/>
  <c r="AS167" i="3"/>
  <c r="AR167" i="3"/>
  <c r="AQ167" i="3"/>
  <c r="AP167" i="3"/>
  <c r="AO167" i="3"/>
  <c r="AT166" i="3"/>
  <c r="AS166" i="3"/>
  <c r="AR166" i="3"/>
  <c r="AQ166" i="3"/>
  <c r="AP166" i="3"/>
  <c r="AO166" i="3"/>
  <c r="AT165" i="3"/>
  <c r="AS165" i="3"/>
  <c r="AR165" i="3"/>
  <c r="AQ165" i="3"/>
  <c r="AP165" i="3"/>
  <c r="AO165" i="3"/>
  <c r="AT164" i="3"/>
  <c r="AS164" i="3"/>
  <c r="AR164" i="3"/>
  <c r="AQ164" i="3"/>
  <c r="AP164" i="3"/>
  <c r="AO164" i="3"/>
  <c r="BF162" i="3"/>
  <c r="BE162" i="3"/>
  <c r="BD162" i="3"/>
  <c r="BG162" i="3"/>
  <c r="BC162" i="3"/>
  <c r="BB162" i="3"/>
  <c r="AA281" i="3"/>
  <c r="Z281" i="3"/>
  <c r="Y281" i="3"/>
  <c r="X281" i="3"/>
  <c r="W281" i="3"/>
  <c r="V281" i="3"/>
  <c r="U281" i="3"/>
  <c r="T281" i="3"/>
  <c r="S281" i="3"/>
  <c r="AA280" i="3"/>
  <c r="Z280" i="3"/>
  <c r="Y280" i="3"/>
  <c r="X280" i="3"/>
  <c r="W280" i="3"/>
  <c r="V280" i="3"/>
  <c r="U280" i="3"/>
  <c r="T280" i="3"/>
  <c r="S280" i="3"/>
  <c r="AA279" i="3"/>
  <c r="Z279" i="3"/>
  <c r="Y279" i="3"/>
  <c r="X279" i="3"/>
  <c r="W279" i="3"/>
  <c r="V279" i="3"/>
  <c r="U279" i="3"/>
  <c r="T279" i="3"/>
  <c r="S279" i="3"/>
  <c r="AA278" i="3"/>
  <c r="Z278" i="3"/>
  <c r="Y278" i="3"/>
  <c r="X278" i="3"/>
  <c r="W278" i="3"/>
  <c r="V278" i="3"/>
  <c r="U278" i="3"/>
  <c r="T278" i="3"/>
  <c r="S278" i="3"/>
  <c r="AA277" i="3"/>
  <c r="Z277" i="3"/>
  <c r="Y277" i="3"/>
  <c r="X277" i="3"/>
  <c r="W277" i="3"/>
  <c r="V277" i="3"/>
  <c r="U277" i="3"/>
  <c r="T277" i="3"/>
  <c r="S277" i="3"/>
  <c r="AA276" i="3"/>
  <c r="Z276" i="3"/>
  <c r="Y276" i="3"/>
  <c r="X276" i="3"/>
  <c r="W276" i="3"/>
  <c r="V276" i="3"/>
  <c r="U276" i="3"/>
  <c r="T276" i="3"/>
  <c r="S276" i="3"/>
  <c r="AA275" i="3"/>
  <c r="Z275" i="3"/>
  <c r="Y275" i="3"/>
  <c r="X275" i="3"/>
  <c r="W275" i="3"/>
  <c r="V275" i="3"/>
  <c r="U275" i="3"/>
  <c r="T275" i="3"/>
  <c r="S275" i="3"/>
  <c r="AA274" i="3"/>
  <c r="Z274" i="3"/>
  <c r="Y274" i="3"/>
  <c r="X274" i="3"/>
  <c r="W274" i="3"/>
  <c r="V274" i="3"/>
  <c r="U274" i="3"/>
  <c r="T274" i="3"/>
  <c r="S274" i="3"/>
  <c r="AA273" i="3"/>
  <c r="Z273" i="3"/>
  <c r="Y273" i="3"/>
  <c r="X273" i="3"/>
  <c r="W273" i="3"/>
  <c r="V273" i="3"/>
  <c r="U273" i="3"/>
  <c r="T273" i="3"/>
  <c r="S273" i="3"/>
  <c r="AA272" i="3"/>
  <c r="Z272" i="3"/>
  <c r="Y272" i="3"/>
  <c r="X272" i="3"/>
  <c r="W272" i="3"/>
  <c r="V272" i="3"/>
  <c r="U272" i="3"/>
  <c r="T272" i="3"/>
  <c r="S272" i="3"/>
  <c r="AA271" i="3"/>
  <c r="Z271" i="3"/>
  <c r="Y271" i="3"/>
  <c r="X271" i="3"/>
  <c r="W271" i="3"/>
  <c r="V271" i="3"/>
  <c r="U271" i="3"/>
  <c r="T271" i="3"/>
  <c r="S271" i="3"/>
  <c r="AA270" i="3"/>
  <c r="Z270" i="3"/>
  <c r="Y270" i="3"/>
  <c r="X270" i="3"/>
  <c r="W270" i="3"/>
  <c r="V270" i="3"/>
  <c r="U270" i="3"/>
  <c r="T270" i="3"/>
  <c r="S270" i="3"/>
  <c r="AA269" i="3"/>
  <c r="Z269" i="3"/>
  <c r="Y269" i="3"/>
  <c r="X269" i="3"/>
  <c r="W269" i="3"/>
  <c r="V269" i="3"/>
  <c r="U269" i="3"/>
  <c r="T269" i="3"/>
  <c r="S269" i="3"/>
  <c r="AA268" i="3"/>
  <c r="Z268" i="3"/>
  <c r="Y268" i="3"/>
  <c r="X268" i="3"/>
  <c r="W268" i="3"/>
  <c r="V268" i="3"/>
  <c r="U268" i="3"/>
  <c r="T268" i="3"/>
  <c r="S268" i="3"/>
  <c r="AA267" i="3"/>
  <c r="Z267" i="3"/>
  <c r="Y267" i="3"/>
  <c r="X267" i="3"/>
  <c r="W267" i="3"/>
  <c r="V267" i="3"/>
  <c r="U267" i="3"/>
  <c r="T267" i="3"/>
  <c r="S267" i="3"/>
  <c r="AA266" i="3"/>
  <c r="Z266" i="3"/>
  <c r="Y266" i="3"/>
  <c r="X266" i="3"/>
  <c r="W266" i="3"/>
  <c r="V266" i="3"/>
  <c r="U266" i="3"/>
  <c r="T266" i="3"/>
  <c r="S266" i="3"/>
  <c r="AA265" i="3"/>
  <c r="Z265" i="3"/>
  <c r="Y265" i="3"/>
  <c r="X265" i="3"/>
  <c r="W265" i="3"/>
  <c r="V265" i="3"/>
  <c r="U265" i="3"/>
  <c r="T265" i="3"/>
  <c r="S265" i="3"/>
  <c r="AA264" i="3"/>
  <c r="Z264" i="3"/>
  <c r="Y264" i="3"/>
  <c r="X264" i="3"/>
  <c r="W264" i="3"/>
  <c r="V264" i="3"/>
  <c r="U264" i="3"/>
  <c r="T264" i="3"/>
  <c r="S264" i="3"/>
  <c r="AA263" i="3"/>
  <c r="Z263" i="3"/>
  <c r="Y263" i="3"/>
  <c r="X263" i="3"/>
  <c r="W263" i="3"/>
  <c r="V263" i="3"/>
  <c r="U263" i="3"/>
  <c r="T263" i="3"/>
  <c r="S263" i="3"/>
  <c r="AA262" i="3"/>
  <c r="Z262" i="3"/>
  <c r="Y262" i="3"/>
  <c r="X262" i="3"/>
  <c r="W262" i="3"/>
  <c r="V262" i="3"/>
  <c r="U262" i="3"/>
  <c r="T262" i="3"/>
  <c r="S262" i="3"/>
  <c r="AA261" i="3"/>
  <c r="Z261" i="3"/>
  <c r="Y261" i="3"/>
  <c r="X261" i="3"/>
  <c r="W261" i="3"/>
  <c r="V261" i="3"/>
  <c r="U261" i="3"/>
  <c r="T261" i="3"/>
  <c r="S261" i="3"/>
  <c r="AA260" i="3"/>
  <c r="Z260" i="3"/>
  <c r="Y260" i="3"/>
  <c r="X260" i="3"/>
  <c r="W260" i="3"/>
  <c r="V260" i="3"/>
  <c r="U260" i="3"/>
  <c r="T260" i="3"/>
  <c r="S260" i="3"/>
  <c r="AA259" i="3"/>
  <c r="Z259" i="3"/>
  <c r="Y259" i="3"/>
  <c r="X259" i="3"/>
  <c r="W259" i="3"/>
  <c r="V259" i="3"/>
  <c r="U259" i="3"/>
  <c r="T259" i="3"/>
  <c r="S259" i="3"/>
  <c r="AA258" i="3"/>
  <c r="Z258" i="3"/>
  <c r="Y258" i="3"/>
  <c r="X258" i="3"/>
  <c r="W258" i="3"/>
  <c r="V258" i="3"/>
  <c r="U258" i="3"/>
  <c r="T258" i="3"/>
  <c r="S258" i="3"/>
  <c r="AA257" i="3"/>
  <c r="Z257" i="3"/>
  <c r="Y257" i="3"/>
  <c r="X257" i="3"/>
  <c r="W257" i="3"/>
  <c r="V257" i="3"/>
  <c r="U257" i="3"/>
  <c r="T257" i="3"/>
  <c r="S257" i="3"/>
  <c r="AA256" i="3"/>
  <c r="Z256" i="3"/>
  <c r="Y256" i="3"/>
  <c r="X256" i="3"/>
  <c r="W256" i="3"/>
  <c r="V256" i="3"/>
  <c r="U256" i="3"/>
  <c r="T256" i="3"/>
  <c r="S256" i="3"/>
  <c r="AA255" i="3"/>
  <c r="Z255" i="3"/>
  <c r="Y255" i="3"/>
  <c r="X255" i="3"/>
  <c r="W255" i="3"/>
  <c r="V255" i="3"/>
  <c r="U255" i="3"/>
  <c r="T255" i="3"/>
  <c r="S255" i="3"/>
  <c r="AA254" i="3"/>
  <c r="Z254" i="3"/>
  <c r="Y254" i="3"/>
  <c r="X254" i="3"/>
  <c r="W254" i="3"/>
  <c r="V254" i="3"/>
  <c r="U254" i="3"/>
  <c r="T254" i="3"/>
  <c r="S254" i="3"/>
  <c r="AA253" i="3"/>
  <c r="Z253" i="3"/>
  <c r="Y253" i="3"/>
  <c r="X253" i="3"/>
  <c r="W253" i="3"/>
  <c r="V253" i="3"/>
  <c r="U253" i="3"/>
  <c r="T253" i="3"/>
  <c r="S253" i="3"/>
  <c r="AA252" i="3"/>
  <c r="Z252" i="3"/>
  <c r="Y252" i="3"/>
  <c r="X252" i="3"/>
  <c r="W252" i="3"/>
  <c r="V252" i="3"/>
  <c r="U252" i="3"/>
  <c r="T252" i="3"/>
  <c r="S252" i="3"/>
  <c r="AA251" i="3"/>
  <c r="Z251" i="3"/>
  <c r="Y251" i="3"/>
  <c r="X251" i="3"/>
  <c r="W251" i="3"/>
  <c r="V251" i="3"/>
  <c r="U251" i="3"/>
  <c r="T251" i="3"/>
  <c r="S251" i="3"/>
  <c r="AA250" i="3"/>
  <c r="Z250" i="3"/>
  <c r="Y250" i="3"/>
  <c r="X250" i="3"/>
  <c r="W250" i="3"/>
  <c r="V250" i="3"/>
  <c r="U250" i="3"/>
  <c r="T250" i="3"/>
  <c r="S250" i="3"/>
  <c r="AA249" i="3"/>
  <c r="Z249" i="3"/>
  <c r="Y249" i="3"/>
  <c r="X249" i="3"/>
  <c r="W249" i="3"/>
  <c r="V249" i="3"/>
  <c r="U249" i="3"/>
  <c r="T249" i="3"/>
  <c r="S249" i="3"/>
  <c r="AA248" i="3"/>
  <c r="Z248" i="3"/>
  <c r="Y248" i="3"/>
  <c r="X248" i="3"/>
  <c r="W248" i="3"/>
  <c r="V248" i="3"/>
  <c r="U248" i="3"/>
  <c r="T248" i="3"/>
  <c r="S248" i="3"/>
  <c r="AA247" i="3"/>
  <c r="Z247" i="3"/>
  <c r="Y247" i="3"/>
  <c r="X247" i="3"/>
  <c r="W247" i="3"/>
  <c r="V247" i="3"/>
  <c r="U247" i="3"/>
  <c r="T247" i="3"/>
  <c r="S247" i="3"/>
  <c r="AA246" i="3"/>
  <c r="Z246" i="3"/>
  <c r="Y246" i="3"/>
  <c r="X246" i="3"/>
  <c r="W246" i="3"/>
  <c r="V246" i="3"/>
  <c r="U246" i="3"/>
  <c r="T246" i="3"/>
  <c r="S246" i="3"/>
  <c r="AA245" i="3"/>
  <c r="Z245" i="3"/>
  <c r="Y245" i="3"/>
  <c r="X245" i="3"/>
  <c r="W245" i="3"/>
  <c r="V245" i="3"/>
  <c r="U245" i="3"/>
  <c r="T245" i="3"/>
  <c r="S245" i="3"/>
  <c r="AA244" i="3"/>
  <c r="Z244" i="3"/>
  <c r="Y244" i="3"/>
  <c r="X244" i="3"/>
  <c r="W244" i="3"/>
  <c r="V244" i="3"/>
  <c r="U244" i="3"/>
  <c r="T244" i="3"/>
  <c r="S244" i="3"/>
  <c r="AA243" i="3"/>
  <c r="Z243" i="3"/>
  <c r="Y243" i="3"/>
  <c r="X243" i="3"/>
  <c r="W243" i="3"/>
  <c r="V243" i="3"/>
  <c r="U243" i="3"/>
  <c r="T243" i="3"/>
  <c r="S243" i="3"/>
  <c r="AA242" i="3"/>
  <c r="Z242" i="3"/>
  <c r="Y242" i="3"/>
  <c r="X242" i="3"/>
  <c r="W242" i="3"/>
  <c r="V242" i="3"/>
  <c r="U242" i="3"/>
  <c r="T242" i="3"/>
  <c r="S242" i="3"/>
  <c r="AA241" i="3"/>
  <c r="Z241" i="3"/>
  <c r="Y241" i="3"/>
  <c r="X241" i="3"/>
  <c r="W241" i="3"/>
  <c r="V241" i="3"/>
  <c r="U241" i="3"/>
  <c r="T241" i="3"/>
  <c r="S241" i="3"/>
  <c r="AA240" i="3"/>
  <c r="Z240" i="3"/>
  <c r="Y240" i="3"/>
  <c r="X240" i="3"/>
  <c r="W240" i="3"/>
  <c r="V240" i="3"/>
  <c r="U240" i="3"/>
  <c r="T240" i="3"/>
  <c r="S240" i="3"/>
  <c r="AA239" i="3"/>
  <c r="Z239" i="3"/>
  <c r="Y239" i="3"/>
  <c r="X239" i="3"/>
  <c r="W239" i="3"/>
  <c r="V239" i="3"/>
  <c r="U239" i="3"/>
  <c r="T239" i="3"/>
  <c r="S239" i="3"/>
  <c r="AA238" i="3"/>
  <c r="Z238" i="3"/>
  <c r="Y238" i="3"/>
  <c r="X238" i="3"/>
  <c r="W238" i="3"/>
  <c r="V238" i="3"/>
  <c r="U238" i="3"/>
  <c r="T238" i="3"/>
  <c r="S238" i="3"/>
  <c r="AA237" i="3"/>
  <c r="Z237" i="3"/>
  <c r="Y237" i="3"/>
  <c r="X237" i="3"/>
  <c r="W237" i="3"/>
  <c r="V237" i="3"/>
  <c r="U237" i="3"/>
  <c r="T237" i="3"/>
  <c r="S237" i="3"/>
  <c r="AA236" i="3"/>
  <c r="Z236" i="3"/>
  <c r="Y236" i="3"/>
  <c r="X236" i="3"/>
  <c r="W236" i="3"/>
  <c r="V236" i="3"/>
  <c r="U236" i="3"/>
  <c r="T236" i="3"/>
  <c r="S236" i="3"/>
  <c r="AA235" i="3"/>
  <c r="Z235" i="3"/>
  <c r="Y235" i="3"/>
  <c r="X235" i="3"/>
  <c r="W235" i="3"/>
  <c r="V235" i="3"/>
  <c r="U235" i="3"/>
  <c r="T235" i="3"/>
  <c r="S235" i="3"/>
  <c r="AA234" i="3"/>
  <c r="Z234" i="3"/>
  <c r="Y234" i="3"/>
  <c r="X234" i="3"/>
  <c r="W234" i="3"/>
  <c r="V234" i="3"/>
  <c r="U234" i="3"/>
  <c r="T234" i="3"/>
  <c r="S234" i="3"/>
  <c r="AA233" i="3"/>
  <c r="Z233" i="3"/>
  <c r="Y233" i="3"/>
  <c r="X233" i="3"/>
  <c r="W233" i="3"/>
  <c r="V233" i="3"/>
  <c r="U233" i="3"/>
  <c r="T233" i="3"/>
  <c r="S233" i="3"/>
  <c r="AA232" i="3"/>
  <c r="Z232" i="3"/>
  <c r="Y232" i="3"/>
  <c r="X232" i="3"/>
  <c r="W232" i="3"/>
  <c r="V232" i="3"/>
  <c r="U232" i="3"/>
  <c r="T232" i="3"/>
  <c r="S232" i="3"/>
  <c r="AA231" i="3"/>
  <c r="Z231" i="3"/>
  <c r="Y231" i="3"/>
  <c r="X231" i="3"/>
  <c r="W231" i="3"/>
  <c r="V231" i="3"/>
  <c r="U231" i="3"/>
  <c r="T231" i="3"/>
  <c r="S231" i="3"/>
  <c r="AA230" i="3"/>
  <c r="Z230" i="3"/>
  <c r="Y230" i="3"/>
  <c r="X230" i="3"/>
  <c r="W230" i="3"/>
  <c r="V230" i="3"/>
  <c r="U230" i="3"/>
  <c r="T230" i="3"/>
  <c r="S230" i="3"/>
  <c r="AA229" i="3"/>
  <c r="Z229" i="3"/>
  <c r="Y229" i="3"/>
  <c r="X229" i="3"/>
  <c r="W229" i="3"/>
  <c r="V229" i="3"/>
  <c r="U229" i="3"/>
  <c r="T229" i="3"/>
  <c r="S229" i="3"/>
  <c r="AA228" i="3"/>
  <c r="Z228" i="3"/>
  <c r="Y228" i="3"/>
  <c r="X228" i="3"/>
  <c r="W228" i="3"/>
  <c r="V228" i="3"/>
  <c r="U228" i="3"/>
  <c r="T228" i="3"/>
  <c r="S228" i="3"/>
  <c r="AA227" i="3"/>
  <c r="Z227" i="3"/>
  <c r="Y227" i="3"/>
  <c r="X227" i="3"/>
  <c r="W227" i="3"/>
  <c r="V227" i="3"/>
  <c r="U227" i="3"/>
  <c r="T227" i="3"/>
  <c r="S227" i="3"/>
  <c r="AA226" i="3"/>
  <c r="Z226" i="3"/>
  <c r="Y226" i="3"/>
  <c r="X226" i="3"/>
  <c r="W226" i="3"/>
  <c r="V226" i="3"/>
  <c r="U226" i="3"/>
  <c r="T226" i="3"/>
  <c r="S226" i="3"/>
  <c r="AA225" i="3"/>
  <c r="Z225" i="3"/>
  <c r="Y225" i="3"/>
  <c r="X225" i="3"/>
  <c r="W225" i="3"/>
  <c r="V225" i="3"/>
  <c r="U225" i="3"/>
  <c r="T225" i="3"/>
  <c r="S225" i="3"/>
  <c r="AA224" i="3"/>
  <c r="Z224" i="3"/>
  <c r="Y224" i="3"/>
  <c r="X224" i="3"/>
  <c r="W224" i="3"/>
  <c r="V224" i="3"/>
  <c r="U224" i="3"/>
  <c r="T224" i="3"/>
  <c r="S224" i="3"/>
  <c r="AA223" i="3"/>
  <c r="Z223" i="3"/>
  <c r="Y223" i="3"/>
  <c r="X223" i="3"/>
  <c r="W223" i="3"/>
  <c r="V223" i="3"/>
  <c r="U223" i="3"/>
  <c r="T223" i="3"/>
  <c r="S223" i="3"/>
  <c r="AA222" i="3"/>
  <c r="Z222" i="3"/>
  <c r="Y222" i="3"/>
  <c r="X222" i="3"/>
  <c r="W222" i="3"/>
  <c r="V222" i="3"/>
  <c r="U222" i="3"/>
  <c r="T222" i="3"/>
  <c r="S222" i="3"/>
  <c r="AA221" i="3"/>
  <c r="Z221" i="3"/>
  <c r="Y221" i="3"/>
  <c r="X221" i="3"/>
  <c r="W221" i="3"/>
  <c r="V221" i="3"/>
  <c r="U221" i="3"/>
  <c r="S221" i="3"/>
  <c r="AA220" i="3"/>
  <c r="Z220" i="3"/>
  <c r="Y220" i="3"/>
  <c r="X220" i="3"/>
  <c r="W220" i="3"/>
  <c r="V220" i="3"/>
  <c r="U220" i="3"/>
  <c r="T220" i="3"/>
  <c r="AA219" i="3"/>
  <c r="Z219" i="3"/>
  <c r="Y219" i="3"/>
  <c r="X219" i="3"/>
  <c r="W219" i="3"/>
  <c r="V219" i="3"/>
  <c r="U219" i="3"/>
  <c r="T219" i="3"/>
  <c r="S219" i="3"/>
  <c r="AA218" i="3"/>
  <c r="Z218" i="3"/>
  <c r="Y218" i="3"/>
  <c r="X218" i="3"/>
  <c r="W218" i="3"/>
  <c r="V218" i="3"/>
  <c r="U218" i="3"/>
  <c r="T218" i="3"/>
  <c r="S218" i="3"/>
  <c r="AA217" i="3"/>
  <c r="Z217" i="3"/>
  <c r="Y217" i="3"/>
  <c r="X217" i="3"/>
  <c r="W217" i="3"/>
  <c r="V217" i="3"/>
  <c r="U217" i="3"/>
  <c r="T217" i="3"/>
  <c r="S217" i="3"/>
  <c r="AA216" i="3"/>
  <c r="Z216" i="3"/>
  <c r="Y216" i="3"/>
  <c r="X216" i="3"/>
  <c r="W216" i="3"/>
  <c r="V216" i="3"/>
  <c r="U216" i="3"/>
  <c r="T216" i="3"/>
  <c r="S216" i="3"/>
  <c r="AA215" i="3"/>
  <c r="Z215" i="3"/>
  <c r="Y215" i="3"/>
  <c r="X215" i="3"/>
  <c r="W215" i="3"/>
  <c r="V215" i="3"/>
  <c r="U215" i="3"/>
  <c r="T215" i="3"/>
  <c r="S215" i="3"/>
  <c r="AA214" i="3"/>
  <c r="Z214" i="3"/>
  <c r="Y214" i="3"/>
  <c r="X214" i="3"/>
  <c r="W214" i="3"/>
  <c r="V214" i="3"/>
  <c r="U214" i="3"/>
  <c r="T214" i="3"/>
  <c r="S214" i="3"/>
  <c r="AA211" i="3"/>
  <c r="Z211" i="3"/>
  <c r="Y211" i="3"/>
  <c r="X211" i="3"/>
  <c r="W211" i="3"/>
  <c r="V211" i="3"/>
  <c r="U211" i="3"/>
  <c r="T211" i="3"/>
  <c r="S211" i="3"/>
  <c r="AA210" i="3"/>
  <c r="Z210" i="3"/>
  <c r="Y210" i="3"/>
  <c r="X210" i="3"/>
  <c r="W210" i="3"/>
  <c r="V210" i="3"/>
  <c r="U210" i="3"/>
  <c r="T210" i="3"/>
  <c r="S210" i="3"/>
  <c r="AA209" i="3"/>
  <c r="Z209" i="3"/>
  <c r="Y209" i="3"/>
  <c r="X209" i="3"/>
  <c r="W209" i="3"/>
  <c r="V209" i="3"/>
  <c r="U209" i="3"/>
  <c r="T209" i="3"/>
  <c r="S209" i="3"/>
  <c r="AA208" i="3"/>
  <c r="Z208" i="3"/>
  <c r="Y208" i="3"/>
  <c r="X208" i="3"/>
  <c r="W208" i="3"/>
  <c r="V208" i="3"/>
  <c r="U208" i="3"/>
  <c r="T208" i="3"/>
  <c r="S208" i="3"/>
  <c r="AA207" i="3"/>
  <c r="Z207" i="3"/>
  <c r="Y207" i="3"/>
  <c r="X207" i="3"/>
  <c r="W207" i="3"/>
  <c r="V207" i="3"/>
  <c r="U207" i="3"/>
  <c r="T207" i="3"/>
  <c r="S207" i="3"/>
  <c r="AA206" i="3"/>
  <c r="Z206" i="3"/>
  <c r="Y206" i="3"/>
  <c r="X206" i="3"/>
  <c r="W206" i="3"/>
  <c r="V206" i="3"/>
  <c r="U206" i="3"/>
  <c r="T206" i="3"/>
  <c r="S206" i="3"/>
  <c r="AA205" i="3"/>
  <c r="Z205" i="3"/>
  <c r="Y205" i="3"/>
  <c r="X205" i="3"/>
  <c r="W205" i="3"/>
  <c r="V205" i="3"/>
  <c r="U205" i="3"/>
  <c r="T205" i="3"/>
  <c r="S205" i="3"/>
  <c r="AA204" i="3"/>
  <c r="Z204" i="3"/>
  <c r="Y204" i="3"/>
  <c r="X204" i="3"/>
  <c r="W204" i="3"/>
  <c r="V204" i="3"/>
  <c r="U204" i="3"/>
  <c r="T204" i="3"/>
  <c r="S204" i="3"/>
  <c r="AA187" i="3"/>
  <c r="Z187" i="3"/>
  <c r="Y187" i="3"/>
  <c r="X187" i="3"/>
  <c r="W187" i="3"/>
  <c r="V187" i="3"/>
  <c r="T187" i="3"/>
  <c r="S187" i="3"/>
  <c r="AA186" i="3"/>
  <c r="Z186" i="3"/>
  <c r="Y186" i="3"/>
  <c r="X186" i="3"/>
  <c r="W186" i="3"/>
  <c r="V186" i="3"/>
  <c r="U186" i="3"/>
  <c r="T186" i="3"/>
  <c r="S186" i="3"/>
  <c r="AA185" i="3"/>
  <c r="Z185" i="3"/>
  <c r="Y185" i="3"/>
  <c r="X185" i="3"/>
  <c r="W185" i="3"/>
  <c r="V185" i="3"/>
  <c r="U185" i="3"/>
  <c r="T185" i="3"/>
  <c r="S185" i="3"/>
  <c r="AA184" i="3"/>
  <c r="Z184" i="3"/>
  <c r="Y184" i="3"/>
  <c r="X184" i="3"/>
  <c r="W184" i="3"/>
  <c r="V184" i="3"/>
  <c r="T184" i="3"/>
  <c r="S184" i="3"/>
  <c r="AA183" i="3"/>
  <c r="Z183" i="3"/>
  <c r="Y183" i="3"/>
  <c r="X183" i="3"/>
  <c r="W183" i="3"/>
  <c r="V183" i="3"/>
  <c r="U183" i="3"/>
  <c r="T183" i="3"/>
  <c r="S183" i="3"/>
  <c r="AA169" i="3"/>
  <c r="Z169" i="3"/>
  <c r="Y169" i="3"/>
  <c r="X169" i="3"/>
  <c r="W169" i="3"/>
  <c r="V169" i="3"/>
  <c r="U169" i="3"/>
  <c r="AA168" i="3"/>
  <c r="Z168" i="3"/>
  <c r="Y168" i="3"/>
  <c r="X168" i="3"/>
  <c r="W168" i="3"/>
  <c r="V168" i="3"/>
  <c r="U168" i="3"/>
  <c r="AA167" i="3"/>
  <c r="Z167" i="3"/>
  <c r="Y167" i="3"/>
  <c r="X167" i="3"/>
  <c r="W167" i="3"/>
  <c r="V167" i="3"/>
  <c r="U167" i="3"/>
  <c r="AA166" i="3"/>
  <c r="Z166" i="3"/>
  <c r="Y166" i="3"/>
  <c r="X166" i="3"/>
  <c r="W166" i="3"/>
  <c r="V166" i="3"/>
  <c r="U166" i="3"/>
  <c r="S166" i="3"/>
  <c r="AA165" i="3"/>
  <c r="Z165" i="3"/>
  <c r="Y165" i="3"/>
  <c r="X165" i="3"/>
  <c r="W165" i="3"/>
  <c r="V165" i="3"/>
  <c r="U165" i="3"/>
  <c r="AA164" i="3"/>
  <c r="Z164" i="3"/>
  <c r="Y164" i="3"/>
  <c r="X164" i="3"/>
  <c r="W164" i="3"/>
  <c r="V164" i="3"/>
  <c r="U164" i="3"/>
  <c r="AA163" i="3"/>
  <c r="Z163" i="3"/>
  <c r="Y163" i="3"/>
  <c r="X163" i="3"/>
  <c r="W163" i="3"/>
  <c r="V163" i="3"/>
  <c r="U163" i="3"/>
  <c r="S162" i="3"/>
  <c r="AJ281" i="3"/>
  <c r="AI281" i="3"/>
  <c r="AH281" i="3"/>
  <c r="AG281" i="3"/>
  <c r="AF281" i="3"/>
  <c r="AE281" i="3"/>
  <c r="AD281" i="3"/>
  <c r="AC281" i="3"/>
  <c r="AB281" i="3"/>
  <c r="AJ280" i="3"/>
  <c r="AI280" i="3"/>
  <c r="AH280" i="3"/>
  <c r="AG280" i="3"/>
  <c r="AF280" i="3"/>
  <c r="AE280" i="3"/>
  <c r="AD280" i="3"/>
  <c r="AC280" i="3"/>
  <c r="AB280" i="3"/>
  <c r="AJ279" i="3"/>
  <c r="AI279" i="3"/>
  <c r="AH279" i="3"/>
  <c r="AG279" i="3"/>
  <c r="AF279" i="3"/>
  <c r="AE279" i="3"/>
  <c r="AD279" i="3"/>
  <c r="AC279" i="3"/>
  <c r="AB279" i="3"/>
  <c r="AJ278" i="3"/>
  <c r="AI278" i="3"/>
  <c r="AH278" i="3"/>
  <c r="AG278" i="3"/>
  <c r="AF278" i="3"/>
  <c r="AE278" i="3"/>
  <c r="AD278" i="3"/>
  <c r="AC278" i="3"/>
  <c r="AB278" i="3"/>
  <c r="AJ277" i="3"/>
  <c r="AI277" i="3"/>
  <c r="AH277" i="3"/>
  <c r="AG277" i="3"/>
  <c r="AF277" i="3"/>
  <c r="AE277" i="3"/>
  <c r="AD277" i="3"/>
  <c r="AC277" i="3"/>
  <c r="AB277" i="3"/>
  <c r="AJ276" i="3"/>
  <c r="AI276" i="3"/>
  <c r="AH276" i="3"/>
  <c r="AG276" i="3"/>
  <c r="AF276" i="3"/>
  <c r="AE276" i="3"/>
  <c r="AD276" i="3"/>
  <c r="AC276" i="3"/>
  <c r="AB276" i="3"/>
  <c r="AJ275" i="3"/>
  <c r="AI275" i="3"/>
  <c r="AH275" i="3"/>
  <c r="AG275" i="3"/>
  <c r="AF275" i="3"/>
  <c r="AE275" i="3"/>
  <c r="AD275" i="3"/>
  <c r="AC275" i="3"/>
  <c r="AB275" i="3"/>
  <c r="AJ274" i="3"/>
  <c r="AI274" i="3"/>
  <c r="AH274" i="3"/>
  <c r="AG274" i="3"/>
  <c r="AF274" i="3"/>
  <c r="AE274" i="3"/>
  <c r="AD274" i="3"/>
  <c r="AC274" i="3"/>
  <c r="AB274" i="3"/>
  <c r="AJ273" i="3"/>
  <c r="AI273" i="3"/>
  <c r="AH273" i="3"/>
  <c r="AG273" i="3"/>
  <c r="AF273" i="3"/>
  <c r="AE273" i="3"/>
  <c r="AD273" i="3"/>
  <c r="AC273" i="3"/>
  <c r="AB273" i="3"/>
  <c r="AJ272" i="3"/>
  <c r="AI272" i="3"/>
  <c r="AH272" i="3"/>
  <c r="AG272" i="3"/>
  <c r="AF272" i="3"/>
  <c r="AE272" i="3"/>
  <c r="AD272" i="3"/>
  <c r="AC272" i="3"/>
  <c r="AB272" i="3"/>
  <c r="AJ271" i="3"/>
  <c r="AI271" i="3"/>
  <c r="AH271" i="3"/>
  <c r="AG271" i="3"/>
  <c r="AF271" i="3"/>
  <c r="AE271" i="3"/>
  <c r="AD271" i="3"/>
  <c r="AC271" i="3"/>
  <c r="AB271" i="3"/>
  <c r="AJ270" i="3"/>
  <c r="AI270" i="3"/>
  <c r="AH270" i="3"/>
  <c r="AG270" i="3"/>
  <c r="AF270" i="3"/>
  <c r="AE270" i="3"/>
  <c r="AD270" i="3"/>
  <c r="AC270" i="3"/>
  <c r="AB270" i="3"/>
  <c r="AJ269" i="3"/>
  <c r="AI269" i="3"/>
  <c r="AH269" i="3"/>
  <c r="AG269" i="3"/>
  <c r="AF269" i="3"/>
  <c r="AE269" i="3"/>
  <c r="AD269" i="3"/>
  <c r="AC269" i="3"/>
  <c r="AB269" i="3"/>
  <c r="AJ268" i="3"/>
  <c r="AI268" i="3"/>
  <c r="AH268" i="3"/>
  <c r="AG268" i="3"/>
  <c r="AF268" i="3"/>
  <c r="AE268" i="3"/>
  <c r="AD268" i="3"/>
  <c r="AC268" i="3"/>
  <c r="AB268" i="3"/>
  <c r="AJ267" i="3"/>
  <c r="AI267" i="3"/>
  <c r="AH267" i="3"/>
  <c r="AG267" i="3"/>
  <c r="AF267" i="3"/>
  <c r="AE267" i="3"/>
  <c r="AD267" i="3"/>
  <c r="AC267" i="3"/>
  <c r="AB267" i="3"/>
  <c r="AJ266" i="3"/>
  <c r="AI266" i="3"/>
  <c r="AH266" i="3"/>
  <c r="AG266" i="3"/>
  <c r="AF266" i="3"/>
  <c r="AE266" i="3"/>
  <c r="AD266" i="3"/>
  <c r="AC266" i="3"/>
  <c r="AB266" i="3"/>
  <c r="AJ265" i="3"/>
  <c r="AI265" i="3"/>
  <c r="AH265" i="3"/>
  <c r="AG265" i="3"/>
  <c r="AF265" i="3"/>
  <c r="AE265" i="3"/>
  <c r="AD265" i="3"/>
  <c r="AC265" i="3"/>
  <c r="AB265" i="3"/>
  <c r="AJ264" i="3"/>
  <c r="AI264" i="3"/>
  <c r="AH264" i="3"/>
  <c r="AG264" i="3"/>
  <c r="AF264" i="3"/>
  <c r="AE264" i="3"/>
  <c r="AD264" i="3"/>
  <c r="AC264" i="3"/>
  <c r="AB264" i="3"/>
  <c r="AJ263" i="3"/>
  <c r="AI263" i="3"/>
  <c r="AH263" i="3"/>
  <c r="AG263" i="3"/>
  <c r="AF263" i="3"/>
  <c r="AE263" i="3"/>
  <c r="AD263" i="3"/>
  <c r="AC263" i="3"/>
  <c r="AB263" i="3"/>
  <c r="AJ262" i="3"/>
  <c r="AI262" i="3"/>
  <c r="AH262" i="3"/>
  <c r="AG262" i="3"/>
  <c r="AF262" i="3"/>
  <c r="AE262" i="3"/>
  <c r="AD262" i="3"/>
  <c r="AC262" i="3"/>
  <c r="AB262" i="3"/>
  <c r="AJ261" i="3"/>
  <c r="AI261" i="3"/>
  <c r="AH261" i="3"/>
  <c r="AG261" i="3"/>
  <c r="AF261" i="3"/>
  <c r="AE261" i="3"/>
  <c r="AD261" i="3"/>
  <c r="AC261" i="3"/>
  <c r="AB261" i="3"/>
  <c r="AJ260" i="3"/>
  <c r="AI260" i="3"/>
  <c r="AH260" i="3"/>
  <c r="AG260" i="3"/>
  <c r="AF260" i="3"/>
  <c r="AE260" i="3"/>
  <c r="AD260" i="3"/>
  <c r="AC260" i="3"/>
  <c r="AB260" i="3"/>
  <c r="AJ259" i="3"/>
  <c r="AI259" i="3"/>
  <c r="AH259" i="3"/>
  <c r="AG259" i="3"/>
  <c r="AF259" i="3"/>
  <c r="AE259" i="3"/>
  <c r="AD259" i="3"/>
  <c r="AC259" i="3"/>
  <c r="AB259" i="3"/>
  <c r="AJ258" i="3"/>
  <c r="AI258" i="3"/>
  <c r="AH258" i="3"/>
  <c r="AG258" i="3"/>
  <c r="AF258" i="3"/>
  <c r="AE258" i="3"/>
  <c r="AD258" i="3"/>
  <c r="AC258" i="3"/>
  <c r="AB258" i="3"/>
  <c r="AJ257" i="3"/>
  <c r="AI257" i="3"/>
  <c r="AH257" i="3"/>
  <c r="AG257" i="3"/>
  <c r="AF257" i="3"/>
  <c r="AE257" i="3"/>
  <c r="AD257" i="3"/>
  <c r="AC257" i="3"/>
  <c r="AB257" i="3"/>
  <c r="AJ256" i="3"/>
  <c r="AI256" i="3"/>
  <c r="AH256" i="3"/>
  <c r="AG256" i="3"/>
  <c r="AF256" i="3"/>
  <c r="AE256" i="3"/>
  <c r="AD256" i="3"/>
  <c r="AC256" i="3"/>
  <c r="AB256" i="3"/>
  <c r="AJ255" i="3"/>
  <c r="AI255" i="3"/>
  <c r="AH255" i="3"/>
  <c r="AG255" i="3"/>
  <c r="AF255" i="3"/>
  <c r="AE255" i="3"/>
  <c r="AD255" i="3"/>
  <c r="AC255" i="3"/>
  <c r="AB255" i="3"/>
  <c r="AJ254" i="3"/>
  <c r="AI254" i="3"/>
  <c r="AH254" i="3"/>
  <c r="AG254" i="3"/>
  <c r="AF254" i="3"/>
  <c r="AE254" i="3"/>
  <c r="AD254" i="3"/>
  <c r="AC254" i="3"/>
  <c r="AB254" i="3"/>
  <c r="AJ253" i="3"/>
  <c r="AI253" i="3"/>
  <c r="AH253" i="3"/>
  <c r="AG253" i="3"/>
  <c r="AF253" i="3"/>
  <c r="AE253" i="3"/>
  <c r="AD253" i="3"/>
  <c r="AC253" i="3"/>
  <c r="AB253" i="3"/>
  <c r="AJ252" i="3"/>
  <c r="AI252" i="3"/>
  <c r="AH252" i="3"/>
  <c r="AG252" i="3"/>
  <c r="AF252" i="3"/>
  <c r="AE252" i="3"/>
  <c r="AD252" i="3"/>
  <c r="AC252" i="3"/>
  <c r="AB252" i="3"/>
  <c r="AJ251" i="3"/>
  <c r="AI251" i="3"/>
  <c r="AH251" i="3"/>
  <c r="AG251" i="3"/>
  <c r="AF251" i="3"/>
  <c r="AE251" i="3"/>
  <c r="AD251" i="3"/>
  <c r="AC251" i="3"/>
  <c r="AB251" i="3"/>
  <c r="AJ250" i="3"/>
  <c r="AI250" i="3"/>
  <c r="AH250" i="3"/>
  <c r="AG250" i="3"/>
  <c r="AF250" i="3"/>
  <c r="AE250" i="3"/>
  <c r="AD250" i="3"/>
  <c r="AC250" i="3"/>
  <c r="AB250" i="3"/>
  <c r="AJ249" i="3"/>
  <c r="AI249" i="3"/>
  <c r="AH249" i="3"/>
  <c r="AG249" i="3"/>
  <c r="AF249" i="3"/>
  <c r="AE249" i="3"/>
  <c r="AD249" i="3"/>
  <c r="AC249" i="3"/>
  <c r="AB249" i="3"/>
  <c r="AJ248" i="3"/>
  <c r="AI248" i="3"/>
  <c r="AH248" i="3"/>
  <c r="AG248" i="3"/>
  <c r="AF248" i="3"/>
  <c r="AE248" i="3"/>
  <c r="AD248" i="3"/>
  <c r="AC248" i="3"/>
  <c r="AB248" i="3"/>
  <c r="AJ247" i="3"/>
  <c r="AI247" i="3"/>
  <c r="AH247" i="3"/>
  <c r="AG247" i="3"/>
  <c r="AF247" i="3"/>
  <c r="AE247" i="3"/>
  <c r="AD247" i="3"/>
  <c r="AC247" i="3"/>
  <c r="AB247" i="3"/>
  <c r="AJ246" i="3"/>
  <c r="AI246" i="3"/>
  <c r="AH246" i="3"/>
  <c r="AG246" i="3"/>
  <c r="AF246" i="3"/>
  <c r="AE246" i="3"/>
  <c r="AD246" i="3"/>
  <c r="AC246" i="3"/>
  <c r="AB246" i="3"/>
  <c r="AJ245" i="3"/>
  <c r="AI245" i="3"/>
  <c r="AH245" i="3"/>
  <c r="AG245" i="3"/>
  <c r="AF245" i="3"/>
  <c r="AE245" i="3"/>
  <c r="AD245" i="3"/>
  <c r="AC245" i="3"/>
  <c r="AB245" i="3"/>
  <c r="AJ244" i="3"/>
  <c r="AI244" i="3"/>
  <c r="AH244" i="3"/>
  <c r="AG244" i="3"/>
  <c r="AF244" i="3"/>
  <c r="AE244" i="3"/>
  <c r="AD244" i="3"/>
  <c r="AC244" i="3"/>
  <c r="AB244" i="3"/>
  <c r="AJ243" i="3"/>
  <c r="AI243" i="3"/>
  <c r="AH243" i="3"/>
  <c r="AG243" i="3"/>
  <c r="AF243" i="3"/>
  <c r="AE243" i="3"/>
  <c r="AD243" i="3"/>
  <c r="AC243" i="3"/>
  <c r="AB243" i="3"/>
  <c r="AJ242" i="3"/>
  <c r="AI242" i="3"/>
  <c r="AH242" i="3"/>
  <c r="AG242" i="3"/>
  <c r="AF242" i="3"/>
  <c r="AE242" i="3"/>
  <c r="AD242" i="3"/>
  <c r="AC242" i="3"/>
  <c r="AB242" i="3"/>
  <c r="AJ241" i="3"/>
  <c r="AI241" i="3"/>
  <c r="AH241" i="3"/>
  <c r="AG241" i="3"/>
  <c r="AF241" i="3"/>
  <c r="AE241" i="3"/>
  <c r="AD241" i="3"/>
  <c r="AC241" i="3"/>
  <c r="AB241" i="3"/>
  <c r="AJ240" i="3"/>
  <c r="AI240" i="3"/>
  <c r="AH240" i="3"/>
  <c r="AG240" i="3"/>
  <c r="AF240" i="3"/>
  <c r="AE240" i="3"/>
  <c r="AD240" i="3"/>
  <c r="AC240" i="3"/>
  <c r="AB240" i="3"/>
  <c r="AJ239" i="3"/>
  <c r="AI239" i="3"/>
  <c r="AH239" i="3"/>
  <c r="AG239" i="3"/>
  <c r="AF239" i="3"/>
  <c r="AE239" i="3"/>
  <c r="AD239" i="3"/>
  <c r="AC239" i="3"/>
  <c r="AB239" i="3"/>
  <c r="AJ238" i="3"/>
  <c r="AI238" i="3"/>
  <c r="AH238" i="3"/>
  <c r="AG238" i="3"/>
  <c r="AF238" i="3"/>
  <c r="AE238" i="3"/>
  <c r="AD238" i="3"/>
  <c r="AC238" i="3"/>
  <c r="AB238" i="3"/>
  <c r="AJ237" i="3"/>
  <c r="AI237" i="3"/>
  <c r="AH237" i="3"/>
  <c r="AG237" i="3"/>
  <c r="AF237" i="3"/>
  <c r="AE237" i="3"/>
  <c r="AD237" i="3"/>
  <c r="AC237" i="3"/>
  <c r="AB237" i="3"/>
  <c r="AJ236" i="3"/>
  <c r="AI236" i="3"/>
  <c r="AH236" i="3"/>
  <c r="AG236" i="3"/>
  <c r="AF236" i="3"/>
  <c r="AE236" i="3"/>
  <c r="AD236" i="3"/>
  <c r="AC236" i="3"/>
  <c r="AB236" i="3"/>
  <c r="AJ235" i="3"/>
  <c r="AI235" i="3"/>
  <c r="AH235" i="3"/>
  <c r="AG235" i="3"/>
  <c r="AF235" i="3"/>
  <c r="AE235" i="3"/>
  <c r="AD235" i="3"/>
  <c r="AC235" i="3"/>
  <c r="AB235" i="3"/>
  <c r="AJ234" i="3"/>
  <c r="AI234" i="3"/>
  <c r="AH234" i="3"/>
  <c r="AG234" i="3"/>
  <c r="AF234" i="3"/>
  <c r="AE234" i="3"/>
  <c r="AD234" i="3"/>
  <c r="AC234" i="3"/>
  <c r="AB234" i="3"/>
  <c r="AJ233" i="3"/>
  <c r="AI233" i="3"/>
  <c r="AH233" i="3"/>
  <c r="AG233" i="3"/>
  <c r="AF233" i="3"/>
  <c r="AE233" i="3"/>
  <c r="AD233" i="3"/>
  <c r="AC233" i="3"/>
  <c r="AB233" i="3"/>
  <c r="AJ232" i="3"/>
  <c r="AI232" i="3"/>
  <c r="AH232" i="3"/>
  <c r="AG232" i="3"/>
  <c r="AF232" i="3"/>
  <c r="AE232" i="3"/>
  <c r="AD232" i="3"/>
  <c r="AC232" i="3"/>
  <c r="AB232" i="3"/>
  <c r="AJ231" i="3"/>
  <c r="AI231" i="3"/>
  <c r="AH231" i="3"/>
  <c r="AG231" i="3"/>
  <c r="AF231" i="3"/>
  <c r="AE231" i="3"/>
  <c r="AD231" i="3"/>
  <c r="AC231" i="3"/>
  <c r="AB231" i="3"/>
  <c r="AJ230" i="3"/>
  <c r="AI230" i="3"/>
  <c r="AH230" i="3"/>
  <c r="AG230" i="3"/>
  <c r="AF230" i="3"/>
  <c r="AE230" i="3"/>
  <c r="AD230" i="3"/>
  <c r="AC230" i="3"/>
  <c r="AB230" i="3"/>
  <c r="AJ229" i="3"/>
  <c r="AI229" i="3"/>
  <c r="AH229" i="3"/>
  <c r="AG229" i="3"/>
  <c r="AF229" i="3"/>
  <c r="AE229" i="3"/>
  <c r="AD229" i="3"/>
  <c r="AC229" i="3"/>
  <c r="AB229" i="3"/>
  <c r="AJ228" i="3"/>
  <c r="AI228" i="3"/>
  <c r="AH228" i="3"/>
  <c r="AG228" i="3"/>
  <c r="AF228" i="3"/>
  <c r="AE228" i="3"/>
  <c r="AD228" i="3"/>
  <c r="AC228" i="3"/>
  <c r="AB228" i="3"/>
  <c r="AJ227" i="3"/>
  <c r="AI227" i="3"/>
  <c r="AH227" i="3"/>
  <c r="AG227" i="3"/>
  <c r="AF227" i="3"/>
  <c r="AE227" i="3"/>
  <c r="AD227" i="3"/>
  <c r="AC227" i="3"/>
  <c r="AB227" i="3"/>
  <c r="AJ226" i="3"/>
  <c r="AI226" i="3"/>
  <c r="AH226" i="3"/>
  <c r="AG226" i="3"/>
  <c r="AF226" i="3"/>
  <c r="AE226" i="3"/>
  <c r="AD226" i="3"/>
  <c r="AC226" i="3"/>
  <c r="AB226" i="3"/>
  <c r="AJ225" i="3"/>
  <c r="AI225" i="3"/>
  <c r="AH225" i="3"/>
  <c r="AG225" i="3"/>
  <c r="AF225" i="3"/>
  <c r="AE225" i="3"/>
  <c r="AD225" i="3"/>
  <c r="AC225" i="3"/>
  <c r="AB225" i="3"/>
  <c r="AJ224" i="3"/>
  <c r="AI224" i="3"/>
  <c r="AH224" i="3"/>
  <c r="AG224" i="3"/>
  <c r="AF224" i="3"/>
  <c r="AE224" i="3"/>
  <c r="AD224" i="3"/>
  <c r="AC224" i="3"/>
  <c r="AB224" i="3"/>
  <c r="AJ223" i="3"/>
  <c r="AI223" i="3"/>
  <c r="AH223" i="3"/>
  <c r="AG223" i="3"/>
  <c r="AF223" i="3"/>
  <c r="AE223" i="3"/>
  <c r="AD223" i="3"/>
  <c r="AC223" i="3"/>
  <c r="AB223" i="3"/>
  <c r="AJ222" i="3"/>
  <c r="AI222" i="3"/>
  <c r="AH222" i="3"/>
  <c r="AG222" i="3"/>
  <c r="AF222" i="3"/>
  <c r="AE222" i="3"/>
  <c r="AD222" i="3"/>
  <c r="AC222" i="3"/>
  <c r="AB222" i="3"/>
  <c r="AJ221" i="3"/>
  <c r="AI221" i="3"/>
  <c r="AH221" i="3"/>
  <c r="AG221" i="3"/>
  <c r="AF221" i="3"/>
  <c r="AE221" i="3"/>
  <c r="AD221" i="3"/>
  <c r="AC221" i="3"/>
  <c r="AB221" i="3"/>
  <c r="AJ220" i="3"/>
  <c r="AI220" i="3"/>
  <c r="AH220" i="3"/>
  <c r="AG220" i="3"/>
  <c r="AF220" i="3"/>
  <c r="AE220" i="3"/>
  <c r="AD220" i="3"/>
  <c r="AC220" i="3"/>
  <c r="AB220" i="3"/>
  <c r="AJ219" i="3"/>
  <c r="AI219" i="3"/>
  <c r="AH219" i="3"/>
  <c r="AG219" i="3"/>
  <c r="AF219" i="3"/>
  <c r="AE219" i="3"/>
  <c r="AD219" i="3"/>
  <c r="AC219" i="3"/>
  <c r="AB219" i="3"/>
  <c r="AJ218" i="3"/>
  <c r="AI218" i="3"/>
  <c r="AH218" i="3"/>
  <c r="AG218" i="3"/>
  <c r="AF218" i="3"/>
  <c r="AE218" i="3"/>
  <c r="AD218" i="3"/>
  <c r="AC218" i="3"/>
  <c r="AB218" i="3"/>
  <c r="AJ217" i="3"/>
  <c r="AI217" i="3"/>
  <c r="AH217" i="3"/>
  <c r="AG217" i="3"/>
  <c r="AF217" i="3"/>
  <c r="AE217" i="3"/>
  <c r="AD217" i="3"/>
  <c r="AC217" i="3"/>
  <c r="AB217" i="3"/>
  <c r="AJ216" i="3"/>
  <c r="AI216" i="3"/>
  <c r="AH216" i="3"/>
  <c r="AG216" i="3"/>
  <c r="AF216" i="3"/>
  <c r="AE216" i="3"/>
  <c r="AD216" i="3"/>
  <c r="AC216" i="3"/>
  <c r="AB216" i="3"/>
  <c r="AJ215" i="3"/>
  <c r="AI215" i="3"/>
  <c r="AH215" i="3"/>
  <c r="AG215" i="3"/>
  <c r="AF215" i="3"/>
  <c r="AE215" i="3"/>
  <c r="AD215" i="3"/>
  <c r="AC215" i="3"/>
  <c r="AB215" i="3"/>
  <c r="AJ214" i="3"/>
  <c r="AI214" i="3"/>
  <c r="AH214" i="3"/>
  <c r="AG214" i="3"/>
  <c r="AF214" i="3"/>
  <c r="AE214" i="3"/>
  <c r="AD214" i="3"/>
  <c r="AC214" i="3"/>
  <c r="AB214" i="3"/>
  <c r="AJ211" i="3"/>
  <c r="AI211" i="3"/>
  <c r="AH211" i="3"/>
  <c r="AG211" i="3"/>
  <c r="AF211" i="3"/>
  <c r="AE211" i="3"/>
  <c r="AD211" i="3"/>
  <c r="AC211" i="3"/>
  <c r="AB211" i="3"/>
  <c r="AJ210" i="3"/>
  <c r="AI210" i="3"/>
  <c r="AH210" i="3"/>
  <c r="AG210" i="3"/>
  <c r="AF210" i="3"/>
  <c r="AE210" i="3"/>
  <c r="AD210" i="3"/>
  <c r="AC210" i="3"/>
  <c r="AB210" i="3"/>
  <c r="AJ209" i="3"/>
  <c r="AI209" i="3"/>
  <c r="AH209" i="3"/>
  <c r="AG209" i="3"/>
  <c r="AF209" i="3"/>
  <c r="AE209" i="3"/>
  <c r="AD209" i="3"/>
  <c r="AC209" i="3"/>
  <c r="AB209" i="3"/>
  <c r="AJ208" i="3"/>
  <c r="AI208" i="3"/>
  <c r="AH208" i="3"/>
  <c r="AG208" i="3"/>
  <c r="AF208" i="3"/>
  <c r="AE208" i="3"/>
  <c r="AD208" i="3"/>
  <c r="AC208" i="3"/>
  <c r="AB208" i="3"/>
  <c r="AJ207" i="3"/>
  <c r="AI207" i="3"/>
  <c r="AH207" i="3"/>
  <c r="AG207" i="3"/>
  <c r="AF207" i="3"/>
  <c r="AE207" i="3"/>
  <c r="AD207" i="3"/>
  <c r="AC207" i="3"/>
  <c r="AB207" i="3"/>
  <c r="AJ206" i="3"/>
  <c r="AI206" i="3"/>
  <c r="AH206" i="3"/>
  <c r="AG206" i="3"/>
  <c r="AF206" i="3"/>
  <c r="AE206" i="3"/>
  <c r="AD206" i="3"/>
  <c r="AC206" i="3"/>
  <c r="AB206" i="3"/>
  <c r="AJ205" i="3"/>
  <c r="AI205" i="3"/>
  <c r="AH205" i="3"/>
  <c r="AG205" i="3"/>
  <c r="AF205" i="3"/>
  <c r="AE205" i="3"/>
  <c r="AD205" i="3"/>
  <c r="AC205" i="3"/>
  <c r="AB205" i="3"/>
  <c r="AJ204" i="3"/>
  <c r="AI204" i="3"/>
  <c r="AH204" i="3"/>
  <c r="AG204" i="3"/>
  <c r="AF204" i="3"/>
  <c r="AE204" i="3"/>
  <c r="AD204" i="3"/>
  <c r="AC204" i="3"/>
  <c r="AB204" i="3"/>
  <c r="AJ187" i="3"/>
  <c r="AI187" i="3"/>
  <c r="AH187" i="3"/>
  <c r="AG187" i="3"/>
  <c r="AF187" i="3"/>
  <c r="AE187" i="3"/>
  <c r="AD187" i="3"/>
  <c r="AC187" i="3"/>
  <c r="AB187" i="3"/>
  <c r="AJ186" i="3"/>
  <c r="AI186" i="3"/>
  <c r="AH186" i="3"/>
  <c r="AG186" i="3"/>
  <c r="AF186" i="3"/>
  <c r="AE186" i="3"/>
  <c r="AD186" i="3"/>
  <c r="AC186" i="3"/>
  <c r="AB186" i="3"/>
  <c r="AJ185" i="3"/>
  <c r="AI185" i="3"/>
  <c r="AH185" i="3"/>
  <c r="AG185" i="3"/>
  <c r="AF185" i="3"/>
  <c r="AE185" i="3"/>
  <c r="AD185" i="3"/>
  <c r="AC185" i="3"/>
  <c r="AB185" i="3"/>
  <c r="AJ184" i="3"/>
  <c r="AI184" i="3"/>
  <c r="AH184" i="3"/>
  <c r="AG184" i="3"/>
  <c r="AF184" i="3"/>
  <c r="AE184" i="3"/>
  <c r="AC184" i="3"/>
  <c r="AB184" i="3"/>
  <c r="AJ183" i="3"/>
  <c r="AI183" i="3"/>
  <c r="AH183" i="3"/>
  <c r="AG183" i="3"/>
  <c r="AF183" i="3"/>
  <c r="AE183" i="3"/>
  <c r="AD183" i="3"/>
  <c r="AC183" i="3"/>
  <c r="AB183" i="3"/>
  <c r="AJ169" i="3"/>
  <c r="AI169" i="3"/>
  <c r="AH169" i="3"/>
  <c r="AG169" i="3"/>
  <c r="AF169" i="3"/>
  <c r="AE169" i="3"/>
  <c r="AD169" i="3"/>
  <c r="AJ168" i="3"/>
  <c r="AI168" i="3"/>
  <c r="AH168" i="3"/>
  <c r="AG168" i="3"/>
  <c r="AF168" i="3"/>
  <c r="AE168" i="3"/>
  <c r="AD168" i="3"/>
  <c r="AJ167" i="3"/>
  <c r="AI167" i="3"/>
  <c r="AH167" i="3"/>
  <c r="AG167" i="3"/>
  <c r="AF167" i="3"/>
  <c r="AE167" i="3"/>
  <c r="AD167" i="3"/>
  <c r="AJ166" i="3"/>
  <c r="AI166" i="3"/>
  <c r="AH166" i="3"/>
  <c r="AG166" i="3"/>
  <c r="AF166" i="3"/>
  <c r="AE166" i="3"/>
  <c r="AD166" i="3"/>
  <c r="AB166" i="3"/>
  <c r="AJ165" i="3"/>
  <c r="AI165" i="3"/>
  <c r="AH165" i="3"/>
  <c r="AG165" i="3"/>
  <c r="AF165" i="3"/>
  <c r="AE165" i="3"/>
  <c r="AD165" i="3"/>
  <c r="AB165" i="3"/>
  <c r="AJ164" i="3"/>
  <c r="AI164" i="3"/>
  <c r="AH164" i="3"/>
  <c r="AG164" i="3"/>
  <c r="AF164" i="3"/>
  <c r="AE164" i="3"/>
  <c r="AD164" i="3"/>
  <c r="AJ163" i="3"/>
  <c r="AI163" i="3"/>
  <c r="AH163" i="3"/>
  <c r="AG163" i="3"/>
  <c r="AF163" i="3"/>
  <c r="AE163" i="3"/>
  <c r="AD163" i="3"/>
  <c r="AB162" i="3"/>
  <c r="AU281" i="3"/>
  <c r="AN281" i="3"/>
  <c r="AM281" i="3"/>
  <c r="AU280" i="3"/>
  <c r="AN280" i="3"/>
  <c r="AM280" i="3"/>
  <c r="AU279" i="3"/>
  <c r="AN279" i="3"/>
  <c r="AM279" i="3"/>
  <c r="AU278" i="3"/>
  <c r="AN278" i="3"/>
  <c r="AM278" i="3"/>
  <c r="AU277" i="3"/>
  <c r="AN277" i="3"/>
  <c r="AM277" i="3"/>
  <c r="AU276" i="3"/>
  <c r="AN276" i="3"/>
  <c r="AM276" i="3"/>
  <c r="AU275" i="3"/>
  <c r="AN275" i="3"/>
  <c r="AM275" i="3"/>
  <c r="AU274" i="3"/>
  <c r="AN274" i="3"/>
  <c r="AM274" i="3"/>
  <c r="AU273" i="3"/>
  <c r="AN273" i="3"/>
  <c r="AM273" i="3"/>
  <c r="AU272" i="3"/>
  <c r="AN272" i="3"/>
  <c r="AM272" i="3"/>
  <c r="AU271" i="3"/>
  <c r="AN271" i="3"/>
  <c r="AM271" i="3"/>
  <c r="AU270" i="3"/>
  <c r="AN270" i="3"/>
  <c r="AM270" i="3"/>
  <c r="AU269" i="3"/>
  <c r="AN269" i="3"/>
  <c r="AM269" i="3"/>
  <c r="AU268" i="3"/>
  <c r="AN268" i="3"/>
  <c r="AM268" i="3"/>
  <c r="AU267" i="3"/>
  <c r="AN267" i="3"/>
  <c r="AM267" i="3"/>
  <c r="AU266" i="3"/>
  <c r="AN266" i="3"/>
  <c r="AM266" i="3"/>
  <c r="AU265" i="3"/>
  <c r="AN265" i="3"/>
  <c r="AM265" i="3"/>
  <c r="AU264" i="3"/>
  <c r="AN264" i="3"/>
  <c r="AM264" i="3"/>
  <c r="AU263" i="3"/>
  <c r="AN263" i="3"/>
  <c r="AM263" i="3"/>
  <c r="AU262" i="3"/>
  <c r="AN262" i="3"/>
  <c r="AM262" i="3"/>
  <c r="AU261" i="3"/>
  <c r="AN261" i="3"/>
  <c r="AM261" i="3"/>
  <c r="AU260" i="3"/>
  <c r="AN260" i="3"/>
  <c r="AM260" i="3"/>
  <c r="AU259" i="3"/>
  <c r="AN259" i="3"/>
  <c r="AM259" i="3"/>
  <c r="AU258" i="3"/>
  <c r="AN258" i="3"/>
  <c r="AM258" i="3"/>
  <c r="AU257" i="3"/>
  <c r="AN257" i="3"/>
  <c r="AM257" i="3"/>
  <c r="AU256" i="3"/>
  <c r="AN256" i="3"/>
  <c r="AM256" i="3"/>
  <c r="AU255" i="3"/>
  <c r="AN255" i="3"/>
  <c r="AM255" i="3"/>
  <c r="AU254" i="3"/>
  <c r="AN254" i="3"/>
  <c r="AM254" i="3"/>
  <c r="AU253" i="3"/>
  <c r="AN253" i="3"/>
  <c r="AM253" i="3"/>
  <c r="AU252" i="3"/>
  <c r="AN252" i="3"/>
  <c r="AM252" i="3"/>
  <c r="AU251" i="3"/>
  <c r="AN251" i="3"/>
  <c r="AM251" i="3"/>
  <c r="AU250" i="3"/>
  <c r="AN250" i="3"/>
  <c r="AM250" i="3"/>
  <c r="AU249" i="3"/>
  <c r="AN249" i="3"/>
  <c r="AM249" i="3"/>
  <c r="AU248" i="3"/>
  <c r="AN248" i="3"/>
  <c r="AM248" i="3"/>
  <c r="AU247" i="3"/>
  <c r="AN247" i="3"/>
  <c r="AM247" i="3"/>
  <c r="AU246" i="3"/>
  <c r="AN246" i="3"/>
  <c r="AM246" i="3"/>
  <c r="AU245" i="3"/>
  <c r="AN245" i="3"/>
  <c r="AM245" i="3"/>
  <c r="AU244" i="3"/>
  <c r="AN244" i="3"/>
  <c r="AM244" i="3"/>
  <c r="AU243" i="3"/>
  <c r="AN243" i="3"/>
  <c r="AM243" i="3"/>
  <c r="AU242" i="3"/>
  <c r="AN242" i="3"/>
  <c r="AM242" i="3"/>
  <c r="AU241" i="3"/>
  <c r="AN241" i="3"/>
  <c r="AM241" i="3"/>
  <c r="AU240" i="3"/>
  <c r="AN240" i="3"/>
  <c r="AM240" i="3"/>
  <c r="AU239" i="3"/>
  <c r="AN239" i="3"/>
  <c r="AM239" i="3"/>
  <c r="AU238" i="3"/>
  <c r="AN238" i="3"/>
  <c r="AM238" i="3"/>
  <c r="AU237" i="3"/>
  <c r="AN237" i="3"/>
  <c r="AM237" i="3"/>
  <c r="AU236" i="3"/>
  <c r="AN236" i="3"/>
  <c r="AM236" i="3"/>
  <c r="AU235" i="3"/>
  <c r="AN235" i="3"/>
  <c r="AM235" i="3"/>
  <c r="AU234" i="3"/>
  <c r="AN234" i="3"/>
  <c r="AM234" i="3"/>
  <c r="AU233" i="3"/>
  <c r="AN233" i="3"/>
  <c r="AM233" i="3"/>
  <c r="AU232" i="3"/>
  <c r="AN232" i="3"/>
  <c r="AM232" i="3"/>
  <c r="AU231" i="3"/>
  <c r="AN231" i="3"/>
  <c r="AM231" i="3"/>
  <c r="AU230" i="3"/>
  <c r="AN230" i="3"/>
  <c r="AM230" i="3"/>
  <c r="AU229" i="3"/>
  <c r="AN229" i="3"/>
  <c r="AM229" i="3"/>
  <c r="AU228" i="3"/>
  <c r="AN228" i="3"/>
  <c r="AM228" i="3"/>
  <c r="AU227" i="3"/>
  <c r="AN227" i="3"/>
  <c r="AM227" i="3"/>
  <c r="AU226" i="3"/>
  <c r="AN226" i="3"/>
  <c r="AM226" i="3"/>
  <c r="AU225" i="3"/>
  <c r="AN225" i="3"/>
  <c r="AM225" i="3"/>
  <c r="AU224" i="3"/>
  <c r="AN224" i="3"/>
  <c r="AM224" i="3"/>
  <c r="AU223" i="3"/>
  <c r="AN223" i="3"/>
  <c r="AM223" i="3"/>
  <c r="AU222" i="3"/>
  <c r="AN222" i="3"/>
  <c r="AM222" i="3"/>
  <c r="AU221" i="3"/>
  <c r="AN221" i="3"/>
  <c r="AM221" i="3"/>
  <c r="AU220" i="3"/>
  <c r="AN220" i="3"/>
  <c r="AM220" i="3"/>
  <c r="AU219" i="3"/>
  <c r="AN219" i="3"/>
  <c r="AM219" i="3"/>
  <c r="AU218" i="3"/>
  <c r="AN218" i="3"/>
  <c r="AM218" i="3"/>
  <c r="AU217" i="3"/>
  <c r="AN217" i="3"/>
  <c r="AM217" i="3"/>
  <c r="AU216" i="3"/>
  <c r="AN216" i="3"/>
  <c r="AM216" i="3"/>
  <c r="AU215" i="3"/>
  <c r="AN215" i="3"/>
  <c r="AM215" i="3"/>
  <c r="AU214" i="3"/>
  <c r="AN214" i="3"/>
  <c r="AM214" i="3"/>
  <c r="AU211" i="3"/>
  <c r="AN211" i="3"/>
  <c r="AM211" i="3"/>
  <c r="AU210" i="3"/>
  <c r="AN210" i="3"/>
  <c r="AM210" i="3"/>
  <c r="AU209" i="3"/>
  <c r="AN209" i="3"/>
  <c r="AM209" i="3"/>
  <c r="AU208" i="3"/>
  <c r="AN208" i="3"/>
  <c r="AM208" i="3"/>
  <c r="AU207" i="3"/>
  <c r="AN207" i="3"/>
  <c r="AM207" i="3"/>
  <c r="AU206" i="3"/>
  <c r="AN206" i="3"/>
  <c r="AM206" i="3"/>
  <c r="AU205" i="3"/>
  <c r="AN205" i="3"/>
  <c r="AM205" i="3"/>
  <c r="AU204" i="3"/>
  <c r="AN204" i="3"/>
  <c r="AM204" i="3"/>
  <c r="AU187" i="3"/>
  <c r="AN187" i="3"/>
  <c r="AM187" i="3"/>
  <c r="AU186" i="3"/>
  <c r="AN186" i="3"/>
  <c r="AM186" i="3"/>
  <c r="AU185" i="3"/>
  <c r="AN185" i="3"/>
  <c r="AM185" i="3"/>
  <c r="AU184" i="3"/>
  <c r="AN184" i="3"/>
  <c r="AM184" i="3"/>
  <c r="AU183" i="3"/>
  <c r="AN183" i="3"/>
  <c r="AM183" i="3"/>
  <c r="AU169" i="3"/>
  <c r="AN169" i="3"/>
  <c r="AU168" i="3"/>
  <c r="AU167" i="3"/>
  <c r="AN167" i="3"/>
  <c r="AM167" i="3"/>
  <c r="AU166" i="3"/>
  <c r="AN166" i="3"/>
  <c r="AU165" i="3"/>
  <c r="AN165" i="3"/>
  <c r="AM165" i="3"/>
  <c r="AU164" i="3"/>
  <c r="AN164" i="3"/>
  <c r="F232" i="5"/>
  <c r="M232" i="5" s="1"/>
  <c r="M239" i="5" s="1"/>
  <c r="T24" i="1" s="1"/>
  <c r="B237" i="5"/>
  <c r="B236" i="5"/>
  <c r="B235" i="5"/>
  <c r="B234" i="5"/>
  <c r="B233" i="5"/>
  <c r="B232" i="5"/>
  <c r="M222" i="5"/>
  <c r="M229" i="5" s="1"/>
  <c r="T23" i="1" s="1"/>
  <c r="M212" i="5"/>
  <c r="M219" i="5" s="1"/>
  <c r="T21" i="1" s="1"/>
  <c r="M202" i="5"/>
  <c r="M209" i="5" s="1"/>
  <c r="D277" i="3"/>
  <c r="DB277" i="3" s="1"/>
  <c r="C277" i="3"/>
  <c r="D276" i="3"/>
  <c r="DC276" i="3" s="1"/>
  <c r="C276" i="3"/>
  <c r="D275" i="3"/>
  <c r="DC275" i="3" s="1"/>
  <c r="C275" i="3"/>
  <c r="D274" i="3"/>
  <c r="DC274" i="3" s="1"/>
  <c r="C274" i="3"/>
  <c r="D273" i="3"/>
  <c r="DB273" i="3" s="1"/>
  <c r="C273" i="3"/>
  <c r="D272" i="3"/>
  <c r="DC272" i="3" s="1"/>
  <c r="C272" i="3"/>
  <c r="D271" i="3"/>
  <c r="DB271" i="3" s="1"/>
  <c r="C271" i="3"/>
  <c r="D270" i="3"/>
  <c r="DB270" i="3" s="1"/>
  <c r="B228" i="5"/>
  <c r="B227" i="5"/>
  <c r="B226" i="5"/>
  <c r="B225" i="5"/>
  <c r="B224" i="5"/>
  <c r="B223" i="5"/>
  <c r="B222" i="5"/>
  <c r="B217" i="5"/>
  <c r="B216" i="5"/>
  <c r="B215" i="5"/>
  <c r="B214" i="5"/>
  <c r="B213" i="5"/>
  <c r="B212" i="5"/>
  <c r="B207" i="5"/>
  <c r="B206" i="5"/>
  <c r="B205" i="5"/>
  <c r="B204" i="5"/>
  <c r="B203" i="5"/>
  <c r="B202" i="5"/>
  <c r="B197" i="5"/>
  <c r="B196" i="5"/>
  <c r="B188" i="5"/>
  <c r="B183" i="5"/>
  <c r="B181" i="5"/>
  <c r="B180" i="5"/>
  <c r="B177" i="5"/>
  <c r="B175" i="5"/>
  <c r="B170" i="5"/>
  <c r="F157" i="5"/>
  <c r="B157" i="5"/>
  <c r="B158" i="5"/>
  <c r="D240" i="3"/>
  <c r="DC240" i="3" s="1"/>
  <c r="D268" i="3"/>
  <c r="DC268" i="3" s="1"/>
  <c r="C268" i="3"/>
  <c r="D267" i="3"/>
  <c r="DB267" i="3" s="1"/>
  <c r="C267" i="3"/>
  <c r="D266" i="3"/>
  <c r="DC266" i="3" s="1"/>
  <c r="C266" i="3"/>
  <c r="D265" i="3"/>
  <c r="DB265" i="3" s="1"/>
  <c r="C265" i="3"/>
  <c r="D264" i="3"/>
  <c r="DC264" i="3" s="1"/>
  <c r="C264" i="3"/>
  <c r="D263" i="3"/>
  <c r="DC263" i="3" s="1"/>
  <c r="C263" i="3"/>
  <c r="D262" i="3"/>
  <c r="DC262" i="3" s="1"/>
  <c r="C262" i="3"/>
  <c r="D261" i="3"/>
  <c r="DB261" i="3" s="1"/>
  <c r="C261" i="3"/>
  <c r="D260" i="3"/>
  <c r="DC260" i="3" s="1"/>
  <c r="D259" i="3"/>
  <c r="DB259" i="3" s="1"/>
  <c r="C259" i="3"/>
  <c r="D258" i="3"/>
  <c r="DC258" i="3" s="1"/>
  <c r="C258" i="3"/>
  <c r="D257" i="3"/>
  <c r="DC257" i="3" s="1"/>
  <c r="C257" i="3"/>
  <c r="D256" i="3"/>
  <c r="DC256" i="3" s="1"/>
  <c r="C256" i="3"/>
  <c r="D255" i="3"/>
  <c r="DB255" i="3" s="1"/>
  <c r="C255" i="3"/>
  <c r="D254" i="3"/>
  <c r="DC254" i="3" s="1"/>
  <c r="C254" i="3"/>
  <c r="D253" i="3"/>
  <c r="DB253" i="3" s="1"/>
  <c r="C253" i="3"/>
  <c r="D252" i="3"/>
  <c r="DC252" i="3" s="1"/>
  <c r="C252" i="3"/>
  <c r="D251" i="3"/>
  <c r="DB251" i="3" s="1"/>
  <c r="C251" i="3"/>
  <c r="D250" i="3"/>
  <c r="DC250" i="3" s="1"/>
  <c r="D249" i="3"/>
  <c r="DB249" i="3" s="1"/>
  <c r="C249" i="3"/>
  <c r="D248" i="3"/>
  <c r="DC248" i="3" s="1"/>
  <c r="C248" i="3"/>
  <c r="D247" i="3"/>
  <c r="DB247" i="3" s="1"/>
  <c r="C247" i="3"/>
  <c r="D246" i="3"/>
  <c r="DC246" i="3" s="1"/>
  <c r="C246" i="3"/>
  <c r="D245" i="3"/>
  <c r="DC245" i="3" s="1"/>
  <c r="C245" i="3"/>
  <c r="D282" i="3"/>
  <c r="DB282" i="3" s="1"/>
  <c r="C282" i="3"/>
  <c r="D244" i="3"/>
  <c r="DC244" i="3" s="1"/>
  <c r="C244" i="3"/>
  <c r="D243" i="3"/>
  <c r="DB243" i="3" s="1"/>
  <c r="C243" i="3"/>
  <c r="D242" i="3"/>
  <c r="DC242" i="3" s="1"/>
  <c r="C242" i="3"/>
  <c r="D241" i="3"/>
  <c r="DB241" i="3" s="1"/>
  <c r="C241" i="3"/>
  <c r="D239" i="3"/>
  <c r="DC239" i="3" s="1"/>
  <c r="C239" i="3"/>
  <c r="D238" i="3"/>
  <c r="DC238" i="3" s="1"/>
  <c r="C238" i="3"/>
  <c r="D237" i="3"/>
  <c r="DB237" i="3" s="1"/>
  <c r="C237" i="3"/>
  <c r="D236" i="3"/>
  <c r="DC236" i="3" s="1"/>
  <c r="C236" i="3"/>
  <c r="D235" i="3"/>
  <c r="DB235" i="3" s="1"/>
  <c r="C235" i="3"/>
  <c r="D234" i="3"/>
  <c r="DC234" i="3" s="1"/>
  <c r="C234" i="3"/>
  <c r="D233" i="3"/>
  <c r="DC233" i="3" s="1"/>
  <c r="C233" i="3"/>
  <c r="D232" i="3"/>
  <c r="DC232" i="3" s="1"/>
  <c r="C232" i="3"/>
  <c r="D231" i="3"/>
  <c r="DB231" i="3" s="1"/>
  <c r="C231" i="3"/>
  <c r="D230" i="3"/>
  <c r="DC230" i="3" s="1"/>
  <c r="C230" i="3"/>
  <c r="D229" i="3"/>
  <c r="DB229" i="3" s="1"/>
  <c r="C229" i="3"/>
  <c r="D228" i="3"/>
  <c r="DC228" i="3" s="1"/>
  <c r="C228" i="3"/>
  <c r="C227" i="3"/>
  <c r="D226" i="3"/>
  <c r="DC226" i="3" s="1"/>
  <c r="C226" i="3"/>
  <c r="C222" i="3"/>
  <c r="DC214" i="3"/>
  <c r="C209" i="3"/>
  <c r="C220" i="3"/>
  <c r="B162" i="5" s="1"/>
  <c r="D227" i="3"/>
  <c r="DC227" i="3" s="1"/>
  <c r="C215" i="3"/>
  <c r="D220" i="3"/>
  <c r="F162" i="5" s="1"/>
  <c r="L148" i="12" a="1"/>
  <c r="L148" i="12" s="1"/>
  <c r="N148" i="12" s="1"/>
  <c r="L147" i="12" a="1"/>
  <c r="L147" i="12" s="1"/>
  <c r="N147" i="12" s="1"/>
  <c r="M162" i="5" l="1"/>
  <c r="F164" i="5"/>
  <c r="I162" i="5"/>
  <c r="J162" i="5" s="1"/>
  <c r="DC251" i="3"/>
  <c r="DB266" i="3"/>
  <c r="DB252" i="3"/>
  <c r="DC253" i="3"/>
  <c r="DB256" i="3"/>
  <c r="DC271" i="3"/>
  <c r="DB257" i="3"/>
  <c r="DC277" i="3"/>
  <c r="DB258" i="3"/>
  <c r="DB233" i="3"/>
  <c r="DC259" i="3"/>
  <c r="DB260" i="3"/>
  <c r="DC220" i="3"/>
  <c r="DB240" i="3"/>
  <c r="DB263" i="3"/>
  <c r="DB250" i="3"/>
  <c r="DB264" i="3"/>
  <c r="DC265" i="3"/>
  <c r="H627" i="5" a="1"/>
  <c r="H627" i="5" s="1"/>
  <c r="DC247" i="3"/>
  <c r="DC241" i="3"/>
  <c r="DB242" i="3"/>
  <c r="DB245" i="3"/>
  <c r="DB246" i="3"/>
  <c r="DB234" i="3"/>
  <c r="DB239" i="3"/>
  <c r="DC235" i="3"/>
  <c r="DB227" i="3"/>
  <c r="DB228" i="3"/>
  <c r="DC229" i="3"/>
  <c r="H21" i="8"/>
  <c r="H23" i="8" s="1"/>
  <c r="N23" i="8" s="1"/>
  <c r="O23" i="8" s="1"/>
  <c r="F30" i="8"/>
  <c r="L289" i="8" a="1"/>
  <c r="L289" i="8" s="1"/>
  <c r="J22" i="8"/>
  <c r="K22" i="8" s="1"/>
  <c r="O22" i="8" s="1"/>
  <c r="J19" i="8"/>
  <c r="K19" i="8" s="1"/>
  <c r="O19" i="8" s="1"/>
  <c r="J17" i="8"/>
  <c r="J16" i="8"/>
  <c r="K16" i="8" s="1"/>
  <c r="O16" i="8" s="1"/>
  <c r="DC231" i="3"/>
  <c r="DC237" i="3"/>
  <c r="DC243" i="3"/>
  <c r="DC249" i="3"/>
  <c r="DC255" i="3"/>
  <c r="DC261" i="3"/>
  <c r="DC267" i="3"/>
  <c r="DC273" i="3"/>
  <c r="DB226" i="3"/>
  <c r="DB232" i="3"/>
  <c r="DB238" i="3"/>
  <c r="DB244" i="3"/>
  <c r="DB262" i="3"/>
  <c r="DB268" i="3"/>
  <c r="DB274" i="3"/>
  <c r="DB275" i="3"/>
  <c r="DB276" i="3"/>
  <c r="DC270" i="3"/>
  <c r="DC282" i="3"/>
  <c r="DB214" i="3"/>
  <c r="DB220" i="3"/>
  <c r="S220" i="3" s="1"/>
  <c r="DB230" i="3"/>
  <c r="DB236" i="3"/>
  <c r="DB248" i="3"/>
  <c r="DB254" i="3"/>
  <c r="DB272" i="3"/>
  <c r="L146" i="12" a="1"/>
  <c r="L146" i="12" s="1"/>
  <c r="N146" i="12" s="1"/>
  <c r="O146" i="12" s="1"/>
  <c r="L290" i="8" a="1"/>
  <c r="L290" i="8" s="1"/>
  <c r="L291" i="8" a="1"/>
  <c r="L291" i="8" s="1"/>
  <c r="N44" i="12"/>
  <c r="O44" i="12" s="1"/>
  <c r="L149" i="12" a="1"/>
  <c r="L149" i="12" s="1"/>
  <c r="N149" i="12" s="1"/>
  <c r="L292" i="8" a="1"/>
  <c r="L292" i="8" s="1"/>
  <c r="L253" i="12" a="1"/>
  <c r="L253" i="12" s="1"/>
  <c r="N253" i="12" s="1"/>
  <c r="N256" i="12" s="1"/>
  <c r="F239" i="5"/>
  <c r="Q24" i="1" s="1"/>
  <c r="F209" i="5"/>
  <c r="Q20" i="1" s="1"/>
  <c r="F219" i="5"/>
  <c r="Q21" i="1" s="1"/>
  <c r="F229" i="5"/>
  <c r="Q23" i="1" s="1"/>
  <c r="Q19" i="1"/>
  <c r="O175" i="8"/>
  <c r="O174" i="8"/>
  <c r="O173" i="8"/>
  <c r="O172" i="8"/>
  <c r="O235" i="8"/>
  <c r="O233" i="8"/>
  <c r="O234" i="8"/>
  <c r="J284" i="8"/>
  <c r="J304" i="8"/>
  <c r="O281" i="8"/>
  <c r="K284" i="8"/>
  <c r="K304" i="8"/>
  <c r="O202" i="12"/>
  <c r="J263" i="12"/>
  <c r="O304" i="12"/>
  <c r="J315" i="12"/>
  <c r="J212" i="12"/>
  <c r="O300" i="12"/>
  <c r="O303" i="12"/>
  <c r="O313" i="12"/>
  <c r="O302" i="12"/>
  <c r="O305" i="12"/>
  <c r="O301" i="12"/>
  <c r="O261" i="12"/>
  <c r="K263" i="12"/>
  <c r="K299" i="12"/>
  <c r="O299" i="12" s="1"/>
  <c r="J308" i="12"/>
  <c r="J309" i="12" s="1"/>
  <c r="N308" i="12"/>
  <c r="N309" i="12" s="1"/>
  <c r="O250" i="12"/>
  <c r="O251" i="12"/>
  <c r="J257" i="12"/>
  <c r="O248" i="12"/>
  <c r="O252" i="12"/>
  <c r="O249" i="12"/>
  <c r="O210" i="12"/>
  <c r="O199" i="12"/>
  <c r="O198" i="12"/>
  <c r="J206" i="12"/>
  <c r="O200" i="12"/>
  <c r="O148" i="12"/>
  <c r="O147" i="12"/>
  <c r="J159" i="12"/>
  <c r="O145" i="12"/>
  <c r="K159" i="12"/>
  <c r="O157" i="12"/>
  <c r="J153" i="12"/>
  <c r="O54" i="12"/>
  <c r="CT302" i="3"/>
  <c r="CT304" i="3" s="1"/>
  <c r="CU302" i="3"/>
  <c r="CU304" i="3" s="1"/>
  <c r="CV302" i="3"/>
  <c r="CV304" i="3" s="1"/>
  <c r="CQ302" i="3"/>
  <c r="CQ304" i="3" s="1"/>
  <c r="CW302" i="3"/>
  <c r="CW304" i="3" s="1"/>
  <c r="CR302" i="3"/>
  <c r="CR304" i="3" s="1"/>
  <c r="CS302" i="3"/>
  <c r="CS304" i="3" s="1"/>
  <c r="O43" i="12"/>
  <c r="CP302" i="3"/>
  <c r="CP304" i="3" s="1"/>
  <c r="CO302" i="3"/>
  <c r="CO304" i="3" s="1"/>
  <c r="CN302" i="3"/>
  <c r="CN304" i="3" s="1"/>
  <c r="CM302" i="3"/>
  <c r="CM304" i="3" s="1"/>
  <c r="CL302" i="3"/>
  <c r="CL304" i="3" s="1"/>
  <c r="CB302" i="3"/>
  <c r="CB304" i="3" s="1"/>
  <c r="BX302" i="3"/>
  <c r="BX304" i="3" s="1"/>
  <c r="BY302" i="3"/>
  <c r="BY304" i="3" s="1"/>
  <c r="CC302" i="3"/>
  <c r="CC304" i="3" s="1"/>
  <c r="CD302" i="3"/>
  <c r="CD304" i="3" s="1"/>
  <c r="BW302" i="3"/>
  <c r="BW304" i="3" s="1"/>
  <c r="BZ302" i="3"/>
  <c r="BZ304" i="3" s="1"/>
  <c r="CE302" i="3"/>
  <c r="CE304" i="3" s="1"/>
  <c r="CA302" i="3"/>
  <c r="CA304" i="3" s="1"/>
  <c r="BE302" i="3"/>
  <c r="BE304" i="3" s="1"/>
  <c r="BF302" i="3"/>
  <c r="BF304" i="3" s="1"/>
  <c r="AT302" i="3"/>
  <c r="AT304" i="3" s="1"/>
  <c r="AU302" i="3"/>
  <c r="AU304" i="3" s="1"/>
  <c r="AQ302" i="3"/>
  <c r="AQ304" i="3" s="1"/>
  <c r="AR302" i="3"/>
  <c r="AR304" i="3" s="1"/>
  <c r="AP302" i="3"/>
  <c r="AP304" i="3" s="1"/>
  <c r="AS302" i="3"/>
  <c r="AS304" i="3" s="1"/>
  <c r="M199" i="5"/>
  <c r="I232" i="5"/>
  <c r="J232" i="5" s="1"/>
  <c r="J239" i="5" s="1"/>
  <c r="I222" i="5"/>
  <c r="I229" i="5" s="1"/>
  <c r="S23" i="1" s="1"/>
  <c r="U23" i="1" s="1"/>
  <c r="L102" i="8" a="1"/>
  <c r="L102" i="8" s="1"/>
  <c r="N92" i="12"/>
  <c r="N40" i="12"/>
  <c r="Q39" i="1"/>
  <c r="E103" i="10"/>
  <c r="E102" i="10"/>
  <c r="E101" i="10"/>
  <c r="E100" i="10"/>
  <c r="E108" i="10"/>
  <c r="E107" i="10"/>
  <c r="E106" i="10"/>
  <c r="E105" i="10"/>
  <c r="E85" i="10"/>
  <c r="E83" i="10"/>
  <c r="E82" i="10"/>
  <c r="E81" i="10"/>
  <c r="E80" i="10"/>
  <c r="E79" i="10"/>
  <c r="E78" i="10"/>
  <c r="E77" i="10"/>
  <c r="E76" i="10"/>
  <c r="R310" i="8"/>
  <c r="S310" i="8"/>
  <c r="S321" i="12"/>
  <c r="R321" i="12"/>
  <c r="G353" i="8"/>
  <c r="F350" i="12"/>
  <c r="F346" i="12"/>
  <c r="N325" i="12"/>
  <c r="S111" i="12"/>
  <c r="R111" i="12"/>
  <c r="G108" i="12"/>
  <c r="N106" i="12"/>
  <c r="J106" i="12"/>
  <c r="J108" i="12" s="1"/>
  <c r="H102" i="12"/>
  <c r="H87" i="12"/>
  <c r="R62" i="12"/>
  <c r="S59" i="12"/>
  <c r="R59" i="12"/>
  <c r="G56" i="12"/>
  <c r="N53" i="12"/>
  <c r="J53" i="12"/>
  <c r="K53" i="12" s="1"/>
  <c r="N52" i="12"/>
  <c r="J52" i="12"/>
  <c r="R9" i="12"/>
  <c r="S248" i="8"/>
  <c r="R248" i="8"/>
  <c r="G245" i="8"/>
  <c r="N243" i="8"/>
  <c r="N245" i="8" s="1"/>
  <c r="J243" i="8"/>
  <c r="K243" i="8" s="1"/>
  <c r="K245" i="8" s="1"/>
  <c r="H239" i="8"/>
  <c r="R12" i="1" s="1"/>
  <c r="G224" i="8"/>
  <c r="N224" i="8"/>
  <c r="K224" i="8"/>
  <c r="H217" i="8"/>
  <c r="R191" i="8"/>
  <c r="S188" i="8"/>
  <c r="R188" i="8"/>
  <c r="G185" i="8"/>
  <c r="N183" i="8"/>
  <c r="J183" i="8"/>
  <c r="K183" i="8" s="1"/>
  <c r="H179" i="8"/>
  <c r="R11" i="1" s="1"/>
  <c r="G163" i="8"/>
  <c r="N160" i="8"/>
  <c r="N163" i="8" s="1"/>
  <c r="H149" i="8"/>
  <c r="R122" i="8"/>
  <c r="S119" i="8"/>
  <c r="R119" i="8"/>
  <c r="G116" i="8"/>
  <c r="G89" i="8"/>
  <c r="H109" i="8"/>
  <c r="R10" i="1" s="1"/>
  <c r="N85" i="8"/>
  <c r="N113" i="8"/>
  <c r="J113" i="8"/>
  <c r="K113" i="8" s="1"/>
  <c r="N86" i="8"/>
  <c r="R9" i="8"/>
  <c r="C616" i="5"/>
  <c r="K616" i="5" s="1" a="1"/>
  <c r="K616" i="5" s="1"/>
  <c r="C615" i="5"/>
  <c r="K615" i="5" s="1" a="1"/>
  <c r="K615" i="5" s="1"/>
  <c r="C614" i="5"/>
  <c r="H614" i="5" s="1" a="1"/>
  <c r="H614" i="5" s="1"/>
  <c r="C613" i="5"/>
  <c r="K613" i="5" s="1" a="1"/>
  <c r="K613" i="5" s="1"/>
  <c r="C612" i="5"/>
  <c r="K612" i="5" s="1" a="1"/>
  <c r="K612" i="5" s="1"/>
  <c r="C611" i="5"/>
  <c r="K611" i="5" s="1" a="1"/>
  <c r="K611" i="5" s="1"/>
  <c r="D27" i="9"/>
  <c r="Q8" i="1" s="1"/>
  <c r="L249" i="10"/>
  <c r="L248" i="10"/>
  <c r="L247" i="10"/>
  <c r="L246" i="10"/>
  <c r="L245" i="10"/>
  <c r="L195" i="10"/>
  <c r="L207" i="10"/>
  <c r="I12" i="8"/>
  <c r="N162" i="5" l="1"/>
  <c r="M164" i="5"/>
  <c r="G25" i="8"/>
  <c r="N25" i="8" s="1"/>
  <c r="G26" i="8"/>
  <c r="N257" i="12"/>
  <c r="G30" i="8"/>
  <c r="H18" i="8" s="1"/>
  <c r="N18" i="8" s="1"/>
  <c r="O18" i="8" s="1"/>
  <c r="O25" i="8"/>
  <c r="K17" i="8"/>
  <c r="O17" i="8" s="1"/>
  <c r="J21" i="8"/>
  <c r="K21" i="8" s="1"/>
  <c r="O21" i="8" s="1"/>
  <c r="N152" i="12"/>
  <c r="N153" i="12" s="1"/>
  <c r="O149" i="12"/>
  <c r="O253" i="12"/>
  <c r="G493" i="5" a="1"/>
  <c r="N290" i="8"/>
  <c r="J289" i="8"/>
  <c r="N292" i="8"/>
  <c r="N289" i="8"/>
  <c r="N291" i="8"/>
  <c r="H310" i="8"/>
  <c r="E9" i="1" s="1"/>
  <c r="K308" i="12"/>
  <c r="O308" i="12" s="1"/>
  <c r="O256" i="12"/>
  <c r="O144" i="12"/>
  <c r="J162" i="12"/>
  <c r="K52" i="12"/>
  <c r="K56" i="12" s="1"/>
  <c r="J56" i="12"/>
  <c r="G535" i="5" a="1"/>
  <c r="G520" i="5" a="1"/>
  <c r="N232" i="5"/>
  <c r="I239" i="5"/>
  <c r="S24" i="1" s="1"/>
  <c r="U24" i="1" s="1"/>
  <c r="J212" i="5"/>
  <c r="I219" i="5"/>
  <c r="S21" i="1" s="1"/>
  <c r="U21" i="1" s="1"/>
  <c r="J202" i="5"/>
  <c r="I209" i="5"/>
  <c r="J222" i="5"/>
  <c r="J229" i="5" s="1"/>
  <c r="H616" i="5" a="1"/>
  <c r="H616" i="5" s="1"/>
  <c r="L101" i="8" a="1"/>
  <c r="L101" i="8" s="1"/>
  <c r="N101" i="8" s="1"/>
  <c r="N45" i="12"/>
  <c r="L95" i="8" a="1"/>
  <c r="L95" i="8" s="1"/>
  <c r="N95" i="8" s="1"/>
  <c r="N232" i="8"/>
  <c r="L100" i="8" a="1"/>
  <c r="L100" i="8" s="1"/>
  <c r="N100" i="8" s="1"/>
  <c r="N171" i="8"/>
  <c r="J229" i="8"/>
  <c r="K229" i="8" s="1"/>
  <c r="O92" i="12"/>
  <c r="N168" i="8"/>
  <c r="N230" i="8"/>
  <c r="N170" i="8"/>
  <c r="L94" i="8" a="1"/>
  <c r="L94" i="8" s="1"/>
  <c r="N229" i="8"/>
  <c r="N169" i="8"/>
  <c r="N231" i="8"/>
  <c r="N38" i="12"/>
  <c r="H321" i="12"/>
  <c r="E10" i="1" s="1"/>
  <c r="N39" i="12"/>
  <c r="O40" i="12"/>
  <c r="H611" i="5" a="1"/>
  <c r="H611" i="5" s="1"/>
  <c r="H612" i="5" a="1"/>
  <c r="H612" i="5" s="1"/>
  <c r="K106" i="12"/>
  <c r="K108" i="12" s="1"/>
  <c r="O53" i="12"/>
  <c r="N56" i="12"/>
  <c r="N108" i="12"/>
  <c r="J224" i="8"/>
  <c r="J245" i="8"/>
  <c r="O243" i="8"/>
  <c r="K116" i="8"/>
  <c r="J163" i="8"/>
  <c r="O160" i="8"/>
  <c r="N116" i="8"/>
  <c r="J185" i="8"/>
  <c r="O183" i="8"/>
  <c r="K185" i="8"/>
  <c r="N185" i="8"/>
  <c r="K89" i="8"/>
  <c r="N89" i="8"/>
  <c r="J89" i="8"/>
  <c r="J116" i="8"/>
  <c r="L96" i="8" a="1"/>
  <c r="L96" i="8" s="1"/>
  <c r="N96" i="8" s="1"/>
  <c r="L97" i="8" a="1"/>
  <c r="L97" i="8" s="1"/>
  <c r="N97" i="8" s="1"/>
  <c r="L105" i="8" a="1"/>
  <c r="L105" i="8" s="1"/>
  <c r="N105" i="8" s="1"/>
  <c r="O105" i="8" s="1"/>
  <c r="O113" i="8"/>
  <c r="O86" i="8"/>
  <c r="O85" i="8"/>
  <c r="K614" i="5" a="1"/>
  <c r="K614" i="5" s="1"/>
  <c r="H613" i="5" a="1"/>
  <c r="H613" i="5" s="1"/>
  <c r="H615" i="5" a="1"/>
  <c r="H615" i="5" s="1"/>
  <c r="T19" i="1"/>
  <c r="E141" i="10"/>
  <c r="D55" i="10"/>
  <c r="D54" i="10"/>
  <c r="E127" i="10"/>
  <c r="E126" i="10"/>
  <c r="E125" i="10"/>
  <c r="E124" i="10"/>
  <c r="E123" i="10"/>
  <c r="E122" i="10"/>
  <c r="K526" i="5" a="1"/>
  <c r="K526" i="5" s="1"/>
  <c r="C57" i="1" l="1"/>
  <c r="N46" i="12"/>
  <c r="O46" i="12" s="1"/>
  <c r="N164" i="5"/>
  <c r="J81" i="8"/>
  <c r="O152" i="12"/>
  <c r="J215" i="12"/>
  <c r="J266" i="12"/>
  <c r="O52" i="12"/>
  <c r="K243" i="12"/>
  <c r="N26" i="8"/>
  <c r="O26" i="8" s="1"/>
  <c r="L197" i="12" a="1"/>
  <c r="L197" i="12" s="1"/>
  <c r="N197" i="12" s="1"/>
  <c r="O197" i="12" s="1"/>
  <c r="K522" i="5" a="1"/>
  <c r="K522" i="5" s="1"/>
  <c r="L201" i="12" a="1"/>
  <c r="L201" i="12" s="1"/>
  <c r="N201" i="12" s="1"/>
  <c r="O201" i="12" s="1"/>
  <c r="K527" i="5" a="1"/>
  <c r="K527" i="5" s="1"/>
  <c r="L195" i="12" a="1"/>
  <c r="L195" i="12" s="1"/>
  <c r="N195" i="12" s="1"/>
  <c r="K520" i="5" a="1"/>
  <c r="K520" i="5" s="1"/>
  <c r="K521" i="5" a="1"/>
  <c r="K521" i="5" s="1"/>
  <c r="L196" i="12" a="1"/>
  <c r="L196" i="12" s="1"/>
  <c r="N196" i="12" s="1"/>
  <c r="O196" i="12" s="1"/>
  <c r="G493" i="5"/>
  <c r="O291" i="8"/>
  <c r="O292" i="8"/>
  <c r="O290" i="8"/>
  <c r="J296" i="8"/>
  <c r="J297" i="8" s="1"/>
  <c r="K289" i="8"/>
  <c r="O289" i="8" s="1"/>
  <c r="O232" i="8"/>
  <c r="N277" i="8"/>
  <c r="J277" i="8"/>
  <c r="N296" i="8"/>
  <c r="N297" i="8" s="1"/>
  <c r="K277" i="8"/>
  <c r="J318" i="12"/>
  <c r="K309" i="12"/>
  <c r="N318" i="12"/>
  <c r="P318" i="12"/>
  <c r="K215" i="12"/>
  <c r="K257" i="12"/>
  <c r="N266" i="12"/>
  <c r="P266" i="12"/>
  <c r="K153" i="12"/>
  <c r="N162" i="12"/>
  <c r="O38" i="12"/>
  <c r="G520" i="5"/>
  <c r="G535" i="5"/>
  <c r="I199" i="5"/>
  <c r="S19" i="1" s="1"/>
  <c r="U19" i="1" s="1"/>
  <c r="N212" i="5"/>
  <c r="J219" i="5"/>
  <c r="N202" i="5"/>
  <c r="J209" i="5"/>
  <c r="J199" i="5"/>
  <c r="N222" i="5"/>
  <c r="O45" i="12"/>
  <c r="S20" i="1"/>
  <c r="T20" i="1"/>
  <c r="O101" i="8"/>
  <c r="O169" i="8"/>
  <c r="O231" i="8"/>
  <c r="N178" i="8"/>
  <c r="N179" i="8" s="1"/>
  <c r="O170" i="8"/>
  <c r="N101" i="12"/>
  <c r="O100" i="8"/>
  <c r="O230" i="8"/>
  <c r="O171" i="8"/>
  <c r="O95" i="8"/>
  <c r="N238" i="8"/>
  <c r="N239" i="8" s="1"/>
  <c r="J238" i="8"/>
  <c r="J239" i="8" s="1"/>
  <c r="K102" i="12"/>
  <c r="J102" i="12"/>
  <c r="J178" i="8"/>
  <c r="J179" i="8" s="1"/>
  <c r="O39" i="12"/>
  <c r="O106" i="12"/>
  <c r="J87" i="12"/>
  <c r="N87" i="12"/>
  <c r="K238" i="8"/>
  <c r="K239" i="8" s="1"/>
  <c r="O229" i="8"/>
  <c r="K163" i="8"/>
  <c r="K178" i="8"/>
  <c r="O168" i="8"/>
  <c r="O96" i="8"/>
  <c r="O97" i="8"/>
  <c r="Q13" i="5"/>
  <c r="E230" i="10"/>
  <c r="M623" i="5" l="1"/>
  <c r="I623" i="5"/>
  <c r="J623" i="5" s="1"/>
  <c r="M625" i="5"/>
  <c r="I625" i="5"/>
  <c r="J625" i="5" s="1"/>
  <c r="I626" i="5"/>
  <c r="J626" i="5" s="1"/>
  <c r="M626" i="5"/>
  <c r="I624" i="5"/>
  <c r="J624" i="5" s="1"/>
  <c r="M624" i="5"/>
  <c r="N48" i="12"/>
  <c r="K266" i="12"/>
  <c r="Q266" i="12" s="1"/>
  <c r="K162" i="12"/>
  <c r="P162" i="12"/>
  <c r="N205" i="12"/>
  <c r="O205" i="12" s="1"/>
  <c r="O195" i="12"/>
  <c r="M493" i="5"/>
  <c r="I493" i="5"/>
  <c r="N307" i="8"/>
  <c r="T13" i="1" s="1"/>
  <c r="J307" i="8"/>
  <c r="K296" i="8"/>
  <c r="O296" i="8" s="1"/>
  <c r="P307" i="8" s="1"/>
  <c r="K318" i="12"/>
  <c r="Q318" i="12" s="1"/>
  <c r="K48" i="12"/>
  <c r="M535" i="5"/>
  <c r="I535" i="5"/>
  <c r="M520" i="5"/>
  <c r="I520" i="5"/>
  <c r="U20" i="1"/>
  <c r="J111" i="12"/>
  <c r="O101" i="12"/>
  <c r="P111" i="12" s="1"/>
  <c r="O178" i="8"/>
  <c r="N102" i="12"/>
  <c r="N111" i="12" s="1"/>
  <c r="K87" i="12"/>
  <c r="K111" i="12" s="1"/>
  <c r="O238" i="8"/>
  <c r="N217" i="8"/>
  <c r="N248" i="8" s="1"/>
  <c r="T12" i="1" s="1"/>
  <c r="K217" i="8"/>
  <c r="K248" i="8" s="1"/>
  <c r="J217" i="8"/>
  <c r="J248" i="8" s="1"/>
  <c r="S12" i="1" s="1"/>
  <c r="K179" i="8"/>
  <c r="N626" i="5" l="1"/>
  <c r="N625" i="5"/>
  <c r="N624" i="5"/>
  <c r="N623" i="5"/>
  <c r="N206" i="12"/>
  <c r="N215" i="12" s="1"/>
  <c r="J48" i="12"/>
  <c r="J325" i="12" s="1"/>
  <c r="J334" i="12" s="1"/>
  <c r="J335" i="12" s="1"/>
  <c r="Q162" i="12"/>
  <c r="P215" i="12"/>
  <c r="U12" i="1"/>
  <c r="J493" i="5"/>
  <c r="S13" i="1"/>
  <c r="U13" i="1" s="1"/>
  <c r="K297" i="8"/>
  <c r="J520" i="5"/>
  <c r="J535" i="5"/>
  <c r="P248" i="8"/>
  <c r="Q248" i="8" s="1"/>
  <c r="Q111" i="12"/>
  <c r="N94" i="8"/>
  <c r="K325" i="12" l="1"/>
  <c r="O325" i="12" s="1"/>
  <c r="Q215" i="12"/>
  <c r="N493" i="5"/>
  <c r="N520" i="5"/>
  <c r="K307" i="8"/>
  <c r="Q307" i="8" s="1"/>
  <c r="J59" i="12"/>
  <c r="N535" i="5"/>
  <c r="N108" i="8"/>
  <c r="N109" i="8" s="1"/>
  <c r="J108" i="8"/>
  <c r="J109" i="8" s="1"/>
  <c r="J359" i="8" s="1"/>
  <c r="O94" i="8"/>
  <c r="K59" i="12" l="1"/>
  <c r="K321" i="12" s="1"/>
  <c r="J321" i="12"/>
  <c r="F10" i="1" s="1"/>
  <c r="K108" i="8"/>
  <c r="O108" i="8" s="1"/>
  <c r="P59" i="12" l="1"/>
  <c r="P321" i="12" s="1"/>
  <c r="N59" i="12"/>
  <c r="K109" i="8"/>
  <c r="C65" i="1"/>
  <c r="N321" i="12" l="1"/>
  <c r="G10" i="1" s="1"/>
  <c r="Q59" i="12"/>
  <c r="B29" i="2"/>
  <c r="B22" i="2"/>
  <c r="C3" i="3"/>
  <c r="C4" i="3"/>
  <c r="C2" i="3"/>
  <c r="I10" i="1" l="1"/>
  <c r="Q321" i="12"/>
  <c r="C4" i="2"/>
  <c r="C3" i="2"/>
  <c r="C2" i="2"/>
  <c r="BJ163" i="3" l="1"/>
  <c r="BK163" i="3"/>
  <c r="BL163" i="3"/>
  <c r="BM163" i="3"/>
  <c r="CF163" i="3"/>
  <c r="CG163" i="3"/>
  <c r="CH163" i="3"/>
  <c r="CI163" i="3"/>
  <c r="CJ163" i="3"/>
  <c r="CK163" i="3"/>
  <c r="BH164" i="3"/>
  <c r="BJ164" i="3"/>
  <c r="BK164" i="3"/>
  <c r="BL164" i="3"/>
  <c r="BM164" i="3"/>
  <c r="CF164" i="3"/>
  <c r="CG164" i="3"/>
  <c r="CH164" i="3"/>
  <c r="CI164" i="3"/>
  <c r="CJ164" i="3"/>
  <c r="CK164" i="3"/>
  <c r="BH165" i="3"/>
  <c r="BJ165" i="3"/>
  <c r="BK165" i="3"/>
  <c r="BL165" i="3"/>
  <c r="BM165" i="3"/>
  <c r="CF165" i="3"/>
  <c r="CG165" i="3"/>
  <c r="CH165" i="3"/>
  <c r="CI165" i="3"/>
  <c r="CJ165" i="3"/>
  <c r="CK165" i="3"/>
  <c r="BH166" i="3"/>
  <c r="BJ166" i="3"/>
  <c r="BK166" i="3"/>
  <c r="BL166" i="3"/>
  <c r="BM166" i="3"/>
  <c r="CF166" i="3"/>
  <c r="CG166" i="3"/>
  <c r="CH166" i="3"/>
  <c r="CI166" i="3"/>
  <c r="CJ166" i="3"/>
  <c r="CK166" i="3"/>
  <c r="BJ167" i="3"/>
  <c r="BK167" i="3"/>
  <c r="BL167" i="3"/>
  <c r="BM167" i="3"/>
  <c r="CF167" i="3"/>
  <c r="CG167" i="3"/>
  <c r="CH167" i="3"/>
  <c r="CI167" i="3"/>
  <c r="CJ167" i="3"/>
  <c r="CK167" i="3"/>
  <c r="BH168" i="3"/>
  <c r="BJ168" i="3"/>
  <c r="BK168" i="3"/>
  <c r="BL168" i="3"/>
  <c r="BM168" i="3"/>
  <c r="CF168" i="3"/>
  <c r="CG168" i="3"/>
  <c r="CH168" i="3"/>
  <c r="CI168" i="3"/>
  <c r="CJ168" i="3"/>
  <c r="CK168" i="3"/>
  <c r="BH169" i="3"/>
  <c r="BI169" i="3"/>
  <c r="BJ169" i="3"/>
  <c r="BK169" i="3"/>
  <c r="BL169" i="3"/>
  <c r="BM169" i="3"/>
  <c r="CF169" i="3"/>
  <c r="CG169" i="3"/>
  <c r="CH169" i="3"/>
  <c r="CI169" i="3"/>
  <c r="CJ169" i="3"/>
  <c r="CK169" i="3"/>
  <c r="BH183" i="3"/>
  <c r="BI183" i="3"/>
  <c r="BJ183" i="3"/>
  <c r="BK183" i="3"/>
  <c r="BL183" i="3"/>
  <c r="BM183" i="3"/>
  <c r="CF183" i="3"/>
  <c r="CG183" i="3"/>
  <c r="CH183" i="3"/>
  <c r="CI183" i="3"/>
  <c r="CJ183" i="3"/>
  <c r="CK183" i="3"/>
  <c r="BH184" i="3"/>
  <c r="BI184" i="3"/>
  <c r="BJ184" i="3"/>
  <c r="BK184" i="3"/>
  <c r="BL184" i="3"/>
  <c r="BM184" i="3"/>
  <c r="CF184" i="3"/>
  <c r="CG184" i="3"/>
  <c r="CH184" i="3"/>
  <c r="CI184" i="3"/>
  <c r="CJ184" i="3"/>
  <c r="CK184" i="3"/>
  <c r="BH185" i="3"/>
  <c r="BI185" i="3"/>
  <c r="BJ185" i="3"/>
  <c r="BK185" i="3"/>
  <c r="BL185" i="3"/>
  <c r="BM185" i="3"/>
  <c r="CF185" i="3"/>
  <c r="CG185" i="3"/>
  <c r="CH185" i="3"/>
  <c r="CI185" i="3"/>
  <c r="CJ185" i="3"/>
  <c r="CK185" i="3"/>
  <c r="BH186" i="3"/>
  <c r="BI186" i="3"/>
  <c r="BJ186" i="3"/>
  <c r="BK186" i="3"/>
  <c r="BL186" i="3"/>
  <c r="BM186" i="3"/>
  <c r="CF186" i="3"/>
  <c r="CG186" i="3"/>
  <c r="CH186" i="3"/>
  <c r="CI186" i="3"/>
  <c r="CJ186" i="3"/>
  <c r="CK186" i="3"/>
  <c r="BH187" i="3"/>
  <c r="BI187" i="3"/>
  <c r="BJ187" i="3"/>
  <c r="BK187" i="3"/>
  <c r="BL187" i="3"/>
  <c r="BM187" i="3"/>
  <c r="CF187" i="3"/>
  <c r="CG187" i="3"/>
  <c r="CH187" i="3"/>
  <c r="CI187" i="3"/>
  <c r="CJ187" i="3"/>
  <c r="CK187" i="3"/>
  <c r="BH206" i="3"/>
  <c r="BI206" i="3"/>
  <c r="BJ206" i="3"/>
  <c r="BK206" i="3"/>
  <c r="BL206" i="3"/>
  <c r="BM206" i="3"/>
  <c r="CF206" i="3"/>
  <c r="CG206" i="3"/>
  <c r="CH206" i="3"/>
  <c r="CI206" i="3"/>
  <c r="CJ206" i="3"/>
  <c r="CK206" i="3"/>
  <c r="BH221" i="3"/>
  <c r="BI221" i="3"/>
  <c r="BJ221" i="3"/>
  <c r="BK221" i="3"/>
  <c r="BL221" i="3"/>
  <c r="BM221" i="3"/>
  <c r="CF221" i="3"/>
  <c r="CG221" i="3"/>
  <c r="CH221" i="3"/>
  <c r="CI221" i="3"/>
  <c r="CJ221" i="3"/>
  <c r="CK221" i="3"/>
  <c r="BH222" i="3"/>
  <c r="BI222" i="3"/>
  <c r="BJ222" i="3"/>
  <c r="BK222" i="3"/>
  <c r="BL222" i="3"/>
  <c r="BM222" i="3"/>
  <c r="CF222" i="3"/>
  <c r="CG222" i="3"/>
  <c r="CH222" i="3"/>
  <c r="CI222" i="3"/>
  <c r="CJ222" i="3"/>
  <c r="CK222" i="3"/>
  <c r="BN162" i="3"/>
  <c r="CG162" i="3"/>
  <c r="CH162" i="3"/>
  <c r="CI162" i="3"/>
  <c r="CJ162" i="3"/>
  <c r="CK162" i="3"/>
  <c r="CF162" i="3"/>
  <c r="BO162" i="3"/>
  <c r="BP162" i="3"/>
  <c r="BQ162" i="3"/>
  <c r="BR162" i="3"/>
  <c r="BS162" i="3"/>
  <c r="BT162" i="3"/>
  <c r="BU162" i="3"/>
  <c r="BV162" i="3"/>
  <c r="BM162" i="3"/>
  <c r="BJ162" i="3"/>
  <c r="BK162" i="3"/>
  <c r="BL162" i="3"/>
  <c r="AW162" i="3"/>
  <c r="AZ162" i="3"/>
  <c r="BA162" i="3"/>
  <c r="AV162" i="3"/>
  <c r="BH162" i="3"/>
  <c r="AD162" i="3"/>
  <c r="AE162" i="3"/>
  <c r="AF162" i="3"/>
  <c r="AG162" i="3"/>
  <c r="AH162" i="3"/>
  <c r="AI162" i="3"/>
  <c r="V162" i="3"/>
  <c r="W162" i="3"/>
  <c r="X162" i="3"/>
  <c r="Y162" i="3"/>
  <c r="Z162" i="3"/>
  <c r="AA162" i="3"/>
  <c r="CK302" i="3" l="1"/>
  <c r="CK304" i="3" s="1"/>
  <c r="CJ302" i="3"/>
  <c r="CJ304" i="3" s="1"/>
  <c r="CF302" i="3"/>
  <c r="CF304" i="3" s="1"/>
  <c r="C15" i="1"/>
  <c r="K484" i="5" l="1" a="1"/>
  <c r="K484" i="5" s="1"/>
  <c r="K485" i="5" a="1"/>
  <c r="K485" i="5" s="1"/>
  <c r="H485" i="5" a="1"/>
  <c r="H485" i="5" s="1"/>
  <c r="H481" i="5" a="1"/>
  <c r="H481" i="5" s="1"/>
  <c r="K481" i="5" a="1"/>
  <c r="K481" i="5" s="1"/>
  <c r="H482" i="5" a="1"/>
  <c r="H482" i="5" s="1"/>
  <c r="K482" i="5" a="1"/>
  <c r="K482" i="5" s="1"/>
  <c r="H483" i="5" a="1"/>
  <c r="H483" i="5" s="1"/>
  <c r="K483" i="5" a="1"/>
  <c r="K483" i="5" s="1"/>
  <c r="H480" i="5" a="1"/>
  <c r="H480" i="5" s="1"/>
  <c r="H484" i="5" a="1"/>
  <c r="H484" i="5" s="1"/>
  <c r="K480" i="5" a="1"/>
  <c r="K480" i="5" s="1"/>
  <c r="N349" i="8" l="1"/>
  <c r="J349" i="8"/>
  <c r="K349" i="8" s="1"/>
  <c r="N347" i="8"/>
  <c r="J347" i="8"/>
  <c r="K347" i="8" s="1"/>
  <c r="N346" i="8"/>
  <c r="J346" i="8"/>
  <c r="K346" i="8" s="1"/>
  <c r="N344" i="8"/>
  <c r="J344" i="8"/>
  <c r="K344" i="8" s="1"/>
  <c r="N342" i="8"/>
  <c r="J342" i="8"/>
  <c r="K342" i="8" s="1"/>
  <c r="O349" i="8" l="1"/>
  <c r="O344" i="8"/>
  <c r="O346" i="8"/>
  <c r="O347" i="8"/>
  <c r="O342" i="8"/>
  <c r="BV302" i="3" l="1"/>
  <c r="BV304" i="3" s="1"/>
  <c r="BU302" i="3"/>
  <c r="BU304" i="3" s="1"/>
  <c r="BT302" i="3"/>
  <c r="BT304" i="3" s="1"/>
  <c r="BS302" i="3"/>
  <c r="BS304" i="3" s="1"/>
  <c r="BR302" i="3"/>
  <c r="BR304" i="3" s="1"/>
  <c r="BP302" i="3"/>
  <c r="BP304" i="3" s="1"/>
  <c r="BO302" i="3"/>
  <c r="BO304" i="3" s="1"/>
  <c r="BN302" i="3"/>
  <c r="BN304" i="3" s="1"/>
  <c r="BM302" i="3"/>
  <c r="BM304" i="3" s="1"/>
  <c r="BL302" i="3"/>
  <c r="BL304" i="3" s="1"/>
  <c r="BK302" i="3"/>
  <c r="BK304" i="3" s="1"/>
  <c r="BJ302" i="3"/>
  <c r="BJ304" i="3" s="1"/>
  <c r="AI302" i="3"/>
  <c r="AI304" i="3" s="1"/>
  <c r="AH302" i="3"/>
  <c r="AH304" i="3" s="1"/>
  <c r="AG302" i="3"/>
  <c r="AG304" i="3" s="1"/>
  <c r="AF302" i="3"/>
  <c r="AF304" i="3" s="1"/>
  <c r="AE302" i="3"/>
  <c r="AE304" i="3" s="1"/>
  <c r="AA302" i="3"/>
  <c r="AA304" i="3" s="1"/>
  <c r="Z302" i="3"/>
  <c r="Z304" i="3" s="1"/>
  <c r="Y302" i="3"/>
  <c r="Y304" i="3" s="1"/>
  <c r="X302" i="3"/>
  <c r="X304" i="3" s="1"/>
  <c r="W302" i="3"/>
  <c r="W304" i="3" s="1"/>
  <c r="V302" i="3"/>
  <c r="V304" i="3" s="1"/>
  <c r="DC183" i="3"/>
  <c r="DB183" i="3"/>
  <c r="DB187" i="3" l="1"/>
  <c r="DC187" i="3"/>
  <c r="BB187" i="3" s="1"/>
  <c r="H81" i="8"/>
  <c r="U187" i="3" l="1"/>
  <c r="AO187" i="3"/>
  <c r="AO302" i="3" s="1"/>
  <c r="AO304" i="3" s="1"/>
  <c r="D209" i="3"/>
  <c r="F147" i="5" s="1"/>
  <c r="D184" i="3"/>
  <c r="F15" i="5" s="1"/>
  <c r="D222" i="3"/>
  <c r="F418" i="5" l="1"/>
  <c r="M418" i="5" s="1"/>
  <c r="M15" i="5"/>
  <c r="I15" i="5"/>
  <c r="J15" i="5" s="1"/>
  <c r="M147" i="5"/>
  <c r="I147" i="5"/>
  <c r="J147" i="5" s="1"/>
  <c r="M148" i="5"/>
  <c r="I148" i="5"/>
  <c r="J148" i="5" s="1"/>
  <c r="M149" i="5"/>
  <c r="I149" i="5"/>
  <c r="J149" i="5" s="1"/>
  <c r="M27" i="5"/>
  <c r="I27" i="5"/>
  <c r="J27" i="5" s="1"/>
  <c r="DC186" i="3"/>
  <c r="BB186" i="3" s="1"/>
  <c r="DB186" i="3"/>
  <c r="DB210" i="3"/>
  <c r="DC210" i="3"/>
  <c r="AX210" i="3" s="1"/>
  <c r="DC185" i="3"/>
  <c r="DB185" i="3"/>
  <c r="DB222" i="3"/>
  <c r="DC222" i="3"/>
  <c r="DC211" i="3"/>
  <c r="DB211" i="3"/>
  <c r="DB184" i="3"/>
  <c r="DC184" i="3"/>
  <c r="DB209" i="3"/>
  <c r="DC209" i="3"/>
  <c r="BD209" i="3" s="1"/>
  <c r="D162" i="3"/>
  <c r="K364" i="5" a="1"/>
  <c r="K364" i="5" s="1"/>
  <c r="H368" i="5" a="1"/>
  <c r="H368" i="5" s="1"/>
  <c r="H364" i="5" a="1"/>
  <c r="H364" i="5" s="1"/>
  <c r="K367" i="5" a="1"/>
  <c r="K367" i="5" s="1"/>
  <c r="K366" i="5" a="1"/>
  <c r="K366" i="5" s="1"/>
  <c r="K365" i="5" a="1"/>
  <c r="K365" i="5" s="1"/>
  <c r="K368" i="5" a="1"/>
  <c r="K368" i="5" s="1"/>
  <c r="K363" i="5" a="1"/>
  <c r="K363" i="5" s="1"/>
  <c r="H363" i="5" a="1"/>
  <c r="H363" i="5" s="1"/>
  <c r="H367" i="5" a="1"/>
  <c r="H367" i="5" s="1"/>
  <c r="H366" i="5" a="1"/>
  <c r="H366" i="5" s="1"/>
  <c r="H365" i="5" a="1"/>
  <c r="H365" i="5" s="1"/>
  <c r="E156" i="3"/>
  <c r="F242" i="5" s="1"/>
  <c r="D13" i="1" s="1"/>
  <c r="I418" i="5" l="1"/>
  <c r="J418" i="5" s="1"/>
  <c r="M417" i="5"/>
  <c r="M427" i="5" s="1"/>
  <c r="I417" i="5"/>
  <c r="J417" i="5" s="1"/>
  <c r="F81" i="5"/>
  <c r="F86" i="5" s="1"/>
  <c r="N147" i="5"/>
  <c r="N15" i="5"/>
  <c r="N149" i="5"/>
  <c r="N148" i="5"/>
  <c r="N27" i="5"/>
  <c r="U184" i="3"/>
  <c r="AD184" i="3"/>
  <c r="BQ184" i="3"/>
  <c r="BQ302" i="3" s="1"/>
  <c r="BQ304" i="3" s="1"/>
  <c r="G432" i="5" s="1" a="1"/>
  <c r="DB166" i="3"/>
  <c r="DC166" i="3"/>
  <c r="BC166" i="3" s="1"/>
  <c r="BC302" i="3" s="1"/>
  <c r="BC304" i="3" s="1"/>
  <c r="DC168" i="3"/>
  <c r="DB169" i="3"/>
  <c r="M88" i="5"/>
  <c r="I88" i="5"/>
  <c r="J88" i="5" s="1"/>
  <c r="DC167" i="3"/>
  <c r="M92" i="5"/>
  <c r="I92" i="5"/>
  <c r="J92" i="5" s="1"/>
  <c r="F108" i="5"/>
  <c r="M106" i="5"/>
  <c r="I106" i="5"/>
  <c r="J106" i="5" s="1"/>
  <c r="DB167" i="3"/>
  <c r="M97" i="5"/>
  <c r="I97" i="5"/>
  <c r="J97" i="5" s="1"/>
  <c r="M99" i="5"/>
  <c r="N99" i="5" s="1"/>
  <c r="DC169" i="3"/>
  <c r="DC221" i="3"/>
  <c r="DB221" i="3"/>
  <c r="T221" i="3" s="1"/>
  <c r="DB168" i="3"/>
  <c r="AM168" i="3" s="1"/>
  <c r="F159" i="5"/>
  <c r="Q17" i="1" s="1"/>
  <c r="BA166" i="3"/>
  <c r="BA168" i="3"/>
  <c r="BA167" i="3"/>
  <c r="T168" i="3"/>
  <c r="AC168" i="3"/>
  <c r="AC167" i="3"/>
  <c r="T167" i="3"/>
  <c r="T169" i="3"/>
  <c r="AC169" i="3"/>
  <c r="Q15" i="1"/>
  <c r="Q14" i="1"/>
  <c r="F76" i="5"/>
  <c r="D11" i="1" s="1"/>
  <c r="BI166" i="3"/>
  <c r="BI167" i="3"/>
  <c r="CH302" i="3"/>
  <c r="CH304" i="3" s="1"/>
  <c r="BI168" i="3"/>
  <c r="I427" i="5" l="1"/>
  <c r="J427" i="5"/>
  <c r="N418" i="5"/>
  <c r="N417" i="5"/>
  <c r="F84" i="5"/>
  <c r="F83" i="5"/>
  <c r="M83" i="5" s="1"/>
  <c r="N83" i="5" s="1"/>
  <c r="M81" i="5"/>
  <c r="G432" i="5"/>
  <c r="E8" i="9"/>
  <c r="E9" i="9"/>
  <c r="M84" i="5"/>
  <c r="N84" i="5" s="1"/>
  <c r="F85" i="5"/>
  <c r="I81" i="5"/>
  <c r="J81" i="5" s="1"/>
  <c r="AC166" i="3"/>
  <c r="AM166" i="3"/>
  <c r="F172" i="5"/>
  <c r="Q18" i="1" s="1"/>
  <c r="M113" i="5"/>
  <c r="M108" i="5"/>
  <c r="AB168" i="3"/>
  <c r="S168" i="3"/>
  <c r="AN168" i="3"/>
  <c r="T166" i="3"/>
  <c r="AB169" i="3"/>
  <c r="AM169" i="3"/>
  <c r="S169" i="3"/>
  <c r="S167" i="3"/>
  <c r="AB167" i="3"/>
  <c r="BB167" i="3"/>
  <c r="BB302" i="3" s="1"/>
  <c r="BB304" i="3" s="1"/>
  <c r="BH167" i="3"/>
  <c r="N97" i="5"/>
  <c r="N88" i="5"/>
  <c r="I123" i="5"/>
  <c r="J123" i="5" s="1"/>
  <c r="M123" i="5"/>
  <c r="I111" i="5"/>
  <c r="J111" i="5" s="1"/>
  <c r="M111" i="5"/>
  <c r="N92" i="5"/>
  <c r="I118" i="5"/>
  <c r="J118" i="5" s="1"/>
  <c r="M118" i="5"/>
  <c r="N106" i="5"/>
  <c r="N326" i="12"/>
  <c r="N328" i="12" s="1"/>
  <c r="J326" i="12"/>
  <c r="H337" i="8"/>
  <c r="M432" i="5" l="1"/>
  <c r="J432" i="5"/>
  <c r="N432" i="5" s="1"/>
  <c r="G443" i="5"/>
  <c r="G558" i="5" s="1"/>
  <c r="E14" i="1" s="1"/>
  <c r="N81" i="5"/>
  <c r="K9" i="9"/>
  <c r="G9" i="9"/>
  <c r="H9" i="9" s="1"/>
  <c r="K8" i="9"/>
  <c r="G8" i="9"/>
  <c r="H8" i="9" s="1"/>
  <c r="E27" i="9"/>
  <c r="R8" i="1" s="1"/>
  <c r="M85" i="5"/>
  <c r="N85" i="5" s="1"/>
  <c r="M86" i="5"/>
  <c r="M90" i="5"/>
  <c r="N113" i="5"/>
  <c r="N108" i="5"/>
  <c r="N123" i="5"/>
  <c r="N118" i="5"/>
  <c r="N111" i="5"/>
  <c r="K326" i="12"/>
  <c r="J328" i="12"/>
  <c r="K27" i="9" l="1"/>
  <c r="G8" i="1" s="1"/>
  <c r="L9" i="9"/>
  <c r="L8" i="9"/>
  <c r="J141" i="5"/>
  <c r="N86" i="5"/>
  <c r="N90" i="5"/>
  <c r="O326" i="12"/>
  <c r="P328" i="12" s="1"/>
  <c r="K328" i="12"/>
  <c r="K337" i="8"/>
  <c r="K353" i="8" s="1"/>
  <c r="J337" i="8"/>
  <c r="J353" i="8" s="1"/>
  <c r="S39" i="1" s="1"/>
  <c r="K188" i="8"/>
  <c r="T8" i="1" l="1"/>
  <c r="P330" i="12"/>
  <c r="Q328" i="12"/>
  <c r="P353" i="8"/>
  <c r="N337" i="8"/>
  <c r="N353" i="8" s="1"/>
  <c r="P188" i="8"/>
  <c r="J172" i="5"/>
  <c r="I172" i="5"/>
  <c r="DB164" i="3"/>
  <c r="AM164" i="3" s="1"/>
  <c r="AM302" i="3" s="1"/>
  <c r="AM304" i="3" s="1"/>
  <c r="DC164" i="3"/>
  <c r="DC165" i="3"/>
  <c r="DB165" i="3"/>
  <c r="S165" i="3" s="1"/>
  <c r="BD165" i="3" l="1"/>
  <c r="S164" i="3"/>
  <c r="AB164" i="3"/>
  <c r="T39" i="1"/>
  <c r="U39" i="1" s="1"/>
  <c r="G15" i="1"/>
  <c r="N188" i="8"/>
  <c r="T11" i="1" s="1"/>
  <c r="BG302" i="3"/>
  <c r="BG304" i="3" s="1"/>
  <c r="BA165" i="3"/>
  <c r="T165" i="3"/>
  <c r="AC165" i="3"/>
  <c r="AC164" i="3"/>
  <c r="T164" i="3"/>
  <c r="S18" i="1"/>
  <c r="Q353" i="8"/>
  <c r="I15" i="1"/>
  <c r="AD302" i="3"/>
  <c r="AD304" i="3" s="1"/>
  <c r="BI165" i="3"/>
  <c r="BI164" i="3"/>
  <c r="Q188" i="8" l="1"/>
  <c r="BA302" i="3"/>
  <c r="BA304" i="3" s="1"/>
  <c r="AZ302" i="3"/>
  <c r="AZ304" i="3" s="1"/>
  <c r="C368" i="8" l="1"/>
  <c r="F15" i="1" l="1"/>
  <c r="H15" i="1" s="1"/>
  <c r="J32" i="9" l="1"/>
  <c r="I32" i="9"/>
  <c r="M640" i="5" l="1"/>
  <c r="N359" i="8"/>
  <c r="N361" i="8" l="1"/>
  <c r="M642" i="5"/>
  <c r="G16" i="1" s="1"/>
  <c r="T40" i="1" l="1"/>
  <c r="J366" i="8" l="1"/>
  <c r="J119" i="8" l="1"/>
  <c r="J188" i="8" l="1"/>
  <c r="S10" i="1"/>
  <c r="J310" i="8" l="1"/>
  <c r="F9" i="1" s="1"/>
  <c r="S11" i="1"/>
  <c r="U11" i="1" s="1"/>
  <c r="J367" i="8"/>
  <c r="J368" i="8" s="1"/>
  <c r="K359" i="8" l="1"/>
  <c r="O359" i="8" s="1"/>
  <c r="P361" i="8" s="1"/>
  <c r="C70" i="1" l="1"/>
  <c r="D66" i="1" l="1"/>
  <c r="F383" i="8"/>
  <c r="F379" i="8"/>
  <c r="K81" i="8" l="1"/>
  <c r="K119" i="8" s="1"/>
  <c r="K310" i="8" s="1"/>
  <c r="E368" i="8"/>
  <c r="G14" i="8"/>
  <c r="N81" i="8" l="1"/>
  <c r="E8" i="1"/>
  <c r="G5" i="9"/>
  <c r="G27" i="9" s="1"/>
  <c r="S8" i="1" s="1"/>
  <c r="U8" i="1" s="1"/>
  <c r="P119" i="8" l="1"/>
  <c r="P310" i="8" s="1"/>
  <c r="P363" i="8" s="1"/>
  <c r="N119" i="8"/>
  <c r="G30" i="9"/>
  <c r="H5" i="9"/>
  <c r="H27" i="9" s="1"/>
  <c r="N310" i="8" l="1"/>
  <c r="Q310" i="8" s="1"/>
  <c r="T10" i="1"/>
  <c r="U10" i="1" s="1"/>
  <c r="Q119" i="8"/>
  <c r="I9" i="1"/>
  <c r="H30" i="9"/>
  <c r="L30" i="9" s="1"/>
  <c r="M32" i="9" s="1"/>
  <c r="G32" i="9"/>
  <c r="F8" i="1"/>
  <c r="J361" i="8"/>
  <c r="K361" i="8"/>
  <c r="Q361" i="8" s="1"/>
  <c r="L5" i="9"/>
  <c r="L27" i="9" s="1"/>
  <c r="H8" i="1" l="1"/>
  <c r="M27" i="9"/>
  <c r="M34" i="9" s="1"/>
  <c r="G9" i="1"/>
  <c r="M76" i="5"/>
  <c r="H10" i="1"/>
  <c r="J76" i="5"/>
  <c r="I76" i="5"/>
  <c r="F11" i="1" s="1"/>
  <c r="S14" i="1" l="1"/>
  <c r="G11" i="1"/>
  <c r="H11" i="1" s="1"/>
  <c r="T14" i="1"/>
  <c r="I8" i="1"/>
  <c r="H32" i="9"/>
  <c r="C5" i="5"/>
  <c r="C4" i="5"/>
  <c r="C3" i="5"/>
  <c r="U14" i="1" l="1"/>
  <c r="O76" i="5"/>
  <c r="I11" i="1" l="1"/>
  <c r="P76" i="5"/>
  <c r="DB162" i="3"/>
  <c r="AC162" i="3" l="1"/>
  <c r="U162" i="3"/>
  <c r="AJ162" i="3"/>
  <c r="AJ302" i="3" s="1"/>
  <c r="AJ304" i="3" s="1"/>
  <c r="T162" i="3"/>
  <c r="DC162" i="3"/>
  <c r="AY162" i="3" s="1"/>
  <c r="AX162" i="3" l="1"/>
  <c r="DC163" i="3" l="1"/>
  <c r="DB163" i="3"/>
  <c r="AB163" i="3" l="1"/>
  <c r="AB302" i="3" s="1"/>
  <c r="AB304" i="3" s="1"/>
  <c r="S163" i="3"/>
  <c r="AV163" i="3"/>
  <c r="AV302" i="3" s="1"/>
  <c r="AV304" i="3" s="1"/>
  <c r="BH163" i="3"/>
  <c r="BH302" i="3" s="1"/>
  <c r="BH304" i="3" s="1"/>
  <c r="BD302" i="3"/>
  <c r="BD304" i="3" s="1"/>
  <c r="G379" i="5" s="1" a="1"/>
  <c r="AX302" i="3"/>
  <c r="AX304" i="3" s="1"/>
  <c r="AN302" i="3"/>
  <c r="AN304" i="3" s="1"/>
  <c r="G272" i="5" s="1" a="1"/>
  <c r="AC163" i="3"/>
  <c r="AC302" i="3" s="1"/>
  <c r="AC304" i="3" s="1"/>
  <c r="T163" i="3"/>
  <c r="U302" i="3"/>
  <c r="U304" i="3" s="1"/>
  <c r="BI163" i="3"/>
  <c r="G261" i="5" l="1" a="1"/>
  <c r="G261" i="5" s="1"/>
  <c r="G379" i="5"/>
  <c r="G272" i="5"/>
  <c r="G589" i="5" s="1"/>
  <c r="M379" i="5" l="1"/>
  <c r="I379" i="5"/>
  <c r="J379" i="5" s="1"/>
  <c r="M589" i="5"/>
  <c r="I589" i="5"/>
  <c r="J589" i="5" s="1"/>
  <c r="M272" i="5"/>
  <c r="I272" i="5"/>
  <c r="J272" i="5" s="1"/>
  <c r="N379" i="5" l="1"/>
  <c r="N589" i="5"/>
  <c r="N272" i="5"/>
  <c r="F141" i="5" l="1"/>
  <c r="D12" i="1" s="1"/>
  <c r="H9" i="1" l="1"/>
  <c r="CG302" i="3" l="1"/>
  <c r="CG304" i="3" s="1"/>
  <c r="AW302" i="3" l="1"/>
  <c r="AW304" i="3" s="1"/>
  <c r="BI302" i="3"/>
  <c r="BI304" i="3" s="1"/>
  <c r="G371" i="5" s="1" a="1"/>
  <c r="G371" i="5" l="1"/>
  <c r="M371" i="5" l="1"/>
  <c r="I371" i="5"/>
  <c r="J371" i="5" s="1"/>
  <c r="I159" i="5"/>
  <c r="N371" i="5" l="1"/>
  <c r="AY302" i="3"/>
  <c r="AY304" i="3" s="1"/>
  <c r="CI302" i="3"/>
  <c r="CI304" i="3" s="1"/>
  <c r="G480" i="5" s="1" a="1"/>
  <c r="M159" i="5"/>
  <c r="G363" i="5" l="1" a="1"/>
  <c r="G480" i="5"/>
  <c r="S17" i="1"/>
  <c r="I242" i="5"/>
  <c r="F13" i="1" s="1"/>
  <c r="J159" i="5"/>
  <c r="T17" i="1"/>
  <c r="S302" i="3"/>
  <c r="T302" i="3"/>
  <c r="T304" i="3" s="1"/>
  <c r="J242" i="5" l="1"/>
  <c r="G611" i="5"/>
  <c r="M480" i="5"/>
  <c r="I480" i="5"/>
  <c r="J480" i="5" s="1"/>
  <c r="G363" i="5"/>
  <c r="G387" i="5" s="1"/>
  <c r="U17" i="1"/>
  <c r="S304" i="3"/>
  <c r="G250" i="5" s="1" a="1"/>
  <c r="N480" i="5" l="1"/>
  <c r="G250" i="5"/>
  <c r="G288" i="5" s="1"/>
  <c r="M363" i="5"/>
  <c r="I363" i="5"/>
  <c r="I611" i="5"/>
  <c r="J611" i="5" s="1"/>
  <c r="M611" i="5"/>
  <c r="N611" i="5" l="1"/>
  <c r="J363" i="5"/>
  <c r="N363" i="5" l="1"/>
  <c r="G567" i="5" l="1"/>
  <c r="I250" i="5"/>
  <c r="M250" i="5"/>
  <c r="I261" i="5"/>
  <c r="J261" i="5" s="1"/>
  <c r="M261" i="5"/>
  <c r="G578" i="5"/>
  <c r="J250" i="5" l="1"/>
  <c r="I578" i="5"/>
  <c r="M567" i="5"/>
  <c r="I567" i="5"/>
  <c r="M578" i="5"/>
  <c r="N261" i="5"/>
  <c r="N250" i="5" l="1"/>
  <c r="J578" i="5"/>
  <c r="J567" i="5"/>
  <c r="N578" i="5" l="1"/>
  <c r="N567" i="5"/>
  <c r="I141" i="5" l="1"/>
  <c r="F12" i="1" s="1"/>
  <c r="M141" i="5"/>
  <c r="O242" i="5" l="1"/>
  <c r="M172" i="5"/>
  <c r="T15" i="1"/>
  <c r="G12" i="1"/>
  <c r="S15" i="1"/>
  <c r="O141" i="5"/>
  <c r="T18" i="1" l="1"/>
  <c r="U18" i="1" s="1"/>
  <c r="M242" i="5"/>
  <c r="G13" i="1" s="1"/>
  <c r="H13" i="1" s="1"/>
  <c r="I13" i="1"/>
  <c r="H12" i="1"/>
  <c r="P141" i="5"/>
  <c r="U15" i="1"/>
  <c r="I12" i="1"/>
  <c r="P242" i="5" l="1"/>
  <c r="M537" i="5"/>
  <c r="I537" i="5"/>
  <c r="J537" i="5" s="1"/>
  <c r="I536" i="5"/>
  <c r="M536" i="5"/>
  <c r="I538" i="5"/>
  <c r="J538" i="5" s="1"/>
  <c r="M538" i="5"/>
  <c r="M539" i="5"/>
  <c r="I539" i="5"/>
  <c r="J539" i="5" s="1"/>
  <c r="M540" i="5"/>
  <c r="I540" i="5"/>
  <c r="J540" i="5" s="1"/>
  <c r="I273" i="5"/>
  <c r="J273" i="5" s="1"/>
  <c r="M273" i="5"/>
  <c r="G590" i="5"/>
  <c r="M434" i="5"/>
  <c r="J434" i="5"/>
  <c r="I528" i="5"/>
  <c r="J528" i="5" s="1"/>
  <c r="M528" i="5"/>
  <c r="M274" i="5"/>
  <c r="I274" i="5"/>
  <c r="J274" i="5" s="1"/>
  <c r="G591" i="5"/>
  <c r="M435" i="5"/>
  <c r="I435" i="5"/>
  <c r="J435" i="5" s="1"/>
  <c r="I495" i="5"/>
  <c r="J495" i="5" s="1"/>
  <c r="M495" i="5"/>
  <c r="I257" i="5"/>
  <c r="J257" i="5" s="1"/>
  <c r="G574" i="5"/>
  <c r="M257" i="5"/>
  <c r="I436" i="5"/>
  <c r="J436" i="5" s="1"/>
  <c r="M436" i="5"/>
  <c r="M258" i="5"/>
  <c r="G575" i="5"/>
  <c r="I258" i="5"/>
  <c r="J258" i="5" s="1"/>
  <c r="M255" i="5"/>
  <c r="G572" i="5"/>
  <c r="I255" i="5"/>
  <c r="J255" i="5" s="1"/>
  <c r="M368" i="5"/>
  <c r="I368" i="5"/>
  <c r="J368" i="5" s="1"/>
  <c r="M494" i="5"/>
  <c r="I494" i="5"/>
  <c r="G501" i="5"/>
  <c r="R30" i="1" s="1"/>
  <c r="I256" i="5"/>
  <c r="J256" i="5" s="1"/>
  <c r="M256" i="5"/>
  <c r="G573" i="5"/>
  <c r="I372" i="5"/>
  <c r="J372" i="5" s="1"/>
  <c r="M372" i="5"/>
  <c r="M275" i="5"/>
  <c r="G592" i="5"/>
  <c r="I275" i="5"/>
  <c r="J275" i="5" s="1"/>
  <c r="I373" i="5"/>
  <c r="J373" i="5" s="1"/>
  <c r="M373" i="5"/>
  <c r="M496" i="5"/>
  <c r="I496" i="5"/>
  <c r="J496" i="5" s="1"/>
  <c r="M276" i="5"/>
  <c r="I276" i="5"/>
  <c r="J276" i="5" s="1"/>
  <c r="G593" i="5"/>
  <c r="M374" i="5"/>
  <c r="I374" i="5"/>
  <c r="J374" i="5" s="1"/>
  <c r="I437" i="5"/>
  <c r="J437" i="5" s="1"/>
  <c r="M437" i="5"/>
  <c r="I497" i="5"/>
  <c r="J497" i="5" s="1"/>
  <c r="M497" i="5"/>
  <c r="G627" i="5"/>
  <c r="M262" i="5"/>
  <c r="G579" i="5"/>
  <c r="I262" i="5"/>
  <c r="J262" i="5" s="1"/>
  <c r="I277" i="5"/>
  <c r="J277" i="5" s="1"/>
  <c r="G594" i="5"/>
  <c r="M277" i="5"/>
  <c r="M375" i="5"/>
  <c r="I375" i="5"/>
  <c r="J375" i="5" s="1"/>
  <c r="I438" i="5"/>
  <c r="J438" i="5" s="1"/>
  <c r="M438" i="5"/>
  <c r="M498" i="5"/>
  <c r="G628" i="5"/>
  <c r="I498" i="5"/>
  <c r="J498" i="5" s="1"/>
  <c r="G580" i="5"/>
  <c r="M263" i="5"/>
  <c r="I263" i="5"/>
  <c r="J263" i="5" s="1"/>
  <c r="M278" i="5"/>
  <c r="I278" i="5"/>
  <c r="J278" i="5" s="1"/>
  <c r="G595" i="5"/>
  <c r="I376" i="5"/>
  <c r="J376" i="5" s="1"/>
  <c r="M376" i="5"/>
  <c r="I439" i="5"/>
  <c r="J439" i="5" s="1"/>
  <c r="M439" i="5"/>
  <c r="I521" i="5"/>
  <c r="M521" i="5"/>
  <c r="G530" i="5"/>
  <c r="R35" i="1" s="1"/>
  <c r="I264" i="5"/>
  <c r="J264" i="5" s="1"/>
  <c r="M264" i="5"/>
  <c r="G581" i="5"/>
  <c r="M279" i="5"/>
  <c r="I279" i="5"/>
  <c r="J279" i="5" s="1"/>
  <c r="G596" i="5"/>
  <c r="M380" i="5"/>
  <c r="I380" i="5"/>
  <c r="J380" i="5" s="1"/>
  <c r="I440" i="5"/>
  <c r="J440" i="5" s="1"/>
  <c r="M440" i="5"/>
  <c r="I522" i="5"/>
  <c r="J522" i="5" s="1"/>
  <c r="M522" i="5"/>
  <c r="G545" i="5"/>
  <c r="R36" i="1" s="1"/>
  <c r="M265" i="5"/>
  <c r="G582" i="5"/>
  <c r="I265" i="5"/>
  <c r="J265" i="5" s="1"/>
  <c r="I280" i="5"/>
  <c r="J280" i="5" s="1"/>
  <c r="M280" i="5"/>
  <c r="G597" i="5"/>
  <c r="I381" i="5"/>
  <c r="J381" i="5" s="1"/>
  <c r="M381" i="5"/>
  <c r="I481" i="5"/>
  <c r="M481" i="5"/>
  <c r="G612" i="5"/>
  <c r="G488" i="5"/>
  <c r="M523" i="5"/>
  <c r="I523" i="5"/>
  <c r="J523" i="5" s="1"/>
  <c r="M251" i="5"/>
  <c r="I251" i="5"/>
  <c r="G568" i="5"/>
  <c r="R27" i="1"/>
  <c r="M266" i="5"/>
  <c r="G583" i="5"/>
  <c r="I266" i="5"/>
  <c r="J266" i="5" s="1"/>
  <c r="I364" i="5"/>
  <c r="R26" i="1"/>
  <c r="M364" i="5"/>
  <c r="I382" i="5"/>
  <c r="J382" i="5" s="1"/>
  <c r="M382" i="5"/>
  <c r="M482" i="5"/>
  <c r="G613" i="5"/>
  <c r="I482" i="5"/>
  <c r="J482" i="5" s="1"/>
  <c r="I524" i="5"/>
  <c r="J524" i="5" s="1"/>
  <c r="M524" i="5"/>
  <c r="M252" i="5"/>
  <c r="G569" i="5"/>
  <c r="I252" i="5"/>
  <c r="J252" i="5" s="1"/>
  <c r="G584" i="5"/>
  <c r="M267" i="5"/>
  <c r="I267" i="5"/>
  <c r="J267" i="5" s="1"/>
  <c r="I365" i="5"/>
  <c r="J365" i="5" s="1"/>
  <c r="M365" i="5"/>
  <c r="I383" i="5"/>
  <c r="J383" i="5" s="1"/>
  <c r="M383" i="5"/>
  <c r="I483" i="5"/>
  <c r="J483" i="5" s="1"/>
  <c r="M483" i="5"/>
  <c r="G614" i="5"/>
  <c r="I525" i="5"/>
  <c r="J525" i="5" s="1"/>
  <c r="M525" i="5"/>
  <c r="M253" i="5"/>
  <c r="G570" i="5"/>
  <c r="I253" i="5"/>
  <c r="J253" i="5" s="1"/>
  <c r="G585" i="5"/>
  <c r="I268" i="5"/>
  <c r="J268" i="5" s="1"/>
  <c r="M268" i="5"/>
  <c r="I366" i="5"/>
  <c r="J366" i="5" s="1"/>
  <c r="M366" i="5"/>
  <c r="M384" i="5"/>
  <c r="I384" i="5"/>
  <c r="J384" i="5" s="1"/>
  <c r="I484" i="5"/>
  <c r="J484" i="5" s="1"/>
  <c r="G615" i="5"/>
  <c r="M484" i="5"/>
  <c r="I526" i="5"/>
  <c r="J526" i="5" s="1"/>
  <c r="M526" i="5"/>
  <c r="G571" i="5"/>
  <c r="M254" i="5"/>
  <c r="I254" i="5"/>
  <c r="J254" i="5" s="1"/>
  <c r="I269" i="5"/>
  <c r="J269" i="5" s="1"/>
  <c r="M269" i="5"/>
  <c r="G586" i="5"/>
  <c r="M367" i="5"/>
  <c r="I367" i="5"/>
  <c r="J367" i="5" s="1"/>
  <c r="I433" i="5"/>
  <c r="M433" i="5"/>
  <c r="G616" i="5"/>
  <c r="I485" i="5"/>
  <c r="J485" i="5" s="1"/>
  <c r="M485" i="5"/>
  <c r="I527" i="5"/>
  <c r="J527" i="5" s="1"/>
  <c r="M527" i="5"/>
  <c r="N372" i="5" l="1"/>
  <c r="N382" i="5"/>
  <c r="N527" i="5"/>
  <c r="N525" i="5"/>
  <c r="N268" i="5"/>
  <c r="N366" i="5"/>
  <c r="N264" i="5"/>
  <c r="N528" i="5"/>
  <c r="N255" i="5"/>
  <c r="N523" i="5"/>
  <c r="N539" i="5"/>
  <c r="N266" i="5"/>
  <c r="N252" i="5"/>
  <c r="N497" i="5"/>
  <c r="N482" i="5"/>
  <c r="N524" i="5"/>
  <c r="N273" i="5"/>
  <c r="N526" i="5"/>
  <c r="N522" i="5"/>
  <c r="N437" i="5"/>
  <c r="N495" i="5"/>
  <c r="N440" i="5"/>
  <c r="N278" i="5"/>
  <c r="N276" i="5"/>
  <c r="N540" i="5"/>
  <c r="N537" i="5"/>
  <c r="N439" i="5"/>
  <c r="N435" i="5"/>
  <c r="N384" i="5"/>
  <c r="N373" i="5"/>
  <c r="N376" i="5"/>
  <c r="N375" i="5"/>
  <c r="N368" i="5"/>
  <c r="N367" i="5"/>
  <c r="N267" i="5"/>
  <c r="N263" i="5"/>
  <c r="N256" i="5"/>
  <c r="N258" i="5"/>
  <c r="I597" i="5"/>
  <c r="J597" i="5" s="1"/>
  <c r="M597" i="5"/>
  <c r="I572" i="5"/>
  <c r="J572" i="5" s="1"/>
  <c r="M572" i="5"/>
  <c r="M574" i="5"/>
  <c r="I574" i="5"/>
  <c r="J574" i="5" s="1"/>
  <c r="I616" i="5"/>
  <c r="J616" i="5" s="1"/>
  <c r="M616" i="5"/>
  <c r="N280" i="5"/>
  <c r="N279" i="5"/>
  <c r="N274" i="5"/>
  <c r="I594" i="5"/>
  <c r="J594" i="5" s="1"/>
  <c r="M594" i="5"/>
  <c r="N269" i="5"/>
  <c r="I581" i="5"/>
  <c r="J581" i="5" s="1"/>
  <c r="M581" i="5"/>
  <c r="R29" i="1"/>
  <c r="I628" i="5"/>
  <c r="J628" i="5" s="1"/>
  <c r="M628" i="5"/>
  <c r="N374" i="5"/>
  <c r="J494" i="5"/>
  <c r="N494" i="5" s="1"/>
  <c r="I501" i="5"/>
  <c r="N365" i="5"/>
  <c r="M568" i="5"/>
  <c r="I568" i="5"/>
  <c r="G606" i="5"/>
  <c r="M612" i="5"/>
  <c r="I612" i="5"/>
  <c r="G618" i="5"/>
  <c r="N498" i="5"/>
  <c r="I579" i="5"/>
  <c r="J579" i="5" s="1"/>
  <c r="M579" i="5"/>
  <c r="J433" i="5"/>
  <c r="J443" i="5" s="1"/>
  <c r="I443" i="5"/>
  <c r="N538" i="5"/>
  <c r="J251" i="5"/>
  <c r="I288" i="5"/>
  <c r="M487" i="5"/>
  <c r="M582" i="5"/>
  <c r="I582" i="5"/>
  <c r="J582" i="5" s="1"/>
  <c r="I595" i="5"/>
  <c r="J595" i="5" s="1"/>
  <c r="M595" i="5"/>
  <c r="N262" i="5"/>
  <c r="I593" i="5"/>
  <c r="J593" i="5" s="1"/>
  <c r="M593" i="5"/>
  <c r="I592" i="5"/>
  <c r="J592" i="5" s="1"/>
  <c r="M592" i="5"/>
  <c r="M501" i="5"/>
  <c r="N484" i="5"/>
  <c r="R28" i="1"/>
  <c r="N254" i="5"/>
  <c r="M615" i="5"/>
  <c r="I615" i="5"/>
  <c r="J615" i="5" s="1"/>
  <c r="I585" i="5"/>
  <c r="J585" i="5" s="1"/>
  <c r="M585" i="5"/>
  <c r="N265" i="5"/>
  <c r="N438" i="5"/>
  <c r="I627" i="5"/>
  <c r="J627" i="5" s="1"/>
  <c r="M627" i="5"/>
  <c r="N275" i="5"/>
  <c r="G630" i="5"/>
  <c r="M575" i="5"/>
  <c r="I575" i="5"/>
  <c r="J575" i="5" s="1"/>
  <c r="M387" i="5"/>
  <c r="T26" i="1" s="1"/>
  <c r="J481" i="5"/>
  <c r="J487" i="5" s="1"/>
  <c r="J488" i="5" s="1"/>
  <c r="I487" i="5"/>
  <c r="I488" i="5" s="1"/>
  <c r="M570" i="5"/>
  <c r="I570" i="5"/>
  <c r="J570" i="5" s="1"/>
  <c r="M545" i="5"/>
  <c r="T36" i="1" s="1"/>
  <c r="N434" i="5"/>
  <c r="M569" i="5"/>
  <c r="I569" i="5"/>
  <c r="J569" i="5" s="1"/>
  <c r="M530" i="5"/>
  <c r="T35" i="1" s="1"/>
  <c r="N483" i="5"/>
  <c r="M584" i="5"/>
  <c r="I584" i="5"/>
  <c r="J584" i="5" s="1"/>
  <c r="N381" i="5"/>
  <c r="J364" i="5"/>
  <c r="J387" i="5" s="1"/>
  <c r="I387" i="5"/>
  <c r="S26" i="1" s="1"/>
  <c r="J521" i="5"/>
  <c r="J530" i="5" s="1"/>
  <c r="I530" i="5"/>
  <c r="S35" i="1" s="1"/>
  <c r="N496" i="5"/>
  <c r="N436" i="5"/>
  <c r="I590" i="5"/>
  <c r="J590" i="5" s="1"/>
  <c r="M590" i="5"/>
  <c r="N253" i="5"/>
  <c r="N380" i="5"/>
  <c r="I573" i="5"/>
  <c r="J573" i="5" s="1"/>
  <c r="M573" i="5"/>
  <c r="M583" i="5"/>
  <c r="I583" i="5"/>
  <c r="J583" i="5" s="1"/>
  <c r="I571" i="5"/>
  <c r="J571" i="5" s="1"/>
  <c r="M571" i="5"/>
  <c r="I614" i="5"/>
  <c r="J614" i="5" s="1"/>
  <c r="M614" i="5"/>
  <c r="N485" i="5"/>
  <c r="I586" i="5"/>
  <c r="J586" i="5" s="1"/>
  <c r="M586" i="5"/>
  <c r="N383" i="5"/>
  <c r="I613" i="5"/>
  <c r="J613" i="5" s="1"/>
  <c r="M613" i="5"/>
  <c r="J536" i="5"/>
  <c r="I545" i="5"/>
  <c r="S36" i="1" s="1"/>
  <c r="I596" i="5"/>
  <c r="J596" i="5" s="1"/>
  <c r="M596" i="5"/>
  <c r="I580" i="5"/>
  <c r="J580" i="5" s="1"/>
  <c r="M580" i="5"/>
  <c r="N277" i="5"/>
  <c r="N257" i="5"/>
  <c r="I591" i="5"/>
  <c r="J591" i="5" s="1"/>
  <c r="M591" i="5"/>
  <c r="S28" i="1" l="1"/>
  <c r="I558" i="5"/>
  <c r="G634" i="5"/>
  <c r="M288" i="5"/>
  <c r="U36" i="1"/>
  <c r="N614" i="5"/>
  <c r="N594" i="5"/>
  <c r="N572" i="5"/>
  <c r="N613" i="5"/>
  <c r="N595" i="5"/>
  <c r="N591" i="5"/>
  <c r="U35" i="1"/>
  <c r="N433" i="5"/>
  <c r="N590" i="5"/>
  <c r="N580" i="5"/>
  <c r="N628" i="5"/>
  <c r="N487" i="5"/>
  <c r="N481" i="5"/>
  <c r="N574" i="5"/>
  <c r="N592" i="5"/>
  <c r="N585" i="5"/>
  <c r="N579" i="5"/>
  <c r="N571" i="5"/>
  <c r="U26" i="1"/>
  <c r="N569" i="5"/>
  <c r="N575" i="5"/>
  <c r="J612" i="5"/>
  <c r="J618" i="5" s="1"/>
  <c r="I618" i="5"/>
  <c r="S29" i="1" s="1"/>
  <c r="N584" i="5"/>
  <c r="N582" i="5"/>
  <c r="I645" i="5"/>
  <c r="N570" i="5"/>
  <c r="J630" i="5"/>
  <c r="I630" i="5"/>
  <c r="S30" i="1" s="1"/>
  <c r="N521" i="5"/>
  <c r="N615" i="5"/>
  <c r="J568" i="5"/>
  <c r="N568" i="5" s="1"/>
  <c r="I606" i="5"/>
  <c r="N597" i="5"/>
  <c r="N251" i="5"/>
  <c r="N586" i="5"/>
  <c r="N583" i="5"/>
  <c r="N627" i="5"/>
  <c r="N593" i="5"/>
  <c r="M488" i="5"/>
  <c r="N616" i="5"/>
  <c r="N573" i="5"/>
  <c r="N364" i="5"/>
  <c r="N581" i="5"/>
  <c r="N536" i="5"/>
  <c r="N596" i="5"/>
  <c r="M443" i="5"/>
  <c r="T28" i="1" l="1"/>
  <c r="U28" i="1" s="1"/>
  <c r="M558" i="5"/>
  <c r="M650" i="5"/>
  <c r="O558" i="5"/>
  <c r="M606" i="5"/>
  <c r="T27" i="1" s="1"/>
  <c r="J288" i="5"/>
  <c r="J501" i="5"/>
  <c r="J545" i="5"/>
  <c r="I634" i="5"/>
  <c r="F14" i="1" s="1"/>
  <c r="M630" i="5"/>
  <c r="T30" i="1" s="1"/>
  <c r="U30" i="1" s="1"/>
  <c r="N612" i="5"/>
  <c r="S27" i="1"/>
  <c r="M618" i="5"/>
  <c r="O634" i="5" l="1"/>
  <c r="I14" i="1" s="1"/>
  <c r="U27" i="1"/>
  <c r="J558" i="5"/>
  <c r="P558" i="5" s="1"/>
  <c r="M634" i="5"/>
  <c r="J640" i="5"/>
  <c r="I642" i="5"/>
  <c r="F16" i="1" s="1"/>
  <c r="F21" i="1" s="1"/>
  <c r="H21" i="1" s="1"/>
  <c r="I646" i="5"/>
  <c r="I647" i="5" s="1"/>
  <c r="T29" i="1"/>
  <c r="U29" i="1" s="1"/>
  <c r="J606" i="5"/>
  <c r="G14" i="1" l="1"/>
  <c r="H14" i="1" s="1"/>
  <c r="H19" i="1"/>
  <c r="J642" i="5"/>
  <c r="J650" i="5" s="1"/>
  <c r="N640" i="5"/>
  <c r="O642" i="5" s="1"/>
  <c r="O643" i="5" s="1"/>
  <c r="S40" i="1"/>
  <c r="H16" i="1"/>
  <c r="J634" i="5"/>
  <c r="P634" i="5" s="1"/>
  <c r="U40" i="1" l="1"/>
  <c r="H20" i="1"/>
  <c r="V39" i="1" s="1"/>
  <c r="H22" i="1"/>
  <c r="H23" i="1"/>
  <c r="J14" i="1"/>
  <c r="P642" i="5"/>
  <c r="I16" i="1"/>
  <c r="I17" i="1" s="1"/>
  <c r="H25" i="1" l="1"/>
  <c r="V21" i="1"/>
  <c r="V10" i="1"/>
  <c r="V19" i="1"/>
  <c r="V12" i="1"/>
  <c r="V26" i="1"/>
  <c r="V40" i="1"/>
  <c r="V14" i="1"/>
  <c r="J13" i="1"/>
  <c r="K14" i="1" s="1"/>
  <c r="Q650" i="5"/>
  <c r="J28" i="1"/>
  <c r="V41" i="1"/>
  <c r="V24" i="1"/>
  <c r="V20" i="1"/>
  <c r="V27" i="1"/>
  <c r="V28" i="1"/>
  <c r="V11" i="1"/>
  <c r="V8" i="1"/>
  <c r="V18" i="1"/>
  <c r="V15" i="1"/>
  <c r="V17" i="1"/>
  <c r="V23" i="1"/>
  <c r="W10" i="1" l="1"/>
  <c r="W23" i="1"/>
  <c r="W19" i="1"/>
  <c r="K25" i="1"/>
  <c r="K26" i="1"/>
  <c r="W21" i="1"/>
  <c r="W15" i="1"/>
  <c r="W11" i="1"/>
  <c r="W12" i="1"/>
  <c r="W17" i="1"/>
  <c r="W14" i="1"/>
  <c r="V42" i="1"/>
  <c r="W8" i="1"/>
  <c r="W20" i="1"/>
  <c r="W40" i="1"/>
  <c r="W18" i="1"/>
  <c r="W26" i="1"/>
  <c r="W39" i="1"/>
  <c r="W28" i="1"/>
  <c r="W27" i="1"/>
  <c r="W24" i="1"/>
  <c r="W4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</author>
  </authors>
  <commentList>
    <comment ref="L1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Cost of coating and collar</t>
        </r>
      </text>
    </comment>
    <comment ref="L30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Cost of coating and collar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</author>
  </authors>
  <commentList>
    <comment ref="J158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•Good for ice maker machine and other appliance such as dishwasher.
•Complying on ASSE 1015. 
•No need for air gap
•DO NOT USE ON BEVERAGES</t>
        </r>
      </text>
    </comment>
    <comment ref="J159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• Good for beverages, ice maker box and other water/drink dispensing equipment
• ASSE 1022 Compliant</t>
        </r>
      </text>
    </comment>
    <comment ref="J160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• More on industrial use such as labs, livestock, boiler and processing.
• NEVER TO USE ON RESIDENTIAL OR COMMERCIAL UNLESS STATED IN SPECS
• For non health hazard use
• ASSE 1012 Compliant</t>
        </r>
      </text>
    </comment>
    <comment ref="J164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• Good for potable water use and mostly can be found on the Hydronic
• Usually paired with PRV on the downstream
• ASSE 1015 Compliant</t>
        </r>
      </text>
    </comment>
    <comment ref="J212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Mostly use for irrigation
This is not freeze proof</t>
        </r>
      </text>
    </comment>
    <comment ref="J214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This is a precast</t>
        </r>
      </text>
    </comment>
    <comment ref="H217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This include:
• Washing machine box
• Ice maker box
• Refrigeration box 
• and etc.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<sst xmlns="http://schemas.openxmlformats.org/spreadsheetml/2006/main" count="3938" uniqueCount="1031">
  <si>
    <t>Labor Rate:</t>
  </si>
  <si>
    <t>Total Labor Hrs</t>
  </si>
  <si>
    <t>Material Pricing</t>
  </si>
  <si>
    <t>Total</t>
  </si>
  <si>
    <t>Item No.</t>
  </si>
  <si>
    <t>Description</t>
  </si>
  <si>
    <t>Qty</t>
  </si>
  <si>
    <t>Lin. Ft.</t>
  </si>
  <si>
    <t>Scope of Work</t>
  </si>
  <si>
    <t>Supply and Install</t>
  </si>
  <si>
    <t>Water</t>
  </si>
  <si>
    <t>Exclusions</t>
  </si>
  <si>
    <t>Fixtures</t>
  </si>
  <si>
    <t>Piping</t>
  </si>
  <si>
    <t>Overhead and Profit</t>
  </si>
  <si>
    <t>Project Name</t>
  </si>
  <si>
    <t>Address</t>
  </si>
  <si>
    <t>Plan Date</t>
  </si>
  <si>
    <t>Assumptions / Take-off considerations</t>
  </si>
  <si>
    <t>Illustration</t>
  </si>
  <si>
    <t>SHEET NO.</t>
  </si>
  <si>
    <t>General Assumptions</t>
  </si>
  <si>
    <t>QTY</t>
  </si>
  <si>
    <t>1/2"</t>
  </si>
  <si>
    <t>3/4"</t>
  </si>
  <si>
    <t>1"</t>
  </si>
  <si>
    <t>2"</t>
  </si>
  <si>
    <t>4"</t>
  </si>
  <si>
    <t>Install Materials</t>
  </si>
  <si>
    <t>Supply</t>
  </si>
  <si>
    <t>Install</t>
  </si>
  <si>
    <t>Unit Labor</t>
  </si>
  <si>
    <t>Unit Materials</t>
  </si>
  <si>
    <t>Total Materials</t>
  </si>
  <si>
    <t>Total Labor</t>
  </si>
  <si>
    <t>Permits</t>
  </si>
  <si>
    <t>Profit</t>
  </si>
  <si>
    <t>TOTAL</t>
  </si>
  <si>
    <t>1-1/2"</t>
  </si>
  <si>
    <t>Horizontal</t>
  </si>
  <si>
    <t>Main  (from Plan)</t>
  </si>
  <si>
    <t>PIPES</t>
  </si>
  <si>
    <t>SAN. SPECIALTIES</t>
  </si>
  <si>
    <t>Floor to floor height, ft.</t>
  </si>
  <si>
    <t>VENT</t>
  </si>
  <si>
    <t>LENGTH</t>
  </si>
  <si>
    <t>X</t>
  </si>
  <si>
    <t>Specialties, Valves</t>
  </si>
  <si>
    <t>COLD WATER SUPPLY</t>
  </si>
  <si>
    <t>HOT WATER SUPPLY</t>
  </si>
  <si>
    <t>Assumptions</t>
  </si>
  <si>
    <t>Assuming concrete and rebar are traditional when saw cutting is involved</t>
  </si>
  <si>
    <r>
      <rPr>
        <b/>
        <i/>
        <sz val="11"/>
        <color theme="1"/>
        <rFont val="Calibri"/>
        <family val="2"/>
        <scheme val="minor"/>
      </rPr>
      <t>Note:</t>
    </r>
    <r>
      <rPr>
        <i/>
        <sz val="11"/>
        <color theme="1"/>
        <rFont val="Calibri"/>
        <family val="2"/>
        <scheme val="minor"/>
      </rPr>
      <t xml:space="preserve"> Assumptions below are company-wide for every project. If these exclusions do not pertain to your project, please disregard.</t>
    </r>
  </si>
  <si>
    <r>
      <rPr>
        <b/>
        <i/>
        <sz val="11"/>
        <color theme="1"/>
        <rFont val="Calibri"/>
        <family val="2"/>
        <scheme val="minor"/>
      </rPr>
      <t>Note:</t>
    </r>
    <r>
      <rPr>
        <i/>
        <sz val="11"/>
        <color theme="1"/>
        <rFont val="Calibri"/>
        <family val="2"/>
        <scheme val="minor"/>
      </rPr>
      <t xml:space="preserve"> Exclusions below are company-wide for every project. If these exclusions do not pertain to your project, please disregard.</t>
    </r>
  </si>
  <si>
    <t>Calcs</t>
  </si>
  <si>
    <t>LF</t>
  </si>
  <si>
    <t>1/8" per foot</t>
  </si>
  <si>
    <t>1/4" per foot is max</t>
  </si>
  <si>
    <t>2' depth minimum</t>
  </si>
  <si>
    <t>overdig 6" for bedding</t>
  </si>
  <si>
    <t>Slope Calcs</t>
  </si>
  <si>
    <t>Slope, 1/8"</t>
  </si>
  <si>
    <t>Total Run</t>
  </si>
  <si>
    <t>Min slope of piping, Chart</t>
  </si>
  <si>
    <t>1 week</t>
  </si>
  <si>
    <t>2-3 people</t>
  </si>
  <si>
    <t>Coring for plumbing</t>
  </si>
  <si>
    <t>Labor Hours</t>
  </si>
  <si>
    <t>TOTAL FIXTURES</t>
  </si>
  <si>
    <t>COPY/MOVE</t>
  </si>
  <si>
    <t>ft</t>
  </si>
  <si>
    <t>Floor to ceiling height is roughly:</t>
  </si>
  <si>
    <t>Excavation Total</t>
  </si>
  <si>
    <t>Prep for Ground Floor Fixtures</t>
  </si>
  <si>
    <t>Total Fixture Count</t>
  </si>
  <si>
    <t>Sales Tax</t>
  </si>
  <si>
    <t>Total SQFT</t>
  </si>
  <si>
    <t>Number of Units</t>
  </si>
  <si>
    <t>Price per sqft</t>
  </si>
  <si>
    <t>Price per Unit</t>
  </si>
  <si>
    <t>Labor Rates</t>
  </si>
  <si>
    <t>EQUIPMENT</t>
  </si>
  <si>
    <t>FIXTURES</t>
  </si>
  <si>
    <t>Equipment</t>
  </si>
  <si>
    <t>CW</t>
  </si>
  <si>
    <t>HW</t>
  </si>
  <si>
    <t>Pipe wastage at 15%</t>
  </si>
  <si>
    <t>Demolition</t>
  </si>
  <si>
    <t>SAW CUT</t>
  </si>
  <si>
    <t>SUMTOTAL</t>
  </si>
  <si>
    <t>Project Information</t>
  </si>
  <si>
    <t>Vent</t>
  </si>
  <si>
    <t>Sanitary</t>
  </si>
  <si>
    <t>SPECIALTIES</t>
  </si>
  <si>
    <t>SANITARY</t>
  </si>
  <si>
    <t>PIPE INSULATION COLD WATER SUPPLY</t>
  </si>
  <si>
    <t>PIPE INSULATION HOT WATER SUPPLY</t>
  </si>
  <si>
    <t xml:space="preserve">SANITARY </t>
  </si>
  <si>
    <t>PVC Sch. 40</t>
  </si>
  <si>
    <t>ALLOWANCE FOR FITTINGS AND HANGERS</t>
  </si>
  <si>
    <t xml:space="preserve">Exterior </t>
  </si>
  <si>
    <t>Trenching , installation and connection of pipes to Utilities</t>
  </si>
  <si>
    <t>Saw cutting ,removal of exisiting fixtures and pipes</t>
  </si>
  <si>
    <t>Water heater and recirculating pump</t>
  </si>
  <si>
    <t>Plumbing Fixtures and fixture trimmings</t>
  </si>
  <si>
    <t xml:space="preserve">Misc </t>
  </si>
  <si>
    <t>Others</t>
  </si>
  <si>
    <t>Miscellaneous</t>
  </si>
  <si>
    <t>Hauling of pipes</t>
  </si>
  <si>
    <t>Supply and installation</t>
  </si>
  <si>
    <t>Hauling of Materials</t>
  </si>
  <si>
    <t>Trenching , installation of undergorund Main pipes</t>
  </si>
  <si>
    <t>Total L&amp;M</t>
  </si>
  <si>
    <t>Total Labor Cost</t>
  </si>
  <si>
    <t>Total Material Cost</t>
  </si>
  <si>
    <t>Assume 25% of total labor hrs of pipe installation</t>
  </si>
  <si>
    <t>Total Pipes(pc)</t>
  </si>
  <si>
    <t>Hauling of pipe /day x 1 worker</t>
  </si>
  <si>
    <t>No. of days for hauling</t>
  </si>
  <si>
    <t>1 lot</t>
  </si>
  <si>
    <t>FIXTURE</t>
  </si>
  <si>
    <t>INSULATION</t>
  </si>
  <si>
    <t>Hauling of materials</t>
  </si>
  <si>
    <t>TOTAL SPECIALTIES</t>
  </si>
  <si>
    <t>DCW/DHW</t>
  </si>
  <si>
    <t>SAN/VENT</t>
  </si>
  <si>
    <t>Riser and Stack</t>
  </si>
  <si>
    <t>Brand and Model Name</t>
  </si>
  <si>
    <t>Quotation ref. no.</t>
  </si>
  <si>
    <t>3"</t>
  </si>
  <si>
    <t>WATER SPECIALITIES</t>
  </si>
  <si>
    <t>City Tap is not included</t>
  </si>
  <si>
    <t>Plumbing equipment and fixtures trimmings.</t>
  </si>
  <si>
    <t>1st Level</t>
  </si>
  <si>
    <t>Accessories</t>
  </si>
  <si>
    <t>Pipe hangers and supports as per Standard code</t>
  </si>
  <si>
    <t>TOTAL EQUIPMENT</t>
  </si>
  <si>
    <t>Ground Floor</t>
  </si>
  <si>
    <t>Fire risers and/or fire protection equipment</t>
  </si>
  <si>
    <t>Gas</t>
  </si>
  <si>
    <t>EXTERIOR TOTAL</t>
  </si>
  <si>
    <t>TRENCH DEPTH (FT)</t>
  </si>
  <si>
    <t>GREASE INTERCEPTOR</t>
  </si>
  <si>
    <t>Grease Interceptor</t>
  </si>
  <si>
    <t>GREASE INTERCEPTOR TOTAL</t>
  </si>
  <si>
    <t xml:space="preserve"> </t>
  </si>
  <si>
    <t>Pipe sizes, labor and cost</t>
  </si>
  <si>
    <t>Material</t>
  </si>
  <si>
    <t>Size</t>
  </si>
  <si>
    <t>Material Cost</t>
  </si>
  <si>
    <t>Copper Type L Hard</t>
  </si>
  <si>
    <t>1-1/4"</t>
  </si>
  <si>
    <t>2-1/2"</t>
  </si>
  <si>
    <t>PEX</t>
  </si>
  <si>
    <t>6"</t>
  </si>
  <si>
    <t>8"</t>
  </si>
  <si>
    <t>Cast Iron Hubless</t>
  </si>
  <si>
    <t>Black Steel Sch. 40</t>
  </si>
  <si>
    <t>GAS</t>
  </si>
  <si>
    <t>1/2" thick Closed Cell Insulation</t>
  </si>
  <si>
    <t>3/4" thick Closed Cell Insulation</t>
  </si>
  <si>
    <t>1" thick Closed Cell Insulation</t>
  </si>
  <si>
    <t>1/2" thick Fiberglass Insulation</t>
  </si>
  <si>
    <t>1" thick Fiberglass Insulation</t>
  </si>
  <si>
    <t>WATER SPECIALTIES</t>
  </si>
  <si>
    <t>Copper Type K Hard</t>
  </si>
  <si>
    <t>Copper Type K Soft</t>
  </si>
  <si>
    <t>Freeze Proof Wall Hydrant</t>
  </si>
  <si>
    <t>Trap Primer</t>
  </si>
  <si>
    <t>Woodford 24P</t>
  </si>
  <si>
    <t>Zurn 212-FSC</t>
  </si>
  <si>
    <t>Grease Interceptor (GT-1)</t>
  </si>
  <si>
    <t>Other</t>
  </si>
  <si>
    <t>Hose Bibb</t>
  </si>
  <si>
    <t>1-1/2" thick Fiberglass Insulation</t>
  </si>
  <si>
    <t>SD</t>
  </si>
  <si>
    <t>STORM DRAIN</t>
  </si>
  <si>
    <t>SDR 35</t>
  </si>
  <si>
    <t>CPVC</t>
  </si>
  <si>
    <t>Copper Type L ACR</t>
  </si>
  <si>
    <t>3/8"</t>
  </si>
  <si>
    <t>Copper Type K CXC</t>
  </si>
  <si>
    <t>Watts LF007-QT</t>
  </si>
  <si>
    <t>Water pipe valves and specialties as indicated in the plan</t>
  </si>
  <si>
    <t>SAN</t>
  </si>
  <si>
    <t>Type of Pipe Material</t>
  </si>
  <si>
    <t>Might be included but not considered</t>
  </si>
  <si>
    <t>Condensate piping serving Mechanical equipment</t>
  </si>
  <si>
    <t>Cover Riser</t>
  </si>
  <si>
    <t>Pump out port</t>
  </si>
  <si>
    <t>Labor rate</t>
  </si>
  <si>
    <t>Floor drain</t>
  </si>
  <si>
    <t>Domestic Water</t>
  </si>
  <si>
    <t>Sanitary Line</t>
  </si>
  <si>
    <t>PVC Pipe Sch 40. 4" (Pipe Allowance)</t>
  </si>
  <si>
    <t>Anchor Kit</t>
  </si>
  <si>
    <t>Freight Fee</t>
  </si>
  <si>
    <t>backhoe rental ( optional)</t>
  </si>
  <si>
    <t>105/hr + 50 mob/demob</t>
  </si>
  <si>
    <t>Project Management-Mobilization , demobilization, testing and start up ,1 yr warranty costs, tools and utilities</t>
  </si>
  <si>
    <t>Vent Flashing</t>
  </si>
  <si>
    <t>Furnish and  installation of access panels that will be required  to access valves , servicing of equipment and pipes installed</t>
  </si>
  <si>
    <t>Night Shift , Overtime , weekend and holiday working hours</t>
  </si>
  <si>
    <t>Concrete pour back on trenches</t>
  </si>
  <si>
    <t>A</t>
  </si>
  <si>
    <t>B</t>
  </si>
  <si>
    <t>C</t>
  </si>
  <si>
    <t>Condensate</t>
  </si>
  <si>
    <t>Floor sink 9" x  9"</t>
  </si>
  <si>
    <t>Floor sink 12" x 12"</t>
  </si>
  <si>
    <t>Floor sink 15" x 15"</t>
  </si>
  <si>
    <t>Floor sink 18" x 18"</t>
  </si>
  <si>
    <t>Floor sink 24" x 24"</t>
  </si>
  <si>
    <t>Fixture</t>
  </si>
  <si>
    <t>Labor Rate</t>
  </si>
  <si>
    <t>WATER CLOSET</t>
  </si>
  <si>
    <t>URINAL W/ TRIM</t>
  </si>
  <si>
    <t>LAVATORY W/ TRIM</t>
  </si>
  <si>
    <t xml:space="preserve">     +0.6 for carrier</t>
  </si>
  <si>
    <t xml:space="preserve">     +0.6 for electronic flush valve</t>
  </si>
  <si>
    <t xml:space="preserve">     -0.5 if carrier is installed already (wall hung only)</t>
  </si>
  <si>
    <t xml:space="preserve">     +1.0 for electronic sensor faucet</t>
  </si>
  <si>
    <t xml:space="preserve">     +0.2 for P-trap insulation</t>
  </si>
  <si>
    <t xml:space="preserve">     +0.35 for mixing valve</t>
  </si>
  <si>
    <t>KITCHEN SINK W/ TRIM</t>
  </si>
  <si>
    <t>Counter top, single compartment, stainless steel, ADA</t>
  </si>
  <si>
    <t>Counter top, double compartment, stainless steel, ADA</t>
  </si>
  <si>
    <t>Three compartment, stainless steel, ADA</t>
  </si>
  <si>
    <t>Undermount, basic faucet, ADA</t>
  </si>
  <si>
    <t>Counter top, basic faucet, ADA</t>
  </si>
  <si>
    <t>Wall hung, basic faucet, ADA</t>
  </si>
  <si>
    <t>Wall mount, flush valve, ADA</t>
  </si>
  <si>
    <t>Stall type, flush valve, ADA</t>
  </si>
  <si>
    <t>Wall mount, auto flush valve, ADA</t>
  </si>
  <si>
    <t>Floor mount, auto flush valve, ADA</t>
  </si>
  <si>
    <t>Floor mount, flush valve, ADA</t>
  </si>
  <si>
    <t>Floor mount, flush tank, ADA</t>
  </si>
  <si>
    <t xml:space="preserve">     +0.35 for pulldown wall mount 2 handle faucet (3-comp)</t>
  </si>
  <si>
    <t xml:space="preserve">     +2 for garbage disposer 1/2-3/4 hp</t>
  </si>
  <si>
    <t>Single compartment stainless steel</t>
  </si>
  <si>
    <t>HAND SINK W/ TRIM</t>
  </si>
  <si>
    <t>Wall mount, knee pedal, stainless steel</t>
  </si>
  <si>
    <t xml:space="preserve">     +0.1 for splash guard</t>
  </si>
  <si>
    <t>LAUNDRY SINK W/ TRIM</t>
  </si>
  <si>
    <t>MOP SINK W/ TRIM</t>
  </si>
  <si>
    <t>Up to 36" x 24"</t>
  </si>
  <si>
    <t xml:space="preserve">     +0.2 for wall guard</t>
  </si>
  <si>
    <t xml:space="preserve">     +0.2 for hose bracket and mop hanger</t>
  </si>
  <si>
    <t xml:space="preserve">     +0.35 for hose bibb for cleaning solution dispenser</t>
  </si>
  <si>
    <t>Notes</t>
  </si>
  <si>
    <t>SHOWER &amp; TUB</t>
  </si>
  <si>
    <t>SHOWER STALL</t>
  </si>
  <si>
    <t>Single piece, Fiberglass/Acrylic</t>
  </si>
  <si>
    <t>Three piece, Fiberglass/Acrylic</t>
  </si>
  <si>
    <t>Single piece, Fiberglass/Acrylic, ADA</t>
  </si>
  <si>
    <t>Three piece, Fiberglass/Acrylic, ADA</t>
  </si>
  <si>
    <t>Fiberglass/Acrylic, one piece</t>
  </si>
  <si>
    <t>SHOWER W/ BASIN</t>
  </si>
  <si>
    <t>Fiberglass/Acrylic, up to 36" x 36"</t>
  </si>
  <si>
    <t>Stone, up to 36" x 36"</t>
  </si>
  <si>
    <t>No basin, direct to floor drain or trench Drain</t>
  </si>
  <si>
    <t>ELECTRIC WATER COOLER/DRINKING FOUNTAIN</t>
  </si>
  <si>
    <t>Free standing, stainless steel</t>
  </si>
  <si>
    <t>Recessed, stainless steel</t>
  </si>
  <si>
    <t>Wall hung, ADA, Bi level or w/ bottle filler</t>
  </si>
  <si>
    <t>Wall hung</t>
  </si>
  <si>
    <t xml:space="preserve">  </t>
  </si>
  <si>
    <t>Wall cleanout</t>
  </si>
  <si>
    <t>Floor cleanout</t>
  </si>
  <si>
    <t>BALL VALVE</t>
  </si>
  <si>
    <t>Nibco T-FP600A</t>
  </si>
  <si>
    <t>WATER HAMMER ARRESTER</t>
  </si>
  <si>
    <t>Piston Type</t>
  </si>
  <si>
    <t>D</t>
  </si>
  <si>
    <t>Sioux Chief 652-A Hydra Rester</t>
  </si>
  <si>
    <t>Sioux Chief 653-B Hydra Rester</t>
  </si>
  <si>
    <t>Sioux Chief 654-C Hydra Rester</t>
  </si>
  <si>
    <t>Sioux Chief 655-D Hydra Rester</t>
  </si>
  <si>
    <t>SS Bellows Type</t>
  </si>
  <si>
    <t>OTHERS</t>
  </si>
  <si>
    <t>Vacuum Relief Valve</t>
  </si>
  <si>
    <t>Watts LFN36M1</t>
  </si>
  <si>
    <t>CHECK VALVE</t>
  </si>
  <si>
    <t>REDUCED PRESSURE BACKFLOW PREVENTER</t>
  </si>
  <si>
    <t>Zurn 1-375XL RDC PRS BFP</t>
  </si>
  <si>
    <t>Zurn 114-975XL2</t>
  </si>
  <si>
    <t xml:space="preserve">AIRGAP </t>
  </si>
  <si>
    <t xml:space="preserve">PPP SBHA-500A </t>
  </si>
  <si>
    <t>E</t>
  </si>
  <si>
    <t>F</t>
  </si>
  <si>
    <t>PPP SBHA-750B</t>
  </si>
  <si>
    <t>PPP SBHA-1000C</t>
  </si>
  <si>
    <t>PPP SBHA-1250D</t>
  </si>
  <si>
    <t>PPP SBHA-1500E</t>
  </si>
  <si>
    <t>PPP SBHA-2000F</t>
  </si>
  <si>
    <t>BALANCING VALVES</t>
  </si>
  <si>
    <t>Circuit Setter</t>
  </si>
  <si>
    <t>Bell &amp; Gossett CB-3/4"</t>
  </si>
  <si>
    <t>Bell &amp; Gossett CB-1"</t>
  </si>
  <si>
    <t>Bell &amp; Gossett CB-2-1/2"</t>
  </si>
  <si>
    <t>FIBERGLASS</t>
  </si>
  <si>
    <t>CLOSED CELL</t>
  </si>
  <si>
    <t>BLACK STEEL</t>
  </si>
  <si>
    <t>CAST IRON</t>
  </si>
  <si>
    <t>COPPER</t>
  </si>
  <si>
    <t xml:space="preserve">SDR </t>
  </si>
  <si>
    <t>Conversion Box for FPWH</t>
  </si>
  <si>
    <t>Woodford 67C 10CP</t>
  </si>
  <si>
    <t>Woodford 67BX</t>
  </si>
  <si>
    <t>Wall Hydrant</t>
  </si>
  <si>
    <t>Woodford B75</t>
  </si>
  <si>
    <t>Drain Valve</t>
  </si>
  <si>
    <t>Watts 74-CL MIPXHOSE BLR Drain</t>
  </si>
  <si>
    <t>Zurn 4-375ASTOSY</t>
  </si>
  <si>
    <t>AG-6 2-1/2-6</t>
  </si>
  <si>
    <t xml:space="preserve">     For 4" RPZ BFP</t>
  </si>
  <si>
    <t>AG-5 1-1/4-2</t>
  </si>
  <si>
    <t>Y STRAINER</t>
  </si>
  <si>
    <t>Threaded End</t>
  </si>
  <si>
    <t>Flanged End</t>
  </si>
  <si>
    <t>Zurn 4-FSC</t>
  </si>
  <si>
    <t>Specialties/Valves, labor and cost</t>
  </si>
  <si>
    <t>DOUBLE CHECK ASSEMBLY</t>
  </si>
  <si>
    <t>Watts SD3-MF 3/8" Dual Check</t>
  </si>
  <si>
    <t>3/4 LF9D Dual Check Valve</t>
  </si>
  <si>
    <t>Zurn 2-350XL</t>
  </si>
  <si>
    <t>Water Meter Box</t>
  </si>
  <si>
    <t>Extension Box for water meter box</t>
  </si>
  <si>
    <t xml:space="preserve">Oldcastle B-24 24x24x12 </t>
  </si>
  <si>
    <t>WATER METER</t>
  </si>
  <si>
    <t>Turbine Water Meter</t>
  </si>
  <si>
    <t>DL Jerman DLJ-100 1" Sub Meter</t>
  </si>
  <si>
    <t>Norgas Multimag 1-1/2</t>
  </si>
  <si>
    <t>DLJ 150</t>
  </si>
  <si>
    <t>DLJ 200</t>
  </si>
  <si>
    <t>H-40565W FIP DRZ</t>
  </si>
  <si>
    <t>PRESSURE REDUCING VALVE</t>
  </si>
  <si>
    <t>Zurn 114-NR3-XPL</t>
  </si>
  <si>
    <t>Zurn 2-NR3-XPL</t>
  </si>
  <si>
    <t>Zurn 4-ZW206BP</t>
  </si>
  <si>
    <t>Water Supply Boxes</t>
  </si>
  <si>
    <t>2" thick Fiberglass Insulation</t>
  </si>
  <si>
    <t>Zurn 3-375AST SS Body</t>
  </si>
  <si>
    <t xml:space="preserve">     For 3" RPZ BFP</t>
  </si>
  <si>
    <t>Zurn 3-FSC</t>
  </si>
  <si>
    <t>H-40564W FIP DRZ</t>
  </si>
  <si>
    <t>GAS SPECIALTIES</t>
  </si>
  <si>
    <t>GAS VALVE</t>
  </si>
  <si>
    <t>Jomar 102-603</t>
  </si>
  <si>
    <t>Jomar 102-604</t>
  </si>
  <si>
    <t>Jomar 102-605</t>
  </si>
  <si>
    <t>GAS SPECIALITIES</t>
  </si>
  <si>
    <t>Piping Materials:</t>
  </si>
  <si>
    <t>Pipe Insulations:</t>
  </si>
  <si>
    <t>C-900 PVC SDR 18</t>
  </si>
  <si>
    <t>Perforated Pipe PVC Sch 40</t>
  </si>
  <si>
    <t>Copper Type M Hard</t>
  </si>
  <si>
    <t>GALVANIZED STEEL</t>
  </si>
  <si>
    <t>Galvanized Steel Sch. 40</t>
  </si>
  <si>
    <t>C-901 PVC SDR 9</t>
  </si>
  <si>
    <t>C-900 PVC SDR 21</t>
  </si>
  <si>
    <t>SDR 26</t>
  </si>
  <si>
    <t>POLYETHYLENE PIPE</t>
  </si>
  <si>
    <t>Polyethylene Gas Pipe</t>
  </si>
  <si>
    <t>RPZ BFP</t>
  </si>
  <si>
    <t>DCV</t>
  </si>
  <si>
    <t>Yard Hydrant</t>
  </si>
  <si>
    <t>* Do not delete this table*</t>
  </si>
  <si>
    <t>Bell &amp; Gossett CB-1/2"</t>
  </si>
  <si>
    <t>Zurn 212-375AST</t>
  </si>
  <si>
    <t>H-40566W FIP DRZ</t>
  </si>
  <si>
    <t>MR-500NPB</t>
  </si>
  <si>
    <t>TP Distribution Unit</t>
  </si>
  <si>
    <t>MI-DU</t>
  </si>
  <si>
    <t>Gas Pressure Regulator</t>
  </si>
  <si>
    <t>Zurn 34-375XL</t>
  </si>
  <si>
    <t xml:space="preserve">     For 3/4" RPZ BFP</t>
  </si>
  <si>
    <t>AG-4 3/4-1</t>
  </si>
  <si>
    <t>DLJ7575</t>
  </si>
  <si>
    <t>Downspout Nozzle</t>
  </si>
  <si>
    <t>Josam 25024 SS</t>
  </si>
  <si>
    <t>Park/Trooper GT-1500 Concrete</t>
  </si>
  <si>
    <t>24" Riser Ext</t>
  </si>
  <si>
    <t>GREASE/OIL INTERCEPTOR</t>
  </si>
  <si>
    <t>Add 2 qty</t>
  </si>
  <si>
    <t xml:space="preserve">Zurn 112-375XL </t>
  </si>
  <si>
    <t>CURB STOP</t>
  </si>
  <si>
    <t>Legend 314-267NL</t>
  </si>
  <si>
    <t>Curb w/ lock</t>
  </si>
  <si>
    <t>Copper Type L Hard C&amp;C</t>
  </si>
  <si>
    <t>ELECTRIC WATER HEATER</t>
  </si>
  <si>
    <t>Lowboy Water Heater up to 50 gal</t>
  </si>
  <si>
    <t>ELECTRIC WATER HEATER PIPING</t>
  </si>
  <si>
    <t>Note: Piping considered are the following; 2x Ball Valves, 1x Check Valve, 1x Expansion Tank, 1x Vacuum Relief Valve</t>
  </si>
  <si>
    <t>w/ wall mount and straps</t>
  </si>
  <si>
    <t>GAS WATER HEATER PIPING</t>
  </si>
  <si>
    <t>Note: Piping considered are the following; 2x Ball Valves, 1x Check Valve, 1x Expansion Tank, 1x Vacuum Relief Valve, 1 Gas Valve</t>
  </si>
  <si>
    <t>Tall &amp; Short Water Heater up to 90 gal</t>
  </si>
  <si>
    <t>Tall &amp; Short Water Heater 90 gal - 120 gal</t>
  </si>
  <si>
    <t>Tall &amp; Short Water Heater up to 250 gal</t>
  </si>
  <si>
    <t>Point of Use Water Heater</t>
  </si>
  <si>
    <t>up to any KW w/ piping considered</t>
  </si>
  <si>
    <t>Tankless Water Heater 5.5kw</t>
  </si>
  <si>
    <t>Tankless Water Heater 9.5kw</t>
  </si>
  <si>
    <t>Tankless Water Heater 12kw</t>
  </si>
  <si>
    <t>Tankless Water Heater 28kw</t>
  </si>
  <si>
    <t>Maxitrol 325-5-3/4</t>
  </si>
  <si>
    <t>Maxitrol RV61-1</t>
  </si>
  <si>
    <t>Maxitrol 325-7AL210D-1-1/4</t>
  </si>
  <si>
    <t>RECIRCULATING PUMP</t>
  </si>
  <si>
    <t>up to 1/25 hp</t>
  </si>
  <si>
    <t>up to 1/4 hp</t>
  </si>
  <si>
    <t>up to 1 hp</t>
  </si>
  <si>
    <t>up to 1-1/2 hp</t>
  </si>
  <si>
    <t>RECIRCULATING PUMP PIPING</t>
  </si>
  <si>
    <t>Note: Piping considered are the following; 2x Ball Valves, 1x Check Valve, 1x Aquastat</t>
  </si>
  <si>
    <t>GAS WATER HEATER</t>
  </si>
  <si>
    <t>Tall &amp; Short Gas Water Heater up to 100 gal</t>
  </si>
  <si>
    <t>Tankless Gas Water Heater up to 140 MBH</t>
  </si>
  <si>
    <t>Tankless Gas Water Heater up to 199 MBH</t>
  </si>
  <si>
    <t>Tankless Gas Water Heater up to 235 MBH</t>
  </si>
  <si>
    <t>For Tankless Rack System</t>
  </si>
  <si>
    <t>Use LR = (no. of unit/10+1)xN</t>
  </si>
  <si>
    <t>Use the labor rate as N for Rack system</t>
  </si>
  <si>
    <t>GAS WATER HEATER VENT</t>
  </si>
  <si>
    <t xml:space="preserve">2" </t>
  </si>
  <si>
    <t>add additional rate if exceed 25ft</t>
  </si>
  <si>
    <t>MISCELLANEOUS</t>
  </si>
  <si>
    <t>PIPE SLEEVE</t>
  </si>
  <si>
    <t>(ORION)</t>
  </si>
  <si>
    <t>Polypropylene Sch. 40</t>
  </si>
  <si>
    <t>POLYPROPYLENE PIPE SCH. 40</t>
  </si>
  <si>
    <t>Zurn 1/2-375XL</t>
  </si>
  <si>
    <t>Zurn 2-375XL</t>
  </si>
  <si>
    <t xml:space="preserve">     For 1/2" RPZ BFP</t>
  </si>
  <si>
    <t>AG-8</t>
  </si>
  <si>
    <t>H-40562W FIP DRZ</t>
  </si>
  <si>
    <t>Hose Bibb w/ lock</t>
  </si>
  <si>
    <t xml:space="preserve">     For 1-1/4", 1-1/2" &amp; 2" RPZ BFP</t>
  </si>
  <si>
    <t>M12-001 12" Black base/green lid</t>
  </si>
  <si>
    <t>for old castle B-24x24x12</t>
  </si>
  <si>
    <t>Woodford Y34 6' bury</t>
  </si>
  <si>
    <t>Josam 25014 BS (Bronze)</t>
  </si>
  <si>
    <t>Josam 25016 BS (Bronze)</t>
  </si>
  <si>
    <t>HDPE Sleeve</t>
  </si>
  <si>
    <t>Josam 88273</t>
  </si>
  <si>
    <t>Josam 88274</t>
  </si>
  <si>
    <t>Josam 88276</t>
  </si>
  <si>
    <t>Josam 88278</t>
  </si>
  <si>
    <t xml:space="preserve">HDPE Sleeve </t>
  </si>
  <si>
    <t>Steel Sleeve</t>
  </si>
  <si>
    <t>INTERIOR WORKS</t>
  </si>
  <si>
    <t>EQUIPMENTS TOTAL</t>
  </si>
  <si>
    <t>FIXTURE TOTAL</t>
  </si>
  <si>
    <t>SANS SPECIALTIES TOTAL</t>
  </si>
  <si>
    <t>WATER SPECIALTIES TOTAL</t>
  </si>
  <si>
    <t>GAS SPECIALTIES TOTAL</t>
  </si>
  <si>
    <t>STORM SPECIALITIES</t>
  </si>
  <si>
    <t>STORM SPECIALTIES TOTAL</t>
  </si>
  <si>
    <t>SPECIALTIES TOTAL</t>
  </si>
  <si>
    <t>Water Specialties</t>
  </si>
  <si>
    <t>Sanitary Specialties</t>
  </si>
  <si>
    <t>Gas Specialties</t>
  </si>
  <si>
    <t>Storm Specialties</t>
  </si>
  <si>
    <t>Sanitary and Vent Piping</t>
  </si>
  <si>
    <t xml:space="preserve">Water and Insulation Piping </t>
  </si>
  <si>
    <t>Gas Piping</t>
  </si>
  <si>
    <t>Storm Piping</t>
  </si>
  <si>
    <t>PIPING</t>
  </si>
  <si>
    <t>WATER PIPE</t>
  </si>
  <si>
    <t>WATER PIPE TOTAL</t>
  </si>
  <si>
    <t>SANITARY AND VENT PIPE</t>
  </si>
  <si>
    <t>GAS PIPE</t>
  </si>
  <si>
    <t>GAS PIPE TOTAL</t>
  </si>
  <si>
    <t>STORM PIPE</t>
  </si>
  <si>
    <t>STORM PIPE TOTAL</t>
  </si>
  <si>
    <t>PIPING TOTAL</t>
  </si>
  <si>
    <t>WATER PIPE INSULATION</t>
  </si>
  <si>
    <t>WATER INSULATION TOTAL</t>
  </si>
  <si>
    <t>PRICING PER SYSTEM</t>
  </si>
  <si>
    <t>STORM PIPE INSULATION</t>
  </si>
  <si>
    <t>EXTERIOR WORKS</t>
  </si>
  <si>
    <t>SANITARY EXTERIOR</t>
  </si>
  <si>
    <t>SANITARY SPECIALTIES AND DEVICES</t>
  </si>
  <si>
    <t>TRENCHING</t>
  </si>
  <si>
    <t>SANITARY TRENCHING TOTAL</t>
  </si>
  <si>
    <t>SANITARY, VENT AND STORM PIPING</t>
  </si>
  <si>
    <t>Vent Line</t>
  </si>
  <si>
    <t>Storm</t>
  </si>
  <si>
    <t>SANITARY, VENT AND STORM PIPE TOTAL</t>
  </si>
  <si>
    <t>EXTERIOR UTILITY TAPPING CONNECTION</t>
  </si>
  <si>
    <t>SANITARY TAP CONNECTION TOTAL</t>
  </si>
  <si>
    <t>SANITARY SPECIALTIES AND DEVICES TOTAL</t>
  </si>
  <si>
    <t>SANITARY EXTERIOR TOTAL</t>
  </si>
  <si>
    <t>WATER EXTERIOR</t>
  </si>
  <si>
    <t>WATER TRENCHING TOTAL</t>
  </si>
  <si>
    <t>xxx</t>
  </si>
  <si>
    <t>WATER SPECIALTIES AND DEVICES TOTAL</t>
  </si>
  <si>
    <t>WATER PIPING</t>
  </si>
  <si>
    <t>DOMESTIC PIPE TOTAL</t>
  </si>
  <si>
    <t>WATER TAP CONNECTION TOTAL</t>
  </si>
  <si>
    <t>WATER EXTERIOR TOTAL</t>
  </si>
  <si>
    <t>WATER SPECIALTIES AND DEVICES</t>
  </si>
  <si>
    <t>GAS EXTERIOR</t>
  </si>
  <si>
    <t>GAS SPECIALTIES AND DEVICES</t>
  </si>
  <si>
    <t>GAS PIPING</t>
  </si>
  <si>
    <t>GAS TAP CONNECTION TOTAL</t>
  </si>
  <si>
    <t>GASEXTERIOR TOTAL</t>
  </si>
  <si>
    <t>INTERIOR UNDERSLAB WORKS</t>
  </si>
  <si>
    <t>SANITARY UNDERSLAB</t>
  </si>
  <si>
    <t>INTERIOR UTILITY TAPPING CONNECTION</t>
  </si>
  <si>
    <t>SANITARY TAP INTERIOR CONNECTION TOTAL</t>
  </si>
  <si>
    <t>WATER UNDERSLAB</t>
  </si>
  <si>
    <t>WATER UNDERSLAB TOTAL</t>
  </si>
  <si>
    <t>SANITARY UNDERSLAB TOTAL</t>
  </si>
  <si>
    <t>FIRST FLOOR UNDERSLAB TOTAL</t>
  </si>
  <si>
    <t>ALLOWANCE FOR FITTINGS (20%) AND WASTE FACTOR (15%)</t>
  </si>
  <si>
    <t>STORM INSULATION TOTAL</t>
  </si>
  <si>
    <t>INSULATION TOTAL</t>
  </si>
  <si>
    <t>First floor underslab roughing ins</t>
  </si>
  <si>
    <t>PVC Pressure Rated (Domestic Water)</t>
  </si>
  <si>
    <t>PVC Sch. 80 Pres Pipe</t>
  </si>
  <si>
    <t>POLYETHYLENE PIPE (Blue) C-901</t>
  </si>
  <si>
    <t xml:space="preserve">PE SDR 9 </t>
  </si>
  <si>
    <t>PVC (DWV)</t>
  </si>
  <si>
    <t>Cast Iron Hub and Spigot</t>
  </si>
  <si>
    <t>Stainless Steel Push fit</t>
  </si>
  <si>
    <t>STAINLESS STEEL 316L</t>
  </si>
  <si>
    <t>PVC Sch. 80 (DWV)</t>
  </si>
  <si>
    <t>Total After Tax and Management</t>
  </si>
  <si>
    <t>Total after profit</t>
  </si>
  <si>
    <t>Misc.</t>
  </si>
  <si>
    <t>ALLOWANCE FOR FITTINGS</t>
  </si>
  <si>
    <t>10"</t>
  </si>
  <si>
    <t>Threaded End, Brass, 2-piece body</t>
  </si>
  <si>
    <t>Sweat End, Bronze, 3-piece body, clean &amp; bag, med gas</t>
  </si>
  <si>
    <t>Nibco CS-595-YX-66-EC</t>
  </si>
  <si>
    <t>Zurn 1-1/2 600XL3</t>
  </si>
  <si>
    <t xml:space="preserve"> ---Nothing Follows--- </t>
  </si>
  <si>
    <t>San</t>
  </si>
  <si>
    <t>STORM SPECIALTIES</t>
  </si>
  <si>
    <t>CONDENSATE SPECIALTIES</t>
  </si>
  <si>
    <t>COMP. AIR SPECIALTIES</t>
  </si>
  <si>
    <t>XXX</t>
  </si>
  <si>
    <t>Comp. Air</t>
  </si>
  <si>
    <t>CONDENSATE SPECIALITIES</t>
  </si>
  <si>
    <t>CONDENSATE SPECIALTIES TOTAL</t>
  </si>
  <si>
    <t>COMP. AIR SPECIALTIES TOTAL</t>
  </si>
  <si>
    <t>COMP. AIR SPECIALITIES</t>
  </si>
  <si>
    <t>OTHER SPECIALTIES</t>
  </si>
  <si>
    <t>OTHER SPECIALITIES</t>
  </si>
  <si>
    <t>OTHER SPECIALTIES TOTAL</t>
  </si>
  <si>
    <t>FW</t>
  </si>
  <si>
    <t>CA</t>
  </si>
  <si>
    <t>CON</t>
  </si>
  <si>
    <t>GW</t>
  </si>
  <si>
    <t>GREASE WASTE</t>
  </si>
  <si>
    <t>COMP. AIR</t>
  </si>
  <si>
    <t>CONDENSATE</t>
  </si>
  <si>
    <t>FILTERED WATER SUPPLY</t>
  </si>
  <si>
    <t>COMP. AIR PIPE</t>
  </si>
  <si>
    <t>CONDENSATE PIPE</t>
  </si>
  <si>
    <t>COMP. AIR PIPE TOTAL</t>
  </si>
  <si>
    <t>CONDENSATE PIPE TOTAL</t>
  </si>
  <si>
    <t>SANITARY PIPE TOTAL</t>
  </si>
  <si>
    <t>CONDENSATE PIPE INSULATION</t>
  </si>
  <si>
    <t>CONDENSATE INSULATION TOTAL</t>
  </si>
  <si>
    <t>Grease Waste</t>
  </si>
  <si>
    <t>PIPE TOTAL</t>
  </si>
  <si>
    <t>STORM UNDERSLAB</t>
  </si>
  <si>
    <t>STORM TAP CONNECTION TOTAL</t>
  </si>
  <si>
    <t>STORM UNDERSLAB TOTAL</t>
  </si>
  <si>
    <t>GAS UNDERSLAB</t>
  </si>
  <si>
    <t>GAS TRENCHING TOTAL</t>
  </si>
  <si>
    <t>GAS UNDERSLAB TOTAL</t>
  </si>
  <si>
    <t>CONDENSATE UNDERSLAB</t>
  </si>
  <si>
    <t>CONDENSATE UNDERSLAB TOTAL</t>
  </si>
  <si>
    <t>OTHER PIPES UNDERSLAB</t>
  </si>
  <si>
    <t>Other Pipes</t>
  </si>
  <si>
    <t>Pipe</t>
  </si>
  <si>
    <t>TAP CONNECTION TOTAL</t>
  </si>
  <si>
    <t>OTHER PIPES UNDERSLAB TOTAL</t>
  </si>
  <si>
    <t>STORM EXTERIOR</t>
  </si>
  <si>
    <t>STORM PIPING</t>
  </si>
  <si>
    <t>STROM TAP CONNECTION TOTAL</t>
  </si>
  <si>
    <t>STORM EXTERIOR TOTAL</t>
  </si>
  <si>
    <t>Grease</t>
  </si>
  <si>
    <t>Condensate Specialties</t>
  </si>
  <si>
    <t>Compressed Air Specialties</t>
  </si>
  <si>
    <t>Other Specialties</t>
  </si>
  <si>
    <t>Condensate Piping</t>
  </si>
  <si>
    <t>Compressed Air Piping</t>
  </si>
  <si>
    <t>Exterior</t>
  </si>
  <si>
    <t xml:space="preserve">Water Piping </t>
  </si>
  <si>
    <t>OTHER PIPING</t>
  </si>
  <si>
    <t>CONDENSATE PIPING</t>
  </si>
  <si>
    <t>Copper DWV</t>
  </si>
  <si>
    <t>12"</t>
  </si>
  <si>
    <t>16"</t>
  </si>
  <si>
    <t>(If width  not given, assume  2ft plus Pipe diameter )</t>
  </si>
  <si>
    <t>(If depth  not given, assume   1.5ft plus  Pipe diameter )</t>
  </si>
  <si>
    <t>PIPE DIAMETER (Inches)</t>
  </si>
  <si>
    <t>DEPTH (FT)</t>
  </si>
  <si>
    <t>WIDTH (FT)</t>
  </si>
  <si>
    <t>TONNAGE</t>
  </si>
  <si>
    <t>VOLUME OF GRAVEL BEDDING (CU YD)</t>
  </si>
  <si>
    <t>PIPE DIA (IN)</t>
  </si>
  <si>
    <t>Depth of Trench (FT)</t>
  </si>
  <si>
    <t>SPOILS</t>
  </si>
  <si>
    <t>TRENCH DETAILS</t>
  </si>
  <si>
    <t>Linear FT of Top Soil Finish</t>
  </si>
  <si>
    <t>Linear FT of Top Pavement/Concrete Finish</t>
  </si>
  <si>
    <t>TRENCHING WORK</t>
  </si>
  <si>
    <t>Staking (FT)</t>
  </si>
  <si>
    <t>Testing (FT)</t>
  </si>
  <si>
    <t>Bedding Spoils (TONNAGE)</t>
  </si>
  <si>
    <t>Backfill Spoils (TONNAGE)</t>
  </si>
  <si>
    <t>Dump Fees ($450 per 25 TON  of excavation)</t>
  </si>
  <si>
    <t>No. of Fittings, Bends, or Valves (no.)</t>
  </si>
  <si>
    <t>Backfilling Materials (TONNAGE) +10%</t>
  </si>
  <si>
    <t>Excavation, Bedding, Pipe Laying, and Backfilling(FT)</t>
  </si>
  <si>
    <t>Tap to manhole</t>
  </si>
  <si>
    <t>Tap to pipe</t>
  </si>
  <si>
    <t>0"-8"</t>
  </si>
  <si>
    <t>GAS SPECIALTIES AND DEVICES TOTAL</t>
  </si>
  <si>
    <t>STORM TRENCHING TOTAL</t>
  </si>
  <si>
    <t>EXCAVATION</t>
  </si>
  <si>
    <t>GREASE TRAP DIMENSION</t>
  </si>
  <si>
    <t>Depth</t>
  </si>
  <si>
    <t>Length</t>
  </si>
  <si>
    <t>Width</t>
  </si>
  <si>
    <t>EXCAVATION WORK</t>
  </si>
  <si>
    <t>LENGTH (FT)</t>
  </si>
  <si>
    <t>VOLUME OF EXCAVATED MATERIAL (CU YD)</t>
  </si>
  <si>
    <t>Excavation, Bedding, and Compaction (FT)</t>
  </si>
  <si>
    <t>Bedding Materials (TONNAGE) +10%</t>
  </si>
  <si>
    <t>Backfill Materials (TONNAGE) +10%</t>
  </si>
  <si>
    <t>Excavation Spoils (TONNAGE)</t>
  </si>
  <si>
    <t>CONDENSATE TRENCHING TOTAL</t>
  </si>
  <si>
    <t>CONDENSATE TAP CONNECTION TOTAL</t>
  </si>
  <si>
    <t>TRENCHING TOTAL</t>
  </si>
  <si>
    <t>Bronze, 2-piece body, SS Stem, SS Ball</t>
  </si>
  <si>
    <t>Nibco T-585-66-LF</t>
  </si>
  <si>
    <t>Bronze, 2-piece body, SS Stem, SS Ball with Extension</t>
  </si>
  <si>
    <t>Nibco T-585-66-LF-NS</t>
  </si>
  <si>
    <t>Threaded, Y-Pattern, Si Bronze body, Si Bronze Disc</t>
  </si>
  <si>
    <t>PIPE DIAMETER</t>
  </si>
  <si>
    <t>Trench Depth</t>
  </si>
  <si>
    <t>Up to 5'</t>
  </si>
  <si>
    <t>Watts LF777S</t>
  </si>
  <si>
    <t>Zurn 3-ZW209BP</t>
  </si>
  <si>
    <t>STORM SPECIALTIES AND DEVICES TOTAL</t>
  </si>
  <si>
    <t>STORM SPECIALTIES AND DEVICES</t>
  </si>
  <si>
    <t>Yes</t>
  </si>
  <si>
    <t>Rock Excavation ($187.5/hr + $3000 for mobilization)</t>
  </si>
  <si>
    <t>Trench Safety Rental ($30/hr)</t>
  </si>
  <si>
    <t>Zurn Z1700100</t>
  </si>
  <si>
    <t>Zurn Z1700200</t>
  </si>
  <si>
    <t>Zurn Z1700300</t>
  </si>
  <si>
    <t>Zurn Z1700400</t>
  </si>
  <si>
    <t>Zurn Z1700500</t>
  </si>
  <si>
    <t>Zurn Z1700600</t>
  </si>
  <si>
    <t>Watts LFU5BZ</t>
  </si>
  <si>
    <t>WATER PIPE SYSTEM</t>
  </si>
  <si>
    <t>GAS SYSTEM</t>
  </si>
  <si>
    <t>Assumed 1' pipe allowance per fixture</t>
  </si>
  <si>
    <t>PIPE INSULATION FILTERED WATER SUPPLY</t>
  </si>
  <si>
    <t>Water Closet</t>
  </si>
  <si>
    <t>Cleanout 4"</t>
  </si>
  <si>
    <t>Timer</t>
  </si>
  <si>
    <t>Aquastat</t>
  </si>
  <si>
    <t>Seat</t>
  </si>
  <si>
    <t>Flush Valve</t>
  </si>
  <si>
    <t>Thermostatic Mixing Valve</t>
  </si>
  <si>
    <t>Ice Bin</t>
  </si>
  <si>
    <t>Dishwasher</t>
  </si>
  <si>
    <t>Floor Sink 3"</t>
  </si>
  <si>
    <t>Floor Drain 3"</t>
  </si>
  <si>
    <t>JOSAM 30003-S5-Y Cl FD W/ 5</t>
  </si>
  <si>
    <t>JOSAM 55004-1-Y FCO</t>
  </si>
  <si>
    <t>AOS 100111100</t>
  </si>
  <si>
    <t>ST-12 280FPH12</t>
  </si>
  <si>
    <t>Union</t>
  </si>
  <si>
    <t>TACO 265-3 24HR</t>
  </si>
  <si>
    <t>563-2 3/4</t>
  </si>
  <si>
    <t>3043.001.020 WHT EL COMP BOWL</t>
  </si>
  <si>
    <t>ZTR62 00-WS1 EXP SNSR</t>
  </si>
  <si>
    <t>OPENFRONT</t>
  </si>
  <si>
    <t>111.597.00.1 geberit / davis sales grp</t>
  </si>
  <si>
    <t>johnny bolts</t>
  </si>
  <si>
    <t>Trap Primer 1/2"</t>
  </si>
  <si>
    <t>TP</t>
  </si>
  <si>
    <t>LAWLER 570 3 / 8</t>
  </si>
  <si>
    <t>Domestic Waterline to Espresso Machine</t>
  </si>
  <si>
    <t>Filtered Waterline to Espresso Machine</t>
  </si>
  <si>
    <t>GREASE WASTE SYSTEM</t>
  </si>
  <si>
    <t>Grease specialties such as floor drains, floor sinks  and cleanouts as indicated in the plan</t>
  </si>
  <si>
    <t>760-1 1-1/4X6 CAST GRID DRAIN</t>
  </si>
  <si>
    <t>701-1 1-1/4 CP 17GA P-TRAP</t>
  </si>
  <si>
    <t>EFSV-12CX38C UPONOR ANGLE STOP</t>
  </si>
  <si>
    <t>1-20A CP 3/8X20 LAV RISER</t>
  </si>
  <si>
    <t>1099B 5/8 OD CP FLANGE</t>
  </si>
  <si>
    <t>EF-FC-38DT-20 3/8C X 20 CONN</t>
  </si>
  <si>
    <t>Storm Drain Piping</t>
  </si>
  <si>
    <t>Exterior works</t>
  </si>
  <si>
    <t>Allownce 5%</t>
  </si>
  <si>
    <t>University Park Village Starbucks</t>
  </si>
  <si>
    <t>1620 S University DR, Fort Worth, TX 76107</t>
  </si>
  <si>
    <t>June 17, 2025</t>
  </si>
  <si>
    <t>Renovation of a single story coffee shop building in Fort Worth, TX.</t>
  </si>
  <si>
    <t>Assumed only</t>
  </si>
  <si>
    <t>P501
PLUMBING DETAILS
P001
PLUMBING NOTES</t>
  </si>
  <si>
    <t>P101
PLUMBING SUPPLY PLAN</t>
  </si>
  <si>
    <t>Backflow preventer shall be by Landlord</t>
  </si>
  <si>
    <t>Sleeve for CW and CWF</t>
  </si>
  <si>
    <t>SANITARY AND VENT  PIPING</t>
  </si>
  <si>
    <t>Sleeve underground</t>
  </si>
  <si>
    <t>Trap primer</t>
  </si>
  <si>
    <t>Mop Sink</t>
  </si>
  <si>
    <t>Sink WH</t>
  </si>
  <si>
    <t>Sink-hand w/ side splash</t>
  </si>
  <si>
    <t>22768 (OSM)</t>
  </si>
  <si>
    <t>13264 (OSM)</t>
  </si>
  <si>
    <t>3-Comp SST</t>
  </si>
  <si>
    <t>Sink-rinse drop-in SST</t>
  </si>
  <si>
    <t>KITCHEN EQUIPMENT</t>
  </si>
  <si>
    <t>19742 (OSM)</t>
  </si>
  <si>
    <t>10344 (OSM)</t>
  </si>
  <si>
    <t>19728 (OSM)</t>
  </si>
  <si>
    <t>22885 (OSM)</t>
  </si>
  <si>
    <t>24007 (OSM)</t>
  </si>
  <si>
    <t>Espresso</t>
  </si>
  <si>
    <t>Ice Bin drop</t>
  </si>
  <si>
    <t>Brewer Clover</t>
  </si>
  <si>
    <t>18029 (OSM)</t>
  </si>
  <si>
    <t>23186 (OSM)</t>
  </si>
  <si>
    <t>Ice Machine</t>
  </si>
  <si>
    <t>X2500</t>
  </si>
  <si>
    <t>Water heater</t>
  </si>
  <si>
    <t>Recirculating pump</t>
  </si>
  <si>
    <t>Filter - RO</t>
  </si>
  <si>
    <t>Filter - Booster Pump</t>
  </si>
  <si>
    <t>Filter-Water softener</t>
  </si>
  <si>
    <t>Filter-Pre-filtration</t>
  </si>
  <si>
    <t>Filter-Polyglass vessel</t>
  </si>
  <si>
    <t>Filter-Brine Tank</t>
  </si>
  <si>
    <t>Filter - RO storage tank</t>
  </si>
  <si>
    <t>10995 /10922 (OSM)</t>
  </si>
  <si>
    <t>10116 /21352 (OSM)</t>
  </si>
  <si>
    <t>10153 (OSM)</t>
  </si>
  <si>
    <t>11003 (OSM)</t>
  </si>
  <si>
    <t>22642 (OSM)</t>
  </si>
  <si>
    <t>Sink with CTOP rinser</t>
  </si>
  <si>
    <t>14688/13588 (OSM)</t>
  </si>
  <si>
    <t>10447 (OSM)</t>
  </si>
  <si>
    <t>10804 (OSM)</t>
  </si>
  <si>
    <t>CTOP-F water tower</t>
  </si>
  <si>
    <t>CTOP-F metered</t>
  </si>
  <si>
    <t>CTOP-F-Insta hot2</t>
  </si>
  <si>
    <t>3-comp F- pre-rinse with sprayer</t>
  </si>
  <si>
    <t>3-comp F- pre-rinse swing</t>
  </si>
  <si>
    <t>10549/10152 (OSM)</t>
  </si>
  <si>
    <t>18473 (OSM)</t>
  </si>
  <si>
    <t xml:space="preserve">Sink water filling </t>
  </si>
  <si>
    <t>SW F-water tower</t>
  </si>
  <si>
    <t>10215 (OSM)</t>
  </si>
  <si>
    <t>SW F-double lab</t>
  </si>
  <si>
    <t>SW-F-Insta hot2</t>
  </si>
  <si>
    <t>Sink drop-in</t>
  </si>
  <si>
    <t>22630 (OSM)</t>
  </si>
  <si>
    <t>Sink F-water tower</t>
  </si>
  <si>
    <t>10943 (OSM)</t>
  </si>
  <si>
    <t>Sink F-single lab</t>
  </si>
  <si>
    <t>10597 (OSM)</t>
  </si>
  <si>
    <t>Faucet-single handle</t>
  </si>
  <si>
    <t>12501 (SB-VD)</t>
  </si>
  <si>
    <t>23355 (SB-VD)</t>
  </si>
  <si>
    <t>13082 (SB-VD)</t>
  </si>
  <si>
    <t>13076 (SB-VD)</t>
  </si>
  <si>
    <t>12899 (SB-VD)</t>
  </si>
  <si>
    <t>12896 (SB-VD)</t>
  </si>
  <si>
    <t>12507 (SB-VD)</t>
  </si>
  <si>
    <t>10294/10726 (OSM)</t>
  </si>
  <si>
    <t>X8150/X8151</t>
  </si>
  <si>
    <t>X2003</t>
  </si>
  <si>
    <t>Cleanout 3"</t>
  </si>
  <si>
    <t>VTR</t>
  </si>
  <si>
    <t>Vent through roof, 4"</t>
  </si>
  <si>
    <t>HB</t>
  </si>
  <si>
    <t>Hosebibb, 3/4"</t>
  </si>
  <si>
    <t>To gas water heater</t>
  </si>
  <si>
    <t>Shut-off valve 1-1/4"</t>
  </si>
  <si>
    <t>To RTU-1 / 2</t>
  </si>
  <si>
    <t>To RTU-3</t>
  </si>
  <si>
    <t>Indirect (2")</t>
  </si>
  <si>
    <t>Indirect (1")</t>
  </si>
  <si>
    <t>Indirect (5/8")</t>
  </si>
  <si>
    <t>Indirect (1-1/2")</t>
  </si>
  <si>
    <t>Indirect (3/4")</t>
  </si>
  <si>
    <t>CWS (3/4"), Indirect (5/8")</t>
  </si>
  <si>
    <t>CWS</t>
  </si>
  <si>
    <t>Consider 16ft for gas riser</t>
  </si>
  <si>
    <t>Consider 16ft for vent stack</t>
  </si>
  <si>
    <t>Consider 10ft for cw/ hw riser</t>
  </si>
  <si>
    <t>Vent riser 1-1/2"</t>
  </si>
  <si>
    <t>Vent riser 2"</t>
  </si>
  <si>
    <t>Vent riser 3"</t>
  </si>
  <si>
    <t>P502
PLUMBING DETAILS</t>
  </si>
  <si>
    <t>Consider Copper DWV for the indirect waste line</t>
  </si>
  <si>
    <t>Black steel sch.40 for gas line</t>
  </si>
  <si>
    <t>Gas water heater connection</t>
  </si>
  <si>
    <t>Check valve 1"</t>
  </si>
  <si>
    <t>Expansion tank</t>
  </si>
  <si>
    <t>Vacuum relief valve 3/4"</t>
  </si>
  <si>
    <t>Straps</t>
  </si>
  <si>
    <t>Drain pan</t>
  </si>
  <si>
    <t>T&amp;P relief valve</t>
  </si>
  <si>
    <t xml:space="preserve">Concentric valve </t>
  </si>
  <si>
    <t>Condensate Neutralization</t>
  </si>
  <si>
    <t>Booster pump</t>
  </si>
  <si>
    <t>BP</t>
  </si>
  <si>
    <t>Recirculating pump connection</t>
  </si>
  <si>
    <t>Shut-off valve 1"</t>
  </si>
  <si>
    <t>Shut-off valve 3/4"</t>
  </si>
  <si>
    <t>Check valve 3/4"</t>
  </si>
  <si>
    <t>VENT FLUE</t>
  </si>
  <si>
    <t>Consider 18ft for vent flue of gas water heater</t>
  </si>
  <si>
    <t>VD</t>
  </si>
  <si>
    <t>SB</t>
  </si>
  <si>
    <t>Dual check valve 1/2", ASSE 1024</t>
  </si>
  <si>
    <t>Dual check valve 3/4", ASSE 1024</t>
  </si>
  <si>
    <t>1/2" LF7U2-2 Dual Check Valve (Lead Free)</t>
  </si>
  <si>
    <t>3/4" LF7RU2-2 Dual Check Valve (Lead Free)</t>
  </si>
  <si>
    <t>Pressure vacuum breaker 1/2", ASSE 1020</t>
  </si>
  <si>
    <t>1/2" Wilkins 12-460XL Spill Resistant Pressure Vacuum Breaker Assembly (Lead Free)</t>
  </si>
  <si>
    <t>https://www.supplyhouse.com/Zurn-12-460XL-1-2-Wilkins-12-460XL-Spill-Resistant-Pressure-Vacuum-Breaker-Assembly-Lead-Free</t>
  </si>
  <si>
    <t>Connection only</t>
  </si>
  <si>
    <t>Shut-off valve 1/2"</t>
  </si>
  <si>
    <t>Water hammer arrester, 1/2"</t>
  </si>
  <si>
    <t>Nibco, T-585-66-LF</t>
  </si>
  <si>
    <t>Provided by SB, final connection</t>
  </si>
  <si>
    <t>Bradford White, EF-60-125E-3N(A)</t>
  </si>
  <si>
    <t>LFN-36</t>
  </si>
  <si>
    <t>BELL &amp; GOSSETT, NBF-12U/LW 3/4"</t>
  </si>
  <si>
    <t>Josam</t>
  </si>
  <si>
    <t>Floor sink, 16"</t>
  </si>
  <si>
    <t>Water hammer arrester,  1/2"</t>
  </si>
  <si>
    <t>SOFT WATER SUPPLY</t>
  </si>
  <si>
    <t>P001
PLUMBING NOTES</t>
  </si>
  <si>
    <t>Consider Copper type M for the condensate drains of starbucks equipment</t>
  </si>
  <si>
    <t>Indirect waste of fixtures</t>
  </si>
  <si>
    <t>Shut-off valve,  1/2"</t>
  </si>
  <si>
    <t>Provide shut-off valve each equipment and fixture</t>
  </si>
  <si>
    <t>Shut-off valve,  1"</t>
  </si>
  <si>
    <t>Wall clean-out, 2"</t>
  </si>
  <si>
    <t>PIPE INSULATION SOFTWATER SUPPLY</t>
  </si>
  <si>
    <t>Consider lead-free bronze type ball valves</t>
  </si>
  <si>
    <t>Consider 1/2" thick fiberglass insulation for domestic water and 1" thick for hot water</t>
  </si>
  <si>
    <t>Consider copper pipe type L hard pipe for domestic water</t>
  </si>
  <si>
    <t>Consider PVC sch.40 for sanitary and vent pipes</t>
  </si>
  <si>
    <t>Consider copper type M condensate drain of starbucks equipment insulated with 1/2" thick closed-cell insulation</t>
  </si>
  <si>
    <t>Consider copper type DWV for indirect waste of plumbing fixtures</t>
  </si>
  <si>
    <t>Alowance for existing water cooler</t>
  </si>
  <si>
    <t>Consider PVC sch.40, 3" gas water heater vent flue</t>
  </si>
  <si>
    <t xml:space="preserve">NIBCO T-413-Y-LF </t>
  </si>
  <si>
    <t>Included in the water heater</t>
  </si>
  <si>
    <t>JOSAM 58606-CO4 CO FERRULE W/
6" RD SS CVR</t>
  </si>
  <si>
    <t>LL</t>
  </si>
  <si>
    <t>Existing NFHB</t>
  </si>
  <si>
    <t>https://www.commercialplumbingsupply.com/proddetail.asp?prod=Z1920-4NL-2</t>
  </si>
  <si>
    <t>Water closet</t>
  </si>
  <si>
    <t>Lavatory</t>
  </si>
  <si>
    <t>Hand sink</t>
  </si>
  <si>
    <t>3-comp sink</t>
  </si>
  <si>
    <t>floor sink</t>
  </si>
  <si>
    <t>Gas pipe up to 1"</t>
  </si>
  <si>
    <t>Gas pipe 1-1/2" to 2"</t>
  </si>
  <si>
    <t>Domestic water</t>
  </si>
  <si>
    <t>Sanitary and vent</t>
  </si>
  <si>
    <t>Supply and installation of kitchen equipment</t>
  </si>
  <si>
    <t>Supply of sink and faucets, floor sinks, main backflow preventer</t>
  </si>
  <si>
    <t>Gas and water meter assembly (already existing)</t>
  </si>
  <si>
    <t>Mop sink</t>
  </si>
  <si>
    <t>Supply and installation of  grease interceptor and sampling port</t>
  </si>
  <si>
    <t>Supply and installation of water filtration and water softener system</t>
  </si>
  <si>
    <t>Copper Type L hard filtered water to starbucks equipment</t>
  </si>
  <si>
    <t>PVC Sch. 40 grease waste pipes from kitchen equipment to 5ft tie-in grease connection including trenching</t>
  </si>
  <si>
    <t>Gas specialties such as valves as indicated in the plan.</t>
  </si>
  <si>
    <t>Vendor Quotation :</t>
  </si>
  <si>
    <t xml:space="preserve">Date: </t>
  </si>
  <si>
    <t>CONDENSATE FOR STARBUCKS EQUIPMENT</t>
  </si>
  <si>
    <t>Copper type M hard condensate drain from starbucks equipment to floor sinks</t>
  </si>
  <si>
    <t>Copper type DWV for indirect waste of sinks to floor sinks</t>
  </si>
  <si>
    <t>Copper type M hard, 1/2" thick closed-cell insulation</t>
  </si>
  <si>
    <t>DEMOLITION</t>
  </si>
  <si>
    <t>Removal</t>
  </si>
  <si>
    <t>Plumbing fixtures such as water closet, lavatory, hand sink, mop sinks and 3-comp sinks including its associated pipe.</t>
  </si>
  <si>
    <t>Gas piping up to gas meter</t>
  </si>
  <si>
    <t>Copper Type L hard cold water-softened pipe from brine tank to water heater and dishwasher</t>
  </si>
  <si>
    <t>Assumed that the gas line to be demolished is the same quantity as for the new installation</t>
  </si>
  <si>
    <t>Included labor for pipe laying in trenching cost</t>
  </si>
  <si>
    <t>Contigency</t>
  </si>
  <si>
    <t>BUILDING MECHANICAL V.0</t>
  </si>
  <si>
    <t>WATER PIPE FITTINGS &amp; SUPPORTS</t>
  </si>
  <si>
    <t>Elbow 90deg 1/2"</t>
  </si>
  <si>
    <t>Elbow 90deg 3/4"</t>
  </si>
  <si>
    <t>Elbow 90deg 1"</t>
  </si>
  <si>
    <t>Elbow 90deg 1-1/4"</t>
  </si>
  <si>
    <t>Elbow 90deg 2"</t>
  </si>
  <si>
    <t>Elbow 45deg 1/2"</t>
  </si>
  <si>
    <t>Elbow 45deg 3/4"</t>
  </si>
  <si>
    <t>Elbow 45deg 1"</t>
  </si>
  <si>
    <t>DOMESTIC WATER SUPPLY</t>
  </si>
  <si>
    <t>Elbow reducer 1-1/4"x1"</t>
  </si>
  <si>
    <t>Elbow reducer 1-1/2"x1"</t>
  </si>
  <si>
    <t>Tee 1/2"</t>
  </si>
  <si>
    <t>Tee 3/4"</t>
  </si>
  <si>
    <t>Tee 1"</t>
  </si>
  <si>
    <t>Tee 1-1/4"</t>
  </si>
  <si>
    <t>Tee 1-1/2"</t>
  </si>
  <si>
    <t>Reducing Tee 1" x1/2"</t>
  </si>
  <si>
    <t>Reducing Tee 1-1/4" x1/2"</t>
  </si>
  <si>
    <t>Reducing Tee 1-1/4" x3/4"</t>
  </si>
  <si>
    <t>Reducing Tee 1-1/4" x1"</t>
  </si>
  <si>
    <t>Reducing Tee 1-1/2" x1"</t>
  </si>
  <si>
    <t>Reducing Tee 2" x1/2"</t>
  </si>
  <si>
    <t>Reducing Tee 2" x1"</t>
  </si>
  <si>
    <t>Reducer 1" x 1/2"</t>
  </si>
  <si>
    <t>Reducer 1" x 3/4"</t>
  </si>
  <si>
    <t>Reducer 1-1/2" x 1"</t>
  </si>
  <si>
    <t>Reducing Tee 1" x3/4"</t>
  </si>
  <si>
    <t>FIXTURE CONNECTION</t>
  </si>
  <si>
    <t>HANGERS AND SUPPORTS</t>
  </si>
  <si>
    <t>Combination wye &amp; 1/8 bend  3"</t>
  </si>
  <si>
    <t>Combination wye &amp; 1/8 bend  4"</t>
  </si>
  <si>
    <t>PVC clean-out adapter with plug 3"</t>
  </si>
  <si>
    <t>PVC clean-out adapter with plug 4"</t>
  </si>
  <si>
    <t>Wye 3"</t>
  </si>
  <si>
    <t>Wye 4"</t>
  </si>
  <si>
    <t>Reducing wye 4"x2"</t>
  </si>
  <si>
    <t>Reducing wye 4"x3"</t>
  </si>
  <si>
    <t>Elbow 1/8" bend 2"</t>
  </si>
  <si>
    <t>Elbow 1/8" bend 3"</t>
  </si>
  <si>
    <t>Elbow 1/8" bend 4"</t>
  </si>
  <si>
    <t>Elbow 1/4" bend 1-1/ 2"</t>
  </si>
  <si>
    <t>Elbow 1/4" bend  2"</t>
  </si>
  <si>
    <t>Elbow 1/4" bend  3"</t>
  </si>
  <si>
    <t>Elbow 1/4" bend  4"</t>
  </si>
  <si>
    <t>Tee 2"</t>
  </si>
  <si>
    <t>Tee 3"</t>
  </si>
  <si>
    <t>Reducing tee 3" x 1-1/2"</t>
  </si>
  <si>
    <t>Reducing tee 3" x 2"</t>
  </si>
  <si>
    <t>Reducing tee 4" x 3"</t>
  </si>
  <si>
    <t>Reducing wye 3"x2"</t>
  </si>
  <si>
    <t>Reducer coupling 3"x2"</t>
  </si>
  <si>
    <t>Reducer coupling 4"x1-1/2"</t>
  </si>
  <si>
    <t>Reducer coupling 4"x3"</t>
  </si>
  <si>
    <t>GREASE WASTE &amp; VENT</t>
  </si>
  <si>
    <t>HANGERS &amp; SUPPORTS</t>
  </si>
  <si>
    <t>Gas regulator 1-1/4"</t>
  </si>
  <si>
    <t>Tee w/ cap 1/8" pressure gauge connection</t>
  </si>
  <si>
    <t>Sediment trap</t>
  </si>
  <si>
    <t>1-1/2" zinc coated lag screws</t>
  </si>
  <si>
    <t>Galvanized c-clamp 2"</t>
  </si>
  <si>
    <t>Galvanized c-clamp 1"</t>
  </si>
  <si>
    <t>Galvanized c-clamp 1-1/4"</t>
  </si>
  <si>
    <t>Galvanized c-clamp 1-1/2"</t>
  </si>
  <si>
    <t>Union 1-1/4"</t>
  </si>
  <si>
    <t>Gas regulator 1"</t>
  </si>
  <si>
    <t>Union 1"</t>
  </si>
  <si>
    <t>GAS PIPE FITTINGS</t>
  </si>
  <si>
    <t>ROOF SUPPORTS</t>
  </si>
  <si>
    <t>Reducing tee 1-1/2" x 1-1/4"</t>
  </si>
  <si>
    <t>Reducing tee 2" x 1"</t>
  </si>
  <si>
    <t>Reducing tee 2" x 1-1/4"</t>
  </si>
  <si>
    <t>Reducer 1-1/2" x 1-1/4"</t>
  </si>
  <si>
    <t>Reducer 2" x 1-1/2"</t>
  </si>
  <si>
    <t>GAS FITTINGS &amp; SUPPORTS TOTAL</t>
  </si>
  <si>
    <t>P-trap 2"</t>
  </si>
  <si>
    <t>P-trap 3"</t>
  </si>
  <si>
    <t>Hub drain w/ funnel, 2"</t>
  </si>
  <si>
    <t>Female adapter 1/2"</t>
  </si>
  <si>
    <t>Copper plated steel stubout bracket</t>
  </si>
  <si>
    <t>Wrought Copper Solder Fittings</t>
  </si>
  <si>
    <t>1/2" Female Sweat Copper Stub Out Elbow, 3.5" x 8"</t>
  </si>
  <si>
    <t>Male adapter 1/2"</t>
  </si>
  <si>
    <t>Clevis Hanger 3-1/2"</t>
  </si>
  <si>
    <t>Clevis Hanger 2-7/8"</t>
  </si>
  <si>
    <t>Clevis Hanger 2-3/8"</t>
  </si>
  <si>
    <t>Clevis Hanger 1-7/8"</t>
  </si>
  <si>
    <t>Beam C-Clamp 3/8"</t>
  </si>
  <si>
    <t>Threaded rod 3/8"</t>
  </si>
  <si>
    <t>Pipe insulation shield 3.5</t>
  </si>
  <si>
    <t>Pipe insulation shield 3</t>
  </si>
  <si>
    <t>Pipe insulation shield 2.5</t>
  </si>
  <si>
    <t>Pipe insulation shield 2</t>
  </si>
  <si>
    <t>Galvanized Finish</t>
  </si>
  <si>
    <t>SANITARY AND VENT FITTINGS &amp; SUPPORTS</t>
  </si>
  <si>
    <t>Clevis Hanger 2"</t>
  </si>
  <si>
    <t>Clevis Hanger 3"</t>
  </si>
  <si>
    <t>Clevis Hanger 4"</t>
  </si>
  <si>
    <t>Toilet flange 4"x3"</t>
  </si>
  <si>
    <t>1" Female Sweat Copper Stub Out Elbow, 3.5" x 8"</t>
  </si>
  <si>
    <t>Coupling 1"</t>
  </si>
  <si>
    <t>Coupling 3/4"</t>
  </si>
  <si>
    <t>Coupling 1-1/4"</t>
  </si>
  <si>
    <t>Coupling 1-1/2"</t>
  </si>
  <si>
    <t>Coupling 2"</t>
  </si>
  <si>
    <t>Cap 1-1/4"</t>
  </si>
  <si>
    <t>Cap 1"</t>
  </si>
  <si>
    <t>Rooftop Pipe Support Block</t>
  </si>
  <si>
    <t>Gas water heater Vent Flue</t>
  </si>
  <si>
    <t>INDIRECT WASTE FITTINGS</t>
  </si>
  <si>
    <t>Copper DWV wye 2"</t>
  </si>
  <si>
    <t>Copper DWV  elbow 90deg  2"</t>
  </si>
  <si>
    <t>Hose compression fitting 3/4"</t>
  </si>
  <si>
    <t>CONDENSATE PIPE FITTINGS</t>
  </si>
  <si>
    <t xml:space="preserve">CONDENSATE FOR KITCHEN EQUIPMENT </t>
  </si>
  <si>
    <t>CONDENSATE (Espresso, Ice machine, ice bin etc.)</t>
  </si>
  <si>
    <t>Elbow 45deg 5/8"</t>
  </si>
  <si>
    <t>Elbow 90deg 5/8"</t>
  </si>
  <si>
    <t>Elbow 45deg 1-1/2"</t>
  </si>
  <si>
    <t>Elbow 90deg 1-1/2"</t>
  </si>
  <si>
    <t>5/8"</t>
  </si>
  <si>
    <t>Female adapter 3/4"</t>
  </si>
  <si>
    <t>Union 3/4"</t>
  </si>
  <si>
    <t>Water Hammer Arrestor B</t>
  </si>
  <si>
    <t>Water hammer arrester 1/2"</t>
  </si>
  <si>
    <t>Water hammer arrester  3/4"</t>
  </si>
  <si>
    <t>Piping, fittings and supports</t>
  </si>
  <si>
    <t>Elbow reducer 90deg 3/4" x 1/2"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</si>
</sst>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₱&quot;* #,##0.00_-;\-&quot;₱&quot;* #,##0.00_-;_-&quot;₱&quot;* &quot;-&quot;??_-;_-@_-"/>
    <numFmt numFmtId="165" formatCode="_-* #,##0.00_-;\-* #,##0.00_-;_-* &quot;-&quot;??_-;_-@_-"/>
    <numFmt numFmtId="166" formatCode="0.00\ &quot;hrs&quot;"/>
    <numFmt numFmtId="167" formatCode="0\ &quot;EA&quot;"/>
    <numFmt numFmtId="168" formatCode="0\ &quot;LF&quot;"/>
    <numFmt numFmtId="169" formatCode="0\ &quot;LOT&quot;"/>
    <numFmt numFmtId="170" formatCode="_(&quot;$&quot;* #,##0_);_(&quot;$&quot;* \(#,##0\);_(&quot;$&quot;* &quot;-&quot;??_);_(@_)"/>
    <numFmt numFmtId="171" formatCode="0.0\ &quot;hrs&quot;"/>
    <numFmt numFmtId="172" formatCode="&quot; + WASTAGE FACTOR&quot;\ 0.00"/>
    <numFmt numFmtId="173" formatCode="&quot;Drop, fixture to pipe, ft=&quot;\ 0"/>
    <numFmt numFmtId="174" formatCode="_(* #,##0_);_(* \(#,##0\);_(* &quot;-&quot;??_);_(@_)"/>
    <numFmt numFmtId="175" formatCode="&quot;Allowance=&quot;\ 0&quot;'&quot;"/>
    <numFmt numFmtId="176" formatCode="_-[$$-409]* #,##0.00_ ;_-[$$-409]* \-#,##0.00\ ;_-[$$-409]* &quot;-&quot;??_ ;_-@_ "/>
    <numFmt numFmtId="177" formatCode="_(* #,##0.00_);_(* \(#,##0.00\);_(* &quot;N/A&quot;??_);_(@_)"/>
    <numFmt numFmtId="178" formatCode="0.000"/>
    <numFmt numFmtId="179" formatCode="0.0\ &quot;FT³/TON&quot;"/>
    <numFmt numFmtId="180" formatCode="_(* #,##0.000_);_(* \(#,##0.000\);_(* &quot;-&quot;??_);_(@_)"/>
    <numFmt numFmtId="181" formatCode="[$-3409]dd\-mmm\-yy;@"/>
    <numFmt numFmtId="182" formatCode="m/d/yyyy;@"/>
    <numFmt numFmtId="183" formatCode="0\ &quot;TON&quot;"/>
    <numFmt numFmtId="184" formatCode="0\ &quot;YARD&quot;"/>
    <numFmt numFmtId="185" formatCode="0.0\ &quot;hrs&quot;\ &quot;  &quot;"/>
    <numFmt numFmtId="186" formatCode=";;"/>
    <numFmt numFmtId="187" formatCode="0;\-0;;@"/>
    <numFmt numFmtId="188" formatCode="_-* #,##0.000_-;\-* #,##0.000_-;_-* &quot;-&quot;?_-;_-@_-"/>
    <numFmt numFmtId="189" formatCode="0\ &quot;YD³&quot;"/>
    <numFmt numFmtId="190" formatCode="General;General;&quot;Type here YES if applicable&quot;"/>
    <numFmt numFmtId="191" formatCode="_(* #,##0.0_);_(* \(#,##0.0\);_(* &quot;-&quot;?_);_(@_)"/>
    <numFmt numFmtId="192" formatCode="_(* #,##0.00_);_(* \(#,##0.00\);_(* &quot;-&quot;?_);_(@_)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venir Next LT Pro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2"/>
      <name val="Arial Narrow"/>
      <family val="2"/>
    </font>
    <font>
      <b/>
      <sz val="12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 tint="4.9989318521683403E-2"/>
      <name val="Arial Narrow"/>
      <family val="2"/>
    </font>
    <font>
      <i/>
      <sz val="11"/>
      <color theme="1"/>
      <name val="Arial Narrow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 Narrow"/>
      <family val="2"/>
    </font>
    <font>
      <i/>
      <sz val="10"/>
      <color theme="1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FF"/>
        <bgColor indexed="64"/>
      </patternFill>
    </fill>
  </fills>
  <borders count="7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48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9" fillId="0" borderId="0"/>
    <xf numFmtId="0" fontId="1" fillId="3" borderId="2" applyNumberFormat="0" applyFont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2" fillId="0" borderId="0"/>
    <xf numFmtId="0" fontId="17" fillId="0" borderId="0"/>
    <xf numFmtId="0" fontId="22" fillId="0" borderId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3" borderId="2" applyNumberFormat="0" applyFont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3" borderId="2" applyNumberFormat="0" applyFont="0" applyAlignment="0" applyProtection="0"/>
    <xf numFmtId="0" fontId="17" fillId="0" borderId="0"/>
    <xf numFmtId="0" fontId="17" fillId="0" borderId="0"/>
    <xf numFmtId="0" fontId="17" fillId="0" borderId="0"/>
    <xf numFmtId="165" fontId="17" fillId="0" borderId="0" applyFont="0" applyFill="0" applyBorder="0" applyAlignment="0" applyProtection="0"/>
    <xf numFmtId="0" fontId="17" fillId="0" borderId="0"/>
    <xf numFmtId="0" fontId="17" fillId="3" borderId="2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4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7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638">
    <xf numFmtId="0" fontId="0" fillId="0" borderId="0" xfId="0"/>
    <xf numFmtId="0" fontId="4" fillId="0" borderId="0" xfId="0" applyFont="1"/>
    <xf numFmtId="0" fontId="6" fillId="4" borderId="4" xfId="4" applyFont="1" applyFill="1" applyBorder="1" applyAlignment="1">
      <alignment horizontal="center" vertical="center"/>
    </xf>
    <xf numFmtId="44" fontId="0" fillId="0" borderId="0" xfId="0" applyNumberFormat="1"/>
    <xf numFmtId="0" fontId="3" fillId="0" borderId="0" xfId="0" applyFont="1"/>
    <xf numFmtId="44" fontId="10" fillId="0" borderId="0" xfId="0" applyNumberFormat="1" applyFont="1"/>
    <xf numFmtId="167" fontId="8" fillId="0" borderId="5" xfId="6" applyNumberFormat="1" applyFont="1" applyBorder="1" applyAlignment="1">
      <alignment horizontal="center" vertical="center"/>
    </xf>
    <xf numFmtId="168" fontId="8" fillId="0" borderId="5" xfId="1" applyNumberFormat="1" applyFont="1" applyFill="1" applyBorder="1" applyAlignment="1">
      <alignment horizontal="center" vertical="center"/>
    </xf>
    <xf numFmtId="169" fontId="8" fillId="0" borderId="5" xfId="6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5" xfId="0" applyFont="1" applyBorder="1"/>
    <xf numFmtId="0" fontId="5" fillId="4" borderId="3" xfId="4" applyFont="1" applyFill="1" applyBorder="1" applyAlignment="1">
      <alignment horizontal="center" vertical="center"/>
    </xf>
    <xf numFmtId="170" fontId="0" fillId="0" borderId="0" xfId="0" applyNumberFormat="1"/>
    <xf numFmtId="0" fontId="0" fillId="0" borderId="0" xfId="0" applyAlignment="1">
      <alignment horizontal="left"/>
    </xf>
    <xf numFmtId="0" fontId="1" fillId="0" borderId="5" xfId="0" applyFont="1" applyBorder="1"/>
    <xf numFmtId="0" fontId="0" fillId="0" borderId="0" xfId="0" applyAlignment="1">
      <alignment horizontal="left" vertical="center"/>
    </xf>
    <xf numFmtId="0" fontId="0" fillId="0" borderId="12" xfId="0" applyBorder="1"/>
    <xf numFmtId="169" fontId="8" fillId="0" borderId="12" xfId="6" applyNumberFormat="1" applyFont="1" applyBorder="1" applyAlignment="1">
      <alignment horizontal="center" vertical="center"/>
    </xf>
    <xf numFmtId="168" fontId="8" fillId="0" borderId="12" xfId="1" applyNumberFormat="1" applyFont="1" applyFill="1" applyBorder="1" applyAlignment="1">
      <alignment horizontal="center" vertical="center"/>
    </xf>
    <xf numFmtId="0" fontId="0" fillId="0" borderId="14" xfId="0" applyBorder="1"/>
    <xf numFmtId="169" fontId="8" fillId="0" borderId="14" xfId="6" applyNumberFormat="1" applyFont="1" applyBorder="1" applyAlignment="1">
      <alignment horizontal="center" vertical="center"/>
    </xf>
    <xf numFmtId="168" fontId="8" fillId="0" borderId="14" xfId="1" applyNumberFormat="1" applyFont="1" applyFill="1" applyBorder="1" applyAlignment="1">
      <alignment horizontal="center" vertical="center"/>
    </xf>
    <xf numFmtId="166" fontId="8" fillId="5" borderId="14" xfId="1" applyNumberFormat="1" applyFont="1" applyFill="1" applyBorder="1" applyAlignment="1">
      <alignment horizontal="right" vertical="center"/>
    </xf>
    <xf numFmtId="3" fontId="12" fillId="0" borderId="13" xfId="5" applyNumberFormat="1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171" fontId="8" fillId="5" borderId="5" xfId="1" applyNumberFormat="1" applyFont="1" applyFill="1" applyBorder="1" applyAlignment="1">
      <alignment horizontal="right" vertical="center"/>
    </xf>
    <xf numFmtId="171" fontId="8" fillId="5" borderId="12" xfId="1" applyNumberFormat="1" applyFont="1" applyFill="1" applyBorder="1" applyAlignment="1">
      <alignment horizontal="right" vertical="center"/>
    </xf>
    <xf numFmtId="0" fontId="0" fillId="6" borderId="0" xfId="0" applyFill="1" applyAlignment="1">
      <alignment horizontal="center"/>
    </xf>
    <xf numFmtId="170" fontId="0" fillId="6" borderId="0" xfId="0" applyNumberFormat="1" applyFill="1" applyAlignment="1">
      <alignment horizontal="center"/>
    </xf>
    <xf numFmtId="44" fontId="0" fillId="6" borderId="0" xfId="2" applyFont="1" applyFill="1" applyAlignment="1">
      <alignment horizontal="center"/>
    </xf>
    <xf numFmtId="44" fontId="4" fillId="6" borderId="0" xfId="2" applyFont="1" applyFill="1" applyAlignment="1">
      <alignment horizontal="center"/>
    </xf>
    <xf numFmtId="170" fontId="4" fillId="6" borderId="0" xfId="2" applyNumberFormat="1" applyFont="1" applyFill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0" xfId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8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3" fillId="7" borderId="16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173" fontId="0" fillId="0" borderId="8" xfId="0" applyNumberFormat="1" applyBorder="1" applyAlignment="1">
      <alignment horizontal="right"/>
    </xf>
    <xf numFmtId="0" fontId="0" fillId="0" borderId="0" xfId="0" applyAlignment="1">
      <alignment wrapText="1"/>
    </xf>
    <xf numFmtId="16" fontId="4" fillId="0" borderId="5" xfId="0" applyNumberFormat="1" applyFont="1" applyBorder="1" applyAlignment="1">
      <alignment horizontal="center"/>
    </xf>
    <xf numFmtId="170" fontId="4" fillId="0" borderId="0" xfId="2" applyNumberFormat="1" applyFont="1" applyFill="1" applyBorder="1"/>
    <xf numFmtId="43" fontId="0" fillId="0" borderId="0" xfId="1" applyFont="1" applyFill="1" applyBorder="1"/>
    <xf numFmtId="43" fontId="0" fillId="0" borderId="0" xfId="1" applyFont="1" applyFill="1" applyBorder="1" applyAlignment="1">
      <alignment horizontal="center" vertical="center"/>
    </xf>
    <xf numFmtId="14" fontId="0" fillId="0" borderId="0" xfId="0" quotePrefix="1" applyNumberFormat="1" applyAlignment="1">
      <alignment horizontal="left"/>
    </xf>
    <xf numFmtId="43" fontId="0" fillId="0" borderId="0" xfId="0" applyNumberFormat="1"/>
    <xf numFmtId="43" fontId="0" fillId="0" borderId="0" xfId="1" applyFont="1" applyBorder="1"/>
    <xf numFmtId="0" fontId="4" fillId="0" borderId="10" xfId="0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center" vertical="center"/>
    </xf>
    <xf numFmtId="168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6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9" xfId="0" applyBorder="1"/>
    <xf numFmtId="0" fontId="0" fillId="0" borderId="27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12" xfId="0" applyBorder="1" applyAlignment="1">
      <alignment horizontal="center"/>
    </xf>
    <xf numFmtId="0" fontId="4" fillId="0" borderId="30" xfId="0" applyFont="1" applyBorder="1" applyAlignment="1">
      <alignment horizontal="right"/>
    </xf>
    <xf numFmtId="0" fontId="0" fillId="0" borderId="30" xfId="0" applyBorder="1"/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20" xfId="0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43" fontId="0" fillId="0" borderId="0" xfId="1" applyFont="1" applyFill="1" applyBorder="1" applyAlignment="1">
      <alignment horizontal="left"/>
    </xf>
    <xf numFmtId="170" fontId="1" fillId="0" borderId="0" xfId="2" applyNumberFormat="1" applyFont="1" applyFill="1" applyBorder="1"/>
    <xf numFmtId="44" fontId="4" fillId="0" borderId="0" xfId="2" applyFont="1" applyBorder="1"/>
    <xf numFmtId="170" fontId="4" fillId="0" borderId="0" xfId="2" applyNumberFormat="1" applyFont="1" applyBorder="1"/>
    <xf numFmtId="0" fontId="0" fillId="0" borderId="31" xfId="0" applyBorder="1"/>
    <xf numFmtId="0" fontId="0" fillId="0" borderId="32" xfId="0" applyBorder="1"/>
    <xf numFmtId="170" fontId="4" fillId="0" borderId="32" xfId="2" applyNumberFormat="1" applyFont="1" applyBorder="1"/>
    <xf numFmtId="172" fontId="13" fillId="9" borderId="5" xfId="0" applyNumberFormat="1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4" fillId="0" borderId="28" xfId="0" applyFont="1" applyBorder="1"/>
    <xf numFmtId="0" fontId="4" fillId="0" borderId="29" xfId="0" applyFont="1" applyBorder="1"/>
    <xf numFmtId="0" fontId="4" fillId="0" borderId="27" xfId="0" applyFont="1" applyBorder="1"/>
    <xf numFmtId="0" fontId="4" fillId="0" borderId="22" xfId="0" applyFont="1" applyBorder="1"/>
    <xf numFmtId="0" fontId="4" fillId="0" borderId="23" xfId="0" applyFont="1" applyBorder="1"/>
    <xf numFmtId="0" fontId="0" fillId="0" borderId="35" xfId="0" applyBorder="1"/>
    <xf numFmtId="0" fontId="0" fillId="0" borderId="36" xfId="0" applyBorder="1"/>
    <xf numFmtId="1" fontId="0" fillId="0" borderId="34" xfId="0" applyNumberFormat="1" applyBorder="1"/>
    <xf numFmtId="44" fontId="0" fillId="0" borderId="0" xfId="2" applyFont="1"/>
    <xf numFmtId="0" fontId="5" fillId="4" borderId="26" xfId="4" applyFont="1" applyFill="1" applyBorder="1" applyAlignment="1">
      <alignment horizontal="center" vertical="center"/>
    </xf>
    <xf numFmtId="0" fontId="6" fillId="4" borderId="20" xfId="4" applyFont="1" applyFill="1" applyBorder="1" applyAlignment="1">
      <alignment horizontal="center" vertical="center"/>
    </xf>
    <xf numFmtId="0" fontId="6" fillId="4" borderId="21" xfId="4" applyFont="1" applyFill="1" applyBorder="1" applyAlignment="1">
      <alignment horizontal="center" vertical="center"/>
    </xf>
    <xf numFmtId="3" fontId="4" fillId="0" borderId="27" xfId="5" applyNumberFormat="1" applyFont="1" applyFill="1" applyBorder="1" applyAlignment="1">
      <alignment horizontal="left" vertical="center"/>
    </xf>
    <xf numFmtId="44" fontId="8" fillId="5" borderId="22" xfId="2" applyFont="1" applyFill="1" applyBorder="1" applyAlignment="1">
      <alignment horizontal="center" vertical="center"/>
    </xf>
    <xf numFmtId="3" fontId="7" fillId="0" borderId="37" xfId="5" applyNumberFormat="1" applyFont="1" applyFill="1" applyBorder="1" applyAlignment="1">
      <alignment horizontal="left" vertical="center"/>
    </xf>
    <xf numFmtId="44" fontId="8" fillId="5" borderId="38" xfId="2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vertical="center" wrapText="1"/>
    </xf>
    <xf numFmtId="43" fontId="0" fillId="0" borderId="0" xfId="1" applyFont="1" applyBorder="1" applyAlignment="1">
      <alignment vertical="center"/>
    </xf>
    <xf numFmtId="170" fontId="0" fillId="0" borderId="0" xfId="0" applyNumberFormat="1" applyAlignment="1">
      <alignment vertical="center"/>
    </xf>
    <xf numFmtId="0" fontId="0" fillId="0" borderId="5" xfId="0" applyBorder="1"/>
    <xf numFmtId="0" fontId="0" fillId="0" borderId="0" xfId="0" applyAlignment="1">
      <alignment horizontal="left" wrapText="1"/>
    </xf>
    <xf numFmtId="3" fontId="16" fillId="0" borderId="39" xfId="0" applyNumberFormat="1" applyFont="1" applyBorder="1" applyAlignment="1">
      <alignment horizontal="left" vertical="center"/>
    </xf>
    <xf numFmtId="175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15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10" borderId="0" xfId="0" applyFont="1" applyFill="1" applyAlignment="1">
      <alignment horizontal="center"/>
    </xf>
    <xf numFmtId="0" fontId="21" fillId="0" borderId="0" xfId="0" applyFont="1"/>
    <xf numFmtId="0" fontId="20" fillId="0" borderId="0" xfId="0" applyFont="1" applyAlignment="1">
      <alignment horizontal="center" vertical="center" wrapText="1"/>
    </xf>
    <xf numFmtId="0" fontId="4" fillId="0" borderId="31" xfId="0" applyFont="1" applyBorder="1" applyAlignment="1">
      <alignment horizontal="left"/>
    </xf>
    <xf numFmtId="0" fontId="0" fillId="0" borderId="8" xfId="0" applyBorder="1" applyAlignment="1">
      <alignment vertical="center" wrapText="1"/>
    </xf>
    <xf numFmtId="43" fontId="4" fillId="0" borderId="5" xfId="0" applyNumberFormat="1" applyFont="1" applyBorder="1" applyAlignment="1">
      <alignment horizontal="center"/>
    </xf>
    <xf numFmtId="43" fontId="0" fillId="0" borderId="0" xfId="0" applyNumberFormat="1" applyAlignment="1">
      <alignment horizontal="center" vertical="center"/>
    </xf>
    <xf numFmtId="43" fontId="4" fillId="9" borderId="5" xfId="1" applyFont="1" applyFill="1" applyBorder="1" applyAlignment="1">
      <alignment vertical="center"/>
    </xf>
    <xf numFmtId="44" fontId="4" fillId="0" borderId="0" xfId="2" applyFont="1" applyFill="1"/>
    <xf numFmtId="165" fontId="0" fillId="0" borderId="0" xfId="9" applyFont="1" applyFill="1" applyBorder="1" applyAlignment="1">
      <alignment horizontal="right" vertical="center"/>
    </xf>
    <xf numFmtId="0" fontId="0" fillId="0" borderId="31" xfId="0" applyBorder="1" applyAlignment="1">
      <alignment horizontal="left"/>
    </xf>
    <xf numFmtId="165" fontId="0" fillId="0" borderId="0" xfId="9" applyFont="1" applyBorder="1" applyAlignment="1">
      <alignment vertical="center"/>
    </xf>
    <xf numFmtId="0" fontId="0" fillId="0" borderId="40" xfId="0" applyBorder="1"/>
    <xf numFmtId="170" fontId="4" fillId="0" borderId="32" xfId="0" applyNumberFormat="1" applyFont="1" applyBorder="1"/>
    <xf numFmtId="0" fontId="4" fillId="0" borderId="32" xfId="0" applyFont="1" applyBorder="1"/>
    <xf numFmtId="170" fontId="4" fillId="6" borderId="7" xfId="1" applyNumberFormat="1" applyFont="1" applyFill="1" applyBorder="1" applyAlignment="1">
      <alignment horizontal="center"/>
    </xf>
    <xf numFmtId="170" fontId="4" fillId="6" borderId="0" xfId="0" applyNumberFormat="1" applyFont="1" applyFill="1" applyAlignment="1">
      <alignment horizontal="center"/>
    </xf>
    <xf numFmtId="170" fontId="4" fillId="0" borderId="34" xfId="0" applyNumberFormat="1" applyFont="1" applyBorder="1"/>
    <xf numFmtId="170" fontId="4" fillId="0" borderId="11" xfId="0" applyNumberFormat="1" applyFont="1" applyBorder="1"/>
    <xf numFmtId="0" fontId="4" fillId="0" borderId="31" xfId="0" applyFont="1" applyBorder="1"/>
    <xf numFmtId="2" fontId="0" fillId="0" borderId="0" xfId="1" applyNumberFormat="1" applyFont="1" applyFill="1" applyBorder="1"/>
    <xf numFmtId="0" fontId="10" fillId="0" borderId="31" xfId="0" applyFont="1" applyBorder="1" applyAlignment="1">
      <alignment horizontal="center" vertical="center"/>
    </xf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0" fillId="0" borderId="40" xfId="0" applyBorder="1" applyAlignment="1">
      <alignment horizontal="center" vertical="center"/>
    </xf>
    <xf numFmtId="2" fontId="0" fillId="0" borderId="40" xfId="0" applyNumberFormat="1" applyBorder="1"/>
    <xf numFmtId="170" fontId="4" fillId="0" borderId="0" xfId="0" applyNumberFormat="1" applyFont="1"/>
    <xf numFmtId="9" fontId="0" fillId="0" borderId="0" xfId="3" applyFont="1" applyBorder="1"/>
    <xf numFmtId="0" fontId="15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4" fillId="0" borderId="10" xfId="0" applyFont="1" applyBorder="1" applyAlignment="1">
      <alignment horizontal="center" vertical="center"/>
    </xf>
    <xf numFmtId="44" fontId="4" fillId="0" borderId="20" xfId="2" applyFont="1" applyBorder="1"/>
    <xf numFmtId="170" fontId="4" fillId="0" borderId="21" xfId="2" applyNumberFormat="1" applyFont="1" applyBorder="1"/>
    <xf numFmtId="0" fontId="0" fillId="0" borderId="31" xfId="0" applyBorder="1" applyAlignment="1">
      <alignment vertical="center"/>
    </xf>
    <xf numFmtId="43" fontId="0" fillId="0" borderId="0" xfId="1" applyFont="1" applyFill="1" applyBorder="1" applyAlignment="1">
      <alignment horizontal="left" vertical="center"/>
    </xf>
    <xf numFmtId="170" fontId="4" fillId="0" borderId="0" xfId="2" applyNumberFormat="1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44" fontId="4" fillId="0" borderId="0" xfId="2" applyFont="1" applyBorder="1" applyAlignment="1">
      <alignment vertical="center"/>
    </xf>
    <xf numFmtId="170" fontId="4" fillId="0" borderId="32" xfId="2" applyNumberFormat="1" applyFont="1" applyBorder="1" applyAlignment="1">
      <alignment vertical="center"/>
    </xf>
    <xf numFmtId="0" fontId="14" fillId="0" borderId="31" xfId="0" applyFont="1" applyBorder="1" applyAlignment="1">
      <alignment vertical="center"/>
    </xf>
    <xf numFmtId="44" fontId="4" fillId="0" borderId="0" xfId="2" applyFont="1" applyFill="1" applyBorder="1" applyAlignment="1">
      <alignment vertical="center"/>
    </xf>
    <xf numFmtId="44" fontId="4" fillId="0" borderId="32" xfId="2" applyFont="1" applyFill="1" applyBorder="1" applyAlignment="1">
      <alignment vertical="center"/>
    </xf>
    <xf numFmtId="44" fontId="4" fillId="0" borderId="32" xfId="2" applyFont="1" applyBorder="1"/>
    <xf numFmtId="1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4" fontId="4" fillId="0" borderId="0" xfId="2" applyFont="1" applyFill="1" applyBorder="1"/>
    <xf numFmtId="1" fontId="0" fillId="0" borderId="0" xfId="0" applyNumberFormat="1" applyAlignment="1">
      <alignment horizontal="center"/>
    </xf>
    <xf numFmtId="44" fontId="4" fillId="0" borderId="32" xfId="2" applyFont="1" applyFill="1" applyBorder="1"/>
    <xf numFmtId="1" fontId="0" fillId="0" borderId="0" xfId="0" applyNumberFormat="1" applyAlignment="1">
      <alignment horizontal="center" vertical="center"/>
    </xf>
    <xf numFmtId="170" fontId="4" fillId="0" borderId="32" xfId="2" applyNumberFormat="1" applyFont="1" applyFill="1" applyBorder="1"/>
    <xf numFmtId="0" fontId="14" fillId="0" borderId="31" xfId="0" applyFont="1" applyBorder="1"/>
    <xf numFmtId="1" fontId="0" fillId="0" borderId="0" xfId="1" applyNumberFormat="1" applyFont="1" applyFill="1" applyBorder="1" applyAlignment="1">
      <alignment horizontal="center"/>
    </xf>
    <xf numFmtId="1" fontId="0" fillId="0" borderId="0" xfId="0" applyNumberFormat="1"/>
    <xf numFmtId="170" fontId="4" fillId="6" borderId="34" xfId="2" applyNumberFormat="1" applyFont="1" applyFill="1" applyBorder="1" applyAlignment="1">
      <alignment horizontal="center"/>
    </xf>
    <xf numFmtId="0" fontId="4" fillId="6" borderId="33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43" fontId="4" fillId="6" borderId="11" xfId="1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43" fontId="4" fillId="0" borderId="11" xfId="0" applyNumberFormat="1" applyFont="1" applyBorder="1"/>
    <xf numFmtId="176" fontId="0" fillId="0" borderId="0" xfId="0" applyNumberFormat="1"/>
    <xf numFmtId="176" fontId="0" fillId="0" borderId="0" xfId="0" applyNumberFormat="1" applyAlignment="1">
      <alignment horizontal="center" vertical="center"/>
    </xf>
    <xf numFmtId="9" fontId="0" fillId="0" borderId="0" xfId="3" applyFont="1" applyFill="1" applyBorder="1"/>
    <xf numFmtId="174" fontId="0" fillId="0" borderId="0" xfId="0" applyNumberFormat="1"/>
    <xf numFmtId="43" fontId="0" fillId="0" borderId="0" xfId="1" applyFont="1" applyFill="1" applyBorder="1" applyAlignment="1">
      <alignment horizontal="center"/>
    </xf>
    <xf numFmtId="170" fontId="4" fillId="0" borderId="0" xfId="1" applyNumberFormat="1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 vertical="center"/>
    </xf>
    <xf numFmtId="2" fontId="4" fillId="6" borderId="11" xfId="0" applyNumberFormat="1" applyFont="1" applyFill="1" applyBorder="1" applyAlignment="1">
      <alignment horizontal="center" vertical="center"/>
    </xf>
    <xf numFmtId="43" fontId="4" fillId="6" borderId="11" xfId="0" applyNumberFormat="1" applyFont="1" applyFill="1" applyBorder="1"/>
    <xf numFmtId="170" fontId="4" fillId="6" borderId="40" xfId="0" applyNumberFormat="1" applyFont="1" applyFill="1" applyBorder="1"/>
    <xf numFmtId="170" fontId="4" fillId="6" borderId="34" xfId="0" applyNumberFormat="1" applyFont="1" applyFill="1" applyBorder="1"/>
    <xf numFmtId="0" fontId="0" fillId="0" borderId="2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4" fillId="0" borderId="20" xfId="0" applyFont="1" applyBorder="1"/>
    <xf numFmtId="165" fontId="0" fillId="0" borderId="5" xfId="0" applyNumberFormat="1" applyBorder="1"/>
    <xf numFmtId="4" fontId="0" fillId="0" borderId="5" xfId="0" applyNumberFormat="1" applyBorder="1"/>
    <xf numFmtId="43" fontId="0" fillId="0" borderId="32" xfId="1" applyFont="1" applyBorder="1"/>
    <xf numFmtId="170" fontId="4" fillId="6" borderId="11" xfId="0" applyNumberFormat="1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43" fontId="4" fillId="6" borderId="11" xfId="0" applyNumberFormat="1" applyFont="1" applyFill="1" applyBorder="1" applyAlignment="1">
      <alignment horizontal="center"/>
    </xf>
    <xf numFmtId="43" fontId="4" fillId="6" borderId="11" xfId="0" applyNumberFormat="1" applyFont="1" applyFill="1" applyBorder="1" applyAlignment="1">
      <alignment horizontal="right"/>
    </xf>
    <xf numFmtId="44" fontId="4" fillId="6" borderId="11" xfId="2" applyFont="1" applyFill="1" applyBorder="1" applyAlignment="1">
      <alignment horizontal="center"/>
    </xf>
    <xf numFmtId="43" fontId="4" fillId="6" borderId="0" xfId="1" applyFont="1" applyFill="1" applyBorder="1" applyAlignment="1">
      <alignment horizontal="center"/>
    </xf>
    <xf numFmtId="0" fontId="15" fillId="0" borderId="31" xfId="0" applyFont="1" applyBorder="1"/>
    <xf numFmtId="9" fontId="15" fillId="0" borderId="0" xfId="3" applyFont="1" applyBorder="1"/>
    <xf numFmtId="0" fontId="0" fillId="0" borderId="31" xfId="0" applyBorder="1" applyAlignment="1">
      <alignment vertical="top"/>
    </xf>
    <xf numFmtId="0" fontId="4" fillId="0" borderId="33" xfId="0" applyFont="1" applyBorder="1"/>
    <xf numFmtId="0" fontId="4" fillId="0" borderId="11" xfId="0" applyFont="1" applyBorder="1"/>
    <xf numFmtId="0" fontId="4" fillId="6" borderId="33" xfId="0" applyFont="1" applyFill="1" applyBorder="1"/>
    <xf numFmtId="0" fontId="4" fillId="6" borderId="0" xfId="0" applyFont="1" applyFill="1"/>
    <xf numFmtId="43" fontId="4" fillId="6" borderId="11" xfId="1" applyFont="1" applyFill="1" applyBorder="1" applyAlignment="1">
      <alignment horizontal="left"/>
    </xf>
    <xf numFmtId="43" fontId="4" fillId="6" borderId="34" xfId="1" applyFont="1" applyFill="1" applyBorder="1" applyAlignment="1">
      <alignment horizontal="left"/>
    </xf>
    <xf numFmtId="4" fontId="0" fillId="0" borderId="0" xfId="0" applyNumberFormat="1" applyAlignment="1">
      <alignment vertical="center"/>
    </xf>
    <xf numFmtId="4" fontId="0" fillId="0" borderId="0" xfId="0" applyNumberFormat="1" applyAlignment="1">
      <alignment horizontal="center"/>
    </xf>
    <xf numFmtId="4" fontId="13" fillId="0" borderId="0" xfId="0" applyNumberFormat="1" applyFont="1" applyAlignment="1">
      <alignment vertical="center"/>
    </xf>
    <xf numFmtId="170" fontId="23" fillId="0" borderId="0" xfId="0" applyNumberFormat="1" applyFont="1"/>
    <xf numFmtId="44" fontId="24" fillId="5" borderId="15" xfId="2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left" vertical="center"/>
    </xf>
    <xf numFmtId="0" fontId="0" fillId="0" borderId="8" xfId="0" applyBorder="1" applyAlignment="1">
      <alignment wrapText="1"/>
    </xf>
    <xf numFmtId="165" fontId="0" fillId="0" borderId="0" xfId="9" applyFont="1" applyFill="1"/>
    <xf numFmtId="43" fontId="0" fillId="0" borderId="0" xfId="1" applyFont="1" applyFill="1"/>
    <xf numFmtId="0" fontId="14" fillId="0" borderId="31" xfId="0" applyFont="1" applyBorder="1" applyAlignment="1">
      <alignment vertical="top"/>
    </xf>
    <xf numFmtId="0" fontId="0" fillId="0" borderId="0" xfId="0" applyAlignment="1">
      <alignment horizontal="left" vertical="center" wrapText="1"/>
    </xf>
    <xf numFmtId="0" fontId="0" fillId="0" borderId="34" xfId="0" applyBorder="1" applyAlignment="1">
      <alignment horizontal="right"/>
    </xf>
    <xf numFmtId="10" fontId="8" fillId="5" borderId="5" xfId="3" applyNumberFormat="1" applyFont="1" applyFill="1" applyBorder="1" applyAlignment="1">
      <alignment horizontal="right" vertical="center"/>
    </xf>
    <xf numFmtId="0" fontId="4" fillId="0" borderId="42" xfId="0" applyFont="1" applyBorder="1" applyAlignment="1">
      <alignment horizontal="center"/>
    </xf>
    <xf numFmtId="0" fontId="11" fillId="6" borderId="10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0" fillId="0" borderId="0" xfId="0" quotePrefix="1" applyAlignment="1">
      <alignment vertical="top" wrapText="1"/>
    </xf>
    <xf numFmtId="0" fontId="0" fillId="0" borderId="43" xfId="0" applyBorder="1" applyAlignment="1">
      <alignment horizontal="center"/>
    </xf>
    <xf numFmtId="4" fontId="0" fillId="0" borderId="9" xfId="0" applyNumberFormat="1" applyBorder="1"/>
    <xf numFmtId="0" fontId="0" fillId="0" borderId="43" xfId="0" applyBorder="1"/>
    <xf numFmtId="0" fontId="0" fillId="0" borderId="19" xfId="0" applyBorder="1"/>
    <xf numFmtId="165" fontId="0" fillId="0" borderId="0" xfId="680" applyFont="1" applyFill="1"/>
    <xf numFmtId="0" fontId="10" fillId="0" borderId="31" xfId="0" applyFont="1" applyBorder="1" applyAlignment="1">
      <alignment horizontal="left" vertical="center"/>
    </xf>
    <xf numFmtId="0" fontId="10" fillId="12" borderId="33" xfId="0" applyFont="1" applyFill="1" applyBorder="1" applyAlignment="1">
      <alignment horizontal="center" vertical="center"/>
    </xf>
    <xf numFmtId="0" fontId="0" fillId="12" borderId="11" xfId="0" applyFill="1" applyBorder="1"/>
    <xf numFmtId="0" fontId="0" fillId="12" borderId="11" xfId="0" applyFill="1" applyBorder="1" applyAlignment="1">
      <alignment horizontal="center" vertical="center"/>
    </xf>
    <xf numFmtId="0" fontId="0" fillId="12" borderId="34" xfId="0" applyFill="1" applyBorder="1"/>
    <xf numFmtId="170" fontId="4" fillId="6" borderId="11" xfId="2" applyNumberFormat="1" applyFont="1" applyFill="1" applyBorder="1"/>
    <xf numFmtId="0" fontId="0" fillId="0" borderId="47" xfId="0" applyBorder="1"/>
    <xf numFmtId="0" fontId="0" fillId="0" borderId="48" xfId="0" applyBorder="1"/>
    <xf numFmtId="178" fontId="0" fillId="0" borderId="5" xfId="0" applyNumberFormat="1" applyBorder="1" applyAlignment="1">
      <alignment horizontal="center"/>
    </xf>
    <xf numFmtId="179" fontId="0" fillId="0" borderId="41" xfId="0" applyNumberFormat="1" applyBorder="1" applyAlignment="1">
      <alignment horizontal="center" vertical="center"/>
    </xf>
    <xf numFmtId="0" fontId="0" fillId="0" borderId="49" xfId="0" applyBorder="1"/>
    <xf numFmtId="0" fontId="25" fillId="6" borderId="44" xfId="0" applyFont="1" applyFill="1" applyBorder="1"/>
    <xf numFmtId="0" fontId="10" fillId="6" borderId="45" xfId="0" applyFont="1" applyFill="1" applyBorder="1" applyAlignment="1">
      <alignment horizontal="right"/>
    </xf>
    <xf numFmtId="0" fontId="25" fillId="6" borderId="45" xfId="0" applyFont="1" applyFill="1" applyBorder="1"/>
    <xf numFmtId="43" fontId="10" fillId="6" borderId="45" xfId="0" applyNumberFormat="1" applyFont="1" applyFill="1" applyBorder="1"/>
    <xf numFmtId="165" fontId="10" fillId="6" borderId="45" xfId="0" applyNumberFormat="1" applyFont="1" applyFill="1" applyBorder="1"/>
    <xf numFmtId="170" fontId="10" fillId="6" borderId="45" xfId="0" applyNumberFormat="1" applyFont="1" applyFill="1" applyBorder="1"/>
    <xf numFmtId="0" fontId="10" fillId="6" borderId="46" xfId="0" applyFont="1" applyFill="1" applyBorder="1"/>
    <xf numFmtId="0" fontId="4" fillId="6" borderId="35" xfId="0" applyFont="1" applyFill="1" applyBorder="1" applyAlignment="1">
      <alignment horizontal="center"/>
    </xf>
    <xf numFmtId="0" fontId="4" fillId="6" borderId="40" xfId="0" applyFont="1" applyFill="1" applyBorder="1" applyAlignment="1">
      <alignment horizontal="center"/>
    </xf>
    <xf numFmtId="0" fontId="4" fillId="6" borderId="40" xfId="0" applyFont="1" applyFill="1" applyBorder="1" applyAlignment="1">
      <alignment horizontal="center" vertical="center"/>
    </xf>
    <xf numFmtId="2" fontId="4" fillId="6" borderId="40" xfId="0" applyNumberFormat="1" applyFont="1" applyFill="1" applyBorder="1" applyAlignment="1">
      <alignment horizontal="center" vertical="center"/>
    </xf>
    <xf numFmtId="43" fontId="4" fillId="6" borderId="40" xfId="0" applyNumberFormat="1" applyFont="1" applyFill="1" applyBorder="1"/>
    <xf numFmtId="170" fontId="4" fillId="6" borderId="36" xfId="0" applyNumberFormat="1" applyFont="1" applyFill="1" applyBorder="1"/>
    <xf numFmtId="0" fontId="10" fillId="0" borderId="26" xfId="0" applyFont="1" applyBorder="1" applyAlignment="1">
      <alignment horizontal="center" vertical="center"/>
    </xf>
    <xf numFmtId="2" fontId="0" fillId="0" borderId="20" xfId="1" applyNumberFormat="1" applyFont="1" applyFill="1" applyBorder="1"/>
    <xf numFmtId="0" fontId="0" fillId="0" borderId="20" xfId="0" applyBorder="1" applyAlignment="1">
      <alignment horizontal="right"/>
    </xf>
    <xf numFmtId="43" fontId="0" fillId="0" borderId="20" xfId="1" applyFont="1" applyFill="1" applyBorder="1" applyAlignment="1">
      <alignment horizontal="left"/>
    </xf>
    <xf numFmtId="170" fontId="4" fillId="0" borderId="20" xfId="2" applyNumberFormat="1" applyFont="1" applyFill="1" applyBorder="1"/>
    <xf numFmtId="4" fontId="0" fillId="0" borderId="20" xfId="0" applyNumberFormat="1" applyBorder="1" applyAlignment="1">
      <alignment horizontal="right"/>
    </xf>
    <xf numFmtId="43" fontId="0" fillId="0" borderId="20" xfId="1" applyFont="1" applyBorder="1"/>
    <xf numFmtId="0" fontId="4" fillId="6" borderId="33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right" vertical="center"/>
    </xf>
    <xf numFmtId="43" fontId="4" fillId="6" borderId="11" xfId="0" applyNumberFormat="1" applyFont="1" applyFill="1" applyBorder="1" applyAlignment="1">
      <alignment horizontal="center" vertical="center"/>
    </xf>
    <xf numFmtId="165" fontId="4" fillId="6" borderId="11" xfId="0" applyNumberFormat="1" applyFont="1" applyFill="1" applyBorder="1" applyAlignment="1">
      <alignment horizontal="right" vertical="center"/>
    </xf>
    <xf numFmtId="0" fontId="10" fillId="0" borderId="31" xfId="0" applyFont="1" applyBorder="1" applyAlignment="1">
      <alignment horizontal="left"/>
    </xf>
    <xf numFmtId="180" fontId="0" fillId="5" borderId="6" xfId="1" applyNumberFormat="1" applyFont="1" applyFill="1" applyBorder="1"/>
    <xf numFmtId="180" fontId="0" fillId="5" borderId="8" xfId="1" applyNumberFormat="1" applyFont="1" applyFill="1" applyBorder="1"/>
    <xf numFmtId="0" fontId="14" fillId="0" borderId="0" xfId="0" applyFont="1"/>
    <xf numFmtId="0" fontId="4" fillId="0" borderId="50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43" xfId="0" applyFont="1" applyBorder="1" applyAlignment="1">
      <alignment horizontal="left"/>
    </xf>
    <xf numFmtId="0" fontId="17" fillId="6" borderId="19" xfId="0" applyFont="1" applyFill="1" applyBorder="1"/>
    <xf numFmtId="0" fontId="17" fillId="6" borderId="6" xfId="0" applyFont="1" applyFill="1" applyBorder="1"/>
    <xf numFmtId="0" fontId="17" fillId="6" borderId="8" xfId="0" applyFont="1" applyFill="1" applyBorder="1"/>
    <xf numFmtId="0" fontId="0" fillId="5" borderId="19" xfId="0" applyFill="1" applyBorder="1"/>
    <xf numFmtId="0" fontId="0" fillId="5" borderId="6" xfId="0" applyFill="1" applyBorder="1"/>
    <xf numFmtId="16" fontId="4" fillId="0" borderId="0" xfId="0" applyNumberFormat="1" applyFont="1" applyAlignment="1">
      <alignment horizontal="center"/>
    </xf>
    <xf numFmtId="43" fontId="4" fillId="0" borderId="0" xfId="0" applyNumberFormat="1" applyFont="1" applyAlignment="1">
      <alignment horizontal="center"/>
    </xf>
    <xf numFmtId="4" fontId="0" fillId="0" borderId="50" xfId="0" applyNumberFormat="1" applyBorder="1"/>
    <xf numFmtId="4" fontId="0" fillId="0" borderId="8" xfId="0" applyNumberFormat="1" applyBorder="1"/>
    <xf numFmtId="2" fontId="1" fillId="0" borderId="0" xfId="1" applyNumberFormat="1" applyFont="1" applyBorder="1" applyAlignment="1">
      <alignment horizontal="right" vertical="center"/>
    </xf>
    <xf numFmtId="0" fontId="14" fillId="0" borderId="31" xfId="0" applyFont="1" applyBorder="1" applyAlignment="1">
      <alignment horizontal="left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20" fillId="5" borderId="6" xfId="0" applyFont="1" applyFill="1" applyBorder="1"/>
    <xf numFmtId="0" fontId="15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15" fillId="0" borderId="0" xfId="0" applyFont="1" applyAlignment="1">
      <alignment horizontal="right" indent="1"/>
    </xf>
    <xf numFmtId="0" fontId="4" fillId="0" borderId="10" xfId="0" applyFont="1" applyBorder="1" applyAlignment="1">
      <alignment horizontal="center" vertical="top"/>
    </xf>
    <xf numFmtId="0" fontId="4" fillId="0" borderId="51" xfId="0" applyFont="1" applyBorder="1" applyAlignment="1">
      <alignment horizontal="center"/>
    </xf>
    <xf numFmtId="0" fontId="0" fillId="11" borderId="52" xfId="0" applyFill="1" applyBorder="1"/>
    <xf numFmtId="0" fontId="0" fillId="10" borderId="52" xfId="0" applyFill="1" applyBorder="1"/>
    <xf numFmtId="0" fontId="0" fillId="8" borderId="52" xfId="0" applyFill="1" applyBorder="1"/>
    <xf numFmtId="181" fontId="0" fillId="0" borderId="0" xfId="0" quotePrefix="1" applyNumberFormat="1" applyAlignment="1">
      <alignment horizontal="left"/>
    </xf>
    <xf numFmtId="182" fontId="0" fillId="0" borderId="0" xfId="0" applyNumberFormat="1"/>
    <xf numFmtId="182" fontId="4" fillId="0" borderId="25" xfId="0" applyNumberFormat="1" applyFont="1" applyBorder="1" applyAlignment="1">
      <alignment horizontal="left"/>
    </xf>
    <xf numFmtId="0" fontId="19" fillId="0" borderId="0" xfId="0" applyFont="1"/>
    <xf numFmtId="183" fontId="0" fillId="0" borderId="0" xfId="1" applyNumberFormat="1" applyFont="1" applyBorder="1"/>
    <xf numFmtId="184" fontId="0" fillId="0" borderId="0" xfId="1" applyNumberFormat="1" applyFont="1" applyBorder="1"/>
    <xf numFmtId="9" fontId="0" fillId="0" borderId="0" xfId="0" applyNumberFormat="1"/>
    <xf numFmtId="177" fontId="0" fillId="13" borderId="0" xfId="0" applyNumberFormat="1" applyFill="1"/>
    <xf numFmtId="0" fontId="0" fillId="8" borderId="0" xfId="0" applyFill="1"/>
    <xf numFmtId="184" fontId="0" fillId="0" borderId="29" xfId="0" applyNumberFormat="1" applyBorder="1" applyAlignment="1">
      <alignment horizontal="center" vertical="center"/>
    </xf>
    <xf numFmtId="183" fontId="0" fillId="0" borderId="25" xfId="0" applyNumberFormat="1" applyBorder="1" applyAlignment="1">
      <alignment horizontal="center" vertical="center"/>
    </xf>
    <xf numFmtId="2" fontId="1" fillId="14" borderId="0" xfId="1" applyNumberFormat="1" applyFont="1" applyFill="1" applyBorder="1" applyAlignment="1">
      <alignment horizontal="right" vertical="center"/>
    </xf>
    <xf numFmtId="43" fontId="0" fillId="15" borderId="0" xfId="1" applyFont="1" applyFill="1" applyBorder="1"/>
    <xf numFmtId="169" fontId="0" fillId="0" borderId="0" xfId="0" applyNumberFormat="1" applyAlignment="1">
      <alignment horizontal="center" vertical="center"/>
    </xf>
    <xf numFmtId="0" fontId="0" fillId="13" borderId="0" xfId="0" applyFill="1"/>
    <xf numFmtId="0" fontId="0" fillId="15" borderId="6" xfId="0" applyFill="1" applyBorder="1"/>
    <xf numFmtId="2" fontId="20" fillId="5" borderId="6" xfId="0" applyNumberFormat="1" applyFont="1" applyFill="1" applyBorder="1"/>
    <xf numFmtId="0" fontId="20" fillId="5" borderId="53" xfId="0" applyFont="1" applyFill="1" applyBorder="1"/>
    <xf numFmtId="0" fontId="26" fillId="6" borderId="5" xfId="0" applyFont="1" applyFill="1" applyBorder="1"/>
    <xf numFmtId="0" fontId="0" fillId="5" borderId="53" xfId="0" applyFill="1" applyBorder="1"/>
    <xf numFmtId="0" fontId="21" fillId="5" borderId="6" xfId="0" applyFont="1" applyFill="1" applyBorder="1"/>
    <xf numFmtId="180" fontId="20" fillId="5" borderId="6" xfId="1" applyNumberFormat="1" applyFont="1" applyFill="1" applyBorder="1"/>
    <xf numFmtId="180" fontId="20" fillId="5" borderId="53" xfId="1" applyNumberFormat="1" applyFont="1" applyFill="1" applyBorder="1"/>
    <xf numFmtId="0" fontId="27" fillId="5" borderId="6" xfId="0" applyFont="1" applyFill="1" applyBorder="1"/>
    <xf numFmtId="0" fontId="21" fillId="5" borderId="12" xfId="0" applyFont="1" applyFill="1" applyBorder="1"/>
    <xf numFmtId="2" fontId="0" fillId="5" borderId="6" xfId="0" applyNumberFormat="1" applyFill="1" applyBorder="1"/>
    <xf numFmtId="0" fontId="0" fillId="5" borderId="6" xfId="0" applyFill="1" applyBorder="1" applyAlignment="1">
      <alignment horizontal="left" vertical="center"/>
    </xf>
    <xf numFmtId="0" fontId="15" fillId="5" borderId="19" xfId="0" applyFont="1" applyFill="1" applyBorder="1"/>
    <xf numFmtId="0" fontId="14" fillId="5" borderId="19" xfId="0" applyFont="1" applyFill="1" applyBorder="1"/>
    <xf numFmtId="0" fontId="29" fillId="5" borderId="19" xfId="0" applyFont="1" applyFill="1" applyBorder="1"/>
    <xf numFmtId="0" fontId="29" fillId="5" borderId="6" xfId="0" applyFont="1" applyFill="1" applyBorder="1"/>
    <xf numFmtId="2" fontId="0" fillId="5" borderId="19" xfId="0" applyNumberFormat="1" applyFill="1" applyBorder="1"/>
    <xf numFmtId="0" fontId="4" fillId="16" borderId="19" xfId="0" applyFont="1" applyFill="1" applyBorder="1"/>
    <xf numFmtId="0" fontId="0" fillId="16" borderId="6" xfId="0" applyFill="1" applyBorder="1"/>
    <xf numFmtId="0" fontId="4" fillId="15" borderId="19" xfId="0" applyFont="1" applyFill="1" applyBorder="1"/>
    <xf numFmtId="0" fontId="0" fillId="15" borderId="6" xfId="0" applyFill="1" applyBorder="1" applyAlignment="1">
      <alignment horizontal="left" vertical="center"/>
    </xf>
    <xf numFmtId="0" fontId="4" fillId="13" borderId="19" xfId="0" applyFont="1" applyFill="1" applyBorder="1"/>
    <xf numFmtId="0" fontId="0" fillId="13" borderId="6" xfId="0" applyFill="1" applyBorder="1" applyAlignment="1">
      <alignment horizontal="left" vertical="center"/>
    </xf>
    <xf numFmtId="0" fontId="0" fillId="13" borderId="6" xfId="0" applyFill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13" fillId="9" borderId="5" xfId="0" applyFont="1" applyFill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0" fillId="0" borderId="0" xfId="0" applyFont="1"/>
    <xf numFmtId="0" fontId="30" fillId="6" borderId="0" xfId="0" applyFont="1" applyFill="1" applyAlignment="1">
      <alignment horizontal="center"/>
    </xf>
    <xf numFmtId="0" fontId="31" fillId="0" borderId="0" xfId="0" applyFont="1"/>
    <xf numFmtId="0" fontId="32" fillId="5" borderId="6" xfId="0" applyFont="1" applyFill="1" applyBorder="1"/>
    <xf numFmtId="180" fontId="32" fillId="5" borderId="6" xfId="1" applyNumberFormat="1" applyFont="1" applyFill="1" applyBorder="1"/>
    <xf numFmtId="180" fontId="32" fillId="5" borderId="8" xfId="1" applyNumberFormat="1" applyFont="1" applyFill="1" applyBorder="1"/>
    <xf numFmtId="0" fontId="33" fillId="0" borderId="0" xfId="0" applyFont="1"/>
    <xf numFmtId="0" fontId="32" fillId="5" borderId="19" xfId="0" applyFont="1" applyFill="1" applyBorder="1"/>
    <xf numFmtId="0" fontId="32" fillId="5" borderId="6" xfId="0" applyFont="1" applyFill="1" applyBorder="1" applyAlignment="1">
      <alignment horizontal="left" vertical="center"/>
    </xf>
    <xf numFmtId="0" fontId="20" fillId="5" borderId="6" xfId="0" applyFont="1" applyFill="1" applyBorder="1" applyAlignment="1">
      <alignment horizontal="right"/>
    </xf>
    <xf numFmtId="0" fontId="4" fillId="5" borderId="19" xfId="0" applyFont="1" applyFill="1" applyBorder="1"/>
    <xf numFmtId="0" fontId="20" fillId="5" borderId="6" xfId="0" applyFont="1" applyFill="1" applyBorder="1" applyAlignment="1">
      <alignment wrapText="1"/>
    </xf>
    <xf numFmtId="0" fontId="4" fillId="17" borderId="19" xfId="0" applyFont="1" applyFill="1" applyBorder="1"/>
    <xf numFmtId="0" fontId="0" fillId="17" borderId="6" xfId="0" applyFill="1" applyBorder="1"/>
    <xf numFmtId="43" fontId="4" fillId="0" borderId="0" xfId="0" applyNumberFormat="1" applyFont="1"/>
    <xf numFmtId="0" fontId="34" fillId="0" borderId="31" xfId="0" applyFont="1" applyBorder="1"/>
    <xf numFmtId="180" fontId="35" fillId="5" borderId="6" xfId="1" applyNumberFormat="1" applyFont="1" applyFill="1" applyBorder="1"/>
    <xf numFmtId="180" fontId="35" fillId="5" borderId="8" xfId="1" applyNumberFormat="1" applyFont="1" applyFill="1" applyBorder="1"/>
    <xf numFmtId="0" fontId="15" fillId="5" borderId="6" xfId="0" applyFont="1" applyFill="1" applyBorder="1"/>
    <xf numFmtId="2" fontId="32" fillId="5" borderId="6" xfId="0" applyNumberFormat="1" applyFont="1" applyFill="1" applyBorder="1"/>
    <xf numFmtId="165" fontId="0" fillId="5" borderId="19" xfId="0" applyNumberFormat="1" applyFill="1" applyBorder="1"/>
    <xf numFmtId="0" fontId="35" fillId="5" borderId="6" xfId="0" applyFont="1" applyFill="1" applyBorder="1"/>
    <xf numFmtId="0" fontId="0" fillId="0" borderId="48" xfId="0" applyBorder="1" applyAlignment="1">
      <alignment horizontal="center" vertical="center"/>
    </xf>
    <xf numFmtId="44" fontId="4" fillId="0" borderId="48" xfId="2" applyFont="1" applyBorder="1"/>
    <xf numFmtId="170" fontId="4" fillId="0" borderId="49" xfId="2" applyNumberFormat="1" applyFont="1" applyBorder="1"/>
    <xf numFmtId="0" fontId="0" fillId="0" borderId="48" xfId="0" applyBorder="1" applyAlignment="1">
      <alignment horizontal="left"/>
    </xf>
    <xf numFmtId="170" fontId="4" fillId="0" borderId="48" xfId="2" applyNumberFormat="1" applyFont="1" applyBorder="1"/>
    <xf numFmtId="0" fontId="0" fillId="0" borderId="11" xfId="0" applyBorder="1"/>
    <xf numFmtId="0" fontId="0" fillId="0" borderId="40" xfId="0" applyBorder="1" applyAlignment="1">
      <alignment horizontal="left"/>
    </xf>
    <xf numFmtId="170" fontId="4" fillId="0" borderId="40" xfId="2" applyNumberFormat="1" applyFont="1" applyBorder="1"/>
    <xf numFmtId="44" fontId="4" fillId="0" borderId="40" xfId="2" applyFont="1" applyBorder="1"/>
    <xf numFmtId="0" fontId="10" fillId="0" borderId="40" xfId="0" applyFont="1" applyBorder="1" applyAlignment="1">
      <alignment horizontal="center" vertical="center"/>
    </xf>
    <xf numFmtId="43" fontId="4" fillId="6" borderId="11" xfId="1" applyFont="1" applyFill="1" applyBorder="1" applyAlignment="1">
      <alignment horizontal="left" vertical="center"/>
    </xf>
    <xf numFmtId="170" fontId="4" fillId="6" borderId="0" xfId="0" applyNumberFormat="1" applyFont="1" applyFill="1" applyAlignment="1">
      <alignment vertical="center"/>
    </xf>
    <xf numFmtId="44" fontId="4" fillId="6" borderId="11" xfId="1" applyNumberFormat="1" applyFont="1" applyFill="1" applyBorder="1" applyAlignment="1">
      <alignment horizontal="left" vertical="center"/>
    </xf>
    <xf numFmtId="0" fontId="0" fillId="0" borderId="57" xfId="0" applyBorder="1"/>
    <xf numFmtId="0" fontId="0" fillId="0" borderId="58" xfId="0" applyBorder="1"/>
    <xf numFmtId="0" fontId="0" fillId="0" borderId="58" xfId="0" applyBorder="1" applyAlignment="1">
      <alignment horizontal="center" vertical="center"/>
    </xf>
    <xf numFmtId="43" fontId="0" fillId="0" borderId="58" xfId="0" applyNumberFormat="1" applyBorder="1" applyAlignment="1">
      <alignment horizontal="left"/>
    </xf>
    <xf numFmtId="170" fontId="4" fillId="0" borderId="58" xfId="2" applyNumberFormat="1" applyFont="1" applyFill="1" applyBorder="1"/>
    <xf numFmtId="44" fontId="4" fillId="0" borderId="58" xfId="2" applyFont="1" applyBorder="1"/>
    <xf numFmtId="170" fontId="4" fillId="0" borderId="59" xfId="2" applyNumberFormat="1" applyFont="1" applyBorder="1"/>
    <xf numFmtId="0" fontId="0" fillId="0" borderId="11" xfId="0" applyBorder="1" applyAlignment="1">
      <alignment horizontal="center" vertical="center"/>
    </xf>
    <xf numFmtId="0" fontId="4" fillId="6" borderId="33" xfId="0" applyFont="1" applyFill="1" applyBorder="1" applyAlignment="1">
      <alignment vertical="center"/>
    </xf>
    <xf numFmtId="0" fontId="4" fillId="6" borderId="11" xfId="0" applyFont="1" applyFill="1" applyBorder="1" applyAlignment="1">
      <alignment vertical="center"/>
    </xf>
    <xf numFmtId="43" fontId="4" fillId="6" borderId="11" xfId="0" applyNumberFormat="1" applyFont="1" applyFill="1" applyBorder="1" applyAlignment="1">
      <alignment vertical="center"/>
    </xf>
    <xf numFmtId="44" fontId="4" fillId="6" borderId="11" xfId="2" applyFont="1" applyFill="1" applyBorder="1" applyAlignment="1">
      <alignment horizontal="left" vertical="center"/>
    </xf>
    <xf numFmtId="0" fontId="4" fillId="6" borderId="34" xfId="0" applyFont="1" applyFill="1" applyBorder="1" applyAlignment="1">
      <alignment vertical="center"/>
    </xf>
    <xf numFmtId="0" fontId="4" fillId="0" borderId="31" xfId="0" applyFont="1" applyBorder="1" applyAlignment="1">
      <alignment horizontal="center" vertical="center"/>
    </xf>
    <xf numFmtId="43" fontId="0" fillId="0" borderId="58" xfId="0" applyNumberFormat="1" applyBorder="1"/>
    <xf numFmtId="0" fontId="0" fillId="0" borderId="59" xfId="0" applyBorder="1"/>
    <xf numFmtId="0" fontId="4" fillId="18" borderId="60" xfId="0" applyFont="1" applyFill="1" applyBorder="1"/>
    <xf numFmtId="0" fontId="4" fillId="18" borderId="54" xfId="0" applyFont="1" applyFill="1" applyBorder="1" applyAlignment="1">
      <alignment horizontal="center" vertical="center"/>
    </xf>
    <xf numFmtId="43" fontId="4" fillId="18" borderId="54" xfId="1" applyFont="1" applyFill="1" applyBorder="1" applyAlignment="1">
      <alignment horizontal="left"/>
    </xf>
    <xf numFmtId="43" fontId="4" fillId="18" borderId="54" xfId="1" applyFont="1" applyFill="1" applyBorder="1" applyAlignment="1">
      <alignment horizontal="left" vertical="center"/>
    </xf>
    <xf numFmtId="44" fontId="4" fillId="18" borderId="54" xfId="1" applyNumberFormat="1" applyFont="1" applyFill="1" applyBorder="1" applyAlignment="1">
      <alignment horizontal="left" vertical="center"/>
    </xf>
    <xf numFmtId="43" fontId="4" fillId="18" borderId="61" xfId="1" applyFont="1" applyFill="1" applyBorder="1" applyAlignment="1">
      <alignment horizontal="left"/>
    </xf>
    <xf numFmtId="185" fontId="8" fillId="5" borderId="5" xfId="1" applyNumberFormat="1" applyFont="1" applyFill="1" applyBorder="1" applyAlignment="1">
      <alignment horizontal="right" vertical="center"/>
    </xf>
    <xf numFmtId="43" fontId="0" fillId="0" borderId="58" xfId="1" applyFont="1" applyFill="1" applyBorder="1"/>
    <xf numFmtId="0" fontId="10" fillId="9" borderId="47" xfId="0" applyFont="1" applyFill="1" applyBorder="1" applyAlignment="1">
      <alignment horizontal="center"/>
    </xf>
    <xf numFmtId="0" fontId="4" fillId="9" borderId="48" xfId="0" applyFont="1" applyFill="1" applyBorder="1" applyAlignment="1">
      <alignment wrapText="1"/>
    </xf>
    <xf numFmtId="0" fontId="0" fillId="9" borderId="48" xfId="0" applyFill="1" applyBorder="1" applyAlignment="1">
      <alignment horizontal="center" vertical="center"/>
    </xf>
    <xf numFmtId="43" fontId="0" fillId="9" borderId="48" xfId="1" applyFont="1" applyFill="1" applyBorder="1"/>
    <xf numFmtId="0" fontId="0" fillId="9" borderId="48" xfId="0" applyFill="1" applyBorder="1"/>
    <xf numFmtId="43" fontId="0" fillId="9" borderId="48" xfId="1" applyFont="1" applyFill="1" applyBorder="1" applyAlignment="1">
      <alignment horizontal="left"/>
    </xf>
    <xf numFmtId="170" fontId="4" fillId="9" borderId="48" xfId="2" applyNumberFormat="1" applyFont="1" applyFill="1" applyBorder="1"/>
    <xf numFmtId="44" fontId="4" fillId="9" borderId="48" xfId="2" applyFont="1" applyFill="1" applyBorder="1"/>
    <xf numFmtId="170" fontId="4" fillId="9" borderId="49" xfId="2" applyNumberFormat="1" applyFont="1" applyFill="1" applyBorder="1"/>
    <xf numFmtId="0" fontId="10" fillId="9" borderId="47" xfId="0" applyFont="1" applyFill="1" applyBorder="1" applyAlignment="1">
      <alignment horizontal="center" vertical="center"/>
    </xf>
    <xf numFmtId="0" fontId="4" fillId="9" borderId="48" xfId="0" applyFont="1" applyFill="1" applyBorder="1" applyAlignment="1">
      <alignment vertical="center" wrapText="1"/>
    </xf>
    <xf numFmtId="43" fontId="0" fillId="9" borderId="48" xfId="0" applyNumberFormat="1" applyFill="1" applyBorder="1"/>
    <xf numFmtId="0" fontId="0" fillId="9" borderId="49" xfId="0" applyFill="1" applyBorder="1"/>
    <xf numFmtId="44" fontId="8" fillId="5" borderId="16" xfId="2" applyFont="1" applyFill="1" applyBorder="1" applyAlignment="1">
      <alignment horizontal="center" vertical="center"/>
    </xf>
    <xf numFmtId="0" fontId="6" fillId="4" borderId="54" xfId="4" applyFont="1" applyFill="1" applyBorder="1" applyAlignment="1">
      <alignment horizontal="center" vertical="center"/>
    </xf>
    <xf numFmtId="0" fontId="0" fillId="0" borderId="33" xfId="0" applyBorder="1"/>
    <xf numFmtId="171" fontId="8" fillId="5" borderId="16" xfId="1" applyNumberFormat="1" applyFont="1" applyFill="1" applyBorder="1" applyAlignment="1">
      <alignment horizontal="right" vertical="center"/>
    </xf>
    <xf numFmtId="9" fontId="8" fillId="5" borderId="16" xfId="3" applyFont="1" applyFill="1" applyBorder="1" applyAlignment="1">
      <alignment horizontal="center" vertical="center"/>
    </xf>
    <xf numFmtId="171" fontId="8" fillId="5" borderId="55" xfId="1" applyNumberFormat="1" applyFont="1" applyFill="1" applyBorder="1" applyAlignment="1">
      <alignment horizontal="right" vertical="center"/>
    </xf>
    <xf numFmtId="166" fontId="8" fillId="5" borderId="56" xfId="1" applyNumberFormat="1" applyFont="1" applyFill="1" applyBorder="1" applyAlignment="1">
      <alignment horizontal="right" vertical="center"/>
    </xf>
    <xf numFmtId="44" fontId="4" fillId="6" borderId="11" xfId="2" applyFont="1" applyFill="1" applyBorder="1" applyAlignment="1">
      <alignment horizontal="center" vertical="center"/>
    </xf>
    <xf numFmtId="43" fontId="4" fillId="6" borderId="11" xfId="1" applyFont="1" applyFill="1" applyBorder="1" applyAlignment="1">
      <alignment horizontal="center" vertical="center"/>
    </xf>
    <xf numFmtId="170" fontId="4" fillId="6" borderId="34" xfId="2" applyNumberFormat="1" applyFont="1" applyFill="1" applyBorder="1" applyAlignment="1">
      <alignment horizontal="center" vertical="center"/>
    </xf>
    <xf numFmtId="170" fontId="4" fillId="6" borderId="9" xfId="0" applyNumberFormat="1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165" fontId="4" fillId="6" borderId="11" xfId="0" applyNumberFormat="1" applyFont="1" applyFill="1" applyBorder="1" applyAlignment="1">
      <alignment horizontal="center" vertical="center"/>
    </xf>
    <xf numFmtId="43" fontId="0" fillId="0" borderId="48" xfId="0" applyNumberFormat="1" applyBorder="1"/>
    <xf numFmtId="43" fontId="4" fillId="0" borderId="48" xfId="0" applyNumberFormat="1" applyFont="1" applyBorder="1"/>
    <xf numFmtId="44" fontId="4" fillId="0" borderId="48" xfId="2" applyFont="1" applyFill="1" applyBorder="1"/>
    <xf numFmtId="0" fontId="6" fillId="4" borderId="11" xfId="4" applyFont="1" applyFill="1" applyBorder="1" applyAlignment="1">
      <alignment horizontal="center" vertical="center"/>
    </xf>
    <xf numFmtId="0" fontId="5" fillId="4" borderId="10" xfId="4" applyFont="1" applyFill="1" applyBorder="1" applyAlignment="1">
      <alignment horizontal="center" vertical="center"/>
    </xf>
    <xf numFmtId="0" fontId="1" fillId="0" borderId="62" xfId="0" applyFont="1" applyBorder="1"/>
    <xf numFmtId="3" fontId="4" fillId="0" borderId="37" xfId="5" applyNumberFormat="1" applyFont="1" applyFill="1" applyBorder="1" applyAlignment="1">
      <alignment horizontal="left" vertical="center"/>
    </xf>
    <xf numFmtId="0" fontId="0" fillId="5" borderId="26" xfId="0" applyFill="1" applyBorder="1"/>
    <xf numFmtId="0" fontId="0" fillId="5" borderId="20" xfId="0" applyFill="1" applyBorder="1"/>
    <xf numFmtId="0" fontId="0" fillId="5" borderId="20" xfId="0" applyFill="1" applyBorder="1" applyAlignment="1">
      <alignment horizontal="center" vertical="center"/>
    </xf>
    <xf numFmtId="0" fontId="0" fillId="5" borderId="20" xfId="0" applyFill="1" applyBorder="1" applyAlignment="1">
      <alignment horizontal="left"/>
    </xf>
    <xf numFmtId="170" fontId="4" fillId="5" borderId="20" xfId="2" applyNumberFormat="1" applyFont="1" applyFill="1" applyBorder="1"/>
    <xf numFmtId="44" fontId="4" fillId="5" borderId="20" xfId="2" applyFont="1" applyFill="1" applyBorder="1"/>
    <xf numFmtId="170" fontId="4" fillId="5" borderId="21" xfId="2" applyNumberFormat="1" applyFont="1" applyFill="1" applyBorder="1"/>
    <xf numFmtId="0" fontId="10" fillId="5" borderId="31" xfId="0" applyFont="1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/>
    </xf>
    <xf numFmtId="170" fontId="4" fillId="5" borderId="0" xfId="2" applyNumberFormat="1" applyFont="1" applyFill="1" applyBorder="1"/>
    <xf numFmtId="44" fontId="4" fillId="5" borderId="0" xfId="2" applyFont="1" applyFill="1" applyBorder="1"/>
    <xf numFmtId="170" fontId="4" fillId="5" borderId="32" xfId="2" applyNumberFormat="1" applyFont="1" applyFill="1" applyBorder="1"/>
    <xf numFmtId="0" fontId="0" fillId="5" borderId="35" xfId="0" applyFill="1" applyBorder="1"/>
    <xf numFmtId="0" fontId="0" fillId="5" borderId="40" xfId="0" applyFill="1" applyBorder="1"/>
    <xf numFmtId="0" fontId="0" fillId="5" borderId="40" xfId="0" applyFill="1" applyBorder="1" applyAlignment="1">
      <alignment horizontal="center" vertical="center"/>
    </xf>
    <xf numFmtId="0" fontId="0" fillId="5" borderId="40" xfId="0" applyFill="1" applyBorder="1" applyAlignment="1">
      <alignment horizontal="left"/>
    </xf>
    <xf numFmtId="170" fontId="4" fillId="5" borderId="40" xfId="2" applyNumberFormat="1" applyFont="1" applyFill="1" applyBorder="1"/>
    <xf numFmtId="44" fontId="4" fillId="5" borderId="40" xfId="2" applyFont="1" applyFill="1" applyBorder="1"/>
    <xf numFmtId="170" fontId="4" fillId="5" borderId="36" xfId="2" applyNumberFormat="1" applyFont="1" applyFill="1" applyBorder="1"/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/>
    </xf>
    <xf numFmtId="0" fontId="13" fillId="0" borderId="31" xfId="0" applyFont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4" fontId="4" fillId="0" borderId="0" xfId="2" applyFont="1" applyFill="1" applyBorder="1" applyAlignment="1">
      <alignment horizontal="center" vertical="center"/>
    </xf>
    <xf numFmtId="43" fontId="4" fillId="0" borderId="0" xfId="1" applyFont="1" applyFill="1" applyBorder="1" applyAlignment="1">
      <alignment horizontal="center" vertical="center"/>
    </xf>
    <xf numFmtId="170" fontId="4" fillId="0" borderId="0" xfId="2" applyNumberFormat="1" applyFont="1" applyFill="1" applyBorder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0" fontId="4" fillId="0" borderId="58" xfId="0" applyFont="1" applyBorder="1"/>
    <xf numFmtId="0" fontId="4" fillId="0" borderId="59" xfId="0" applyFont="1" applyBorder="1"/>
    <xf numFmtId="0" fontId="10" fillId="6" borderId="11" xfId="0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9" fontId="0" fillId="0" borderId="40" xfId="3" applyFont="1" applyBorder="1"/>
    <xf numFmtId="43" fontId="0" fillId="0" borderId="40" xfId="0" applyNumberFormat="1" applyBorder="1"/>
    <xf numFmtId="0" fontId="0" fillId="5" borderId="5" xfId="0" applyFill="1" applyBorder="1"/>
    <xf numFmtId="0" fontId="6" fillId="4" borderId="10" xfId="4" applyFont="1" applyFill="1" applyBorder="1" applyAlignment="1">
      <alignment horizontal="center" vertical="center"/>
    </xf>
    <xf numFmtId="0" fontId="6" fillId="4" borderId="33" xfId="4" applyFont="1" applyFill="1" applyBorder="1" applyAlignment="1">
      <alignment horizontal="center" vertical="center"/>
    </xf>
    <xf numFmtId="0" fontId="38" fillId="4" borderId="10" xfId="4" applyFont="1" applyFill="1" applyBorder="1" applyAlignment="1">
      <alignment horizontal="center" vertical="center" wrapText="1"/>
    </xf>
    <xf numFmtId="44" fontId="8" fillId="5" borderId="41" xfId="2" applyFont="1" applyFill="1" applyBorder="1" applyAlignment="1">
      <alignment horizontal="center" vertical="center"/>
    </xf>
    <xf numFmtId="44" fontId="8" fillId="5" borderId="5" xfId="2" applyFont="1" applyFill="1" applyBorder="1" applyAlignment="1">
      <alignment horizontal="center" vertical="center"/>
    </xf>
    <xf numFmtId="44" fontId="8" fillId="5" borderId="42" xfId="2" applyFont="1" applyFill="1" applyBorder="1" applyAlignment="1">
      <alignment horizontal="center" vertical="center"/>
    </xf>
    <xf numFmtId="0" fontId="4" fillId="0" borderId="60" xfId="0" applyFont="1" applyBorder="1"/>
    <xf numFmtId="167" fontId="8" fillId="0" borderId="41" xfId="6" applyNumberFormat="1" applyFont="1" applyBorder="1" applyAlignment="1">
      <alignment horizontal="center" vertical="center"/>
    </xf>
    <xf numFmtId="168" fontId="8" fillId="0" borderId="41" xfId="1" applyNumberFormat="1" applyFont="1" applyFill="1" applyBorder="1" applyAlignment="1">
      <alignment horizontal="center" vertical="center"/>
    </xf>
    <xf numFmtId="185" fontId="8" fillId="5" borderId="41" xfId="1" applyNumberFormat="1" applyFont="1" applyFill="1" applyBorder="1" applyAlignment="1">
      <alignment horizontal="right" vertical="center"/>
    </xf>
    <xf numFmtId="44" fontId="8" fillId="5" borderId="62" xfId="2" applyFont="1" applyFill="1" applyBorder="1" applyAlignment="1">
      <alignment horizontal="center" vertical="center"/>
    </xf>
    <xf numFmtId="0" fontId="0" fillId="0" borderId="64" xfId="0" applyBorder="1"/>
    <xf numFmtId="0" fontId="0" fillId="0" borderId="24" xfId="0" applyBorder="1"/>
    <xf numFmtId="0" fontId="0" fillId="0" borderId="65" xfId="0" applyBorder="1"/>
    <xf numFmtId="44" fontId="4" fillId="0" borderId="65" xfId="0" applyNumberFormat="1" applyFont="1" applyBorder="1"/>
    <xf numFmtId="0" fontId="0" fillId="0" borderId="38" xfId="0" applyBorder="1"/>
    <xf numFmtId="165" fontId="0" fillId="0" borderId="22" xfId="0" applyNumberFormat="1" applyBorder="1"/>
    <xf numFmtId="165" fontId="0" fillId="0" borderId="66" xfId="0" applyNumberFormat="1" applyBorder="1"/>
    <xf numFmtId="165" fontId="0" fillId="0" borderId="67" xfId="0" applyNumberFormat="1" applyBorder="1"/>
    <xf numFmtId="44" fontId="8" fillId="5" borderId="68" xfId="2" applyFont="1" applyFill="1" applyBorder="1" applyAlignment="1">
      <alignment horizontal="center" vertical="center"/>
    </xf>
    <xf numFmtId="44" fontId="8" fillId="5" borderId="12" xfId="2" applyFont="1" applyFill="1" applyBorder="1" applyAlignment="1">
      <alignment horizontal="center" vertical="center"/>
    </xf>
    <xf numFmtId="44" fontId="8" fillId="5" borderId="19" xfId="2" applyFont="1" applyFill="1" applyBorder="1" applyAlignment="1">
      <alignment horizontal="center" vertical="center"/>
    </xf>
    <xf numFmtId="44" fontId="8" fillId="5" borderId="43" xfId="2" applyFont="1" applyFill="1" applyBorder="1" applyAlignment="1">
      <alignment horizontal="center" vertical="center"/>
    </xf>
    <xf numFmtId="44" fontId="4" fillId="0" borderId="25" xfId="0" applyNumberFormat="1" applyFont="1" applyBorder="1"/>
    <xf numFmtId="0" fontId="39" fillId="0" borderId="0" xfId="0" applyFont="1"/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4" fillId="19" borderId="9" xfId="0" applyFont="1" applyFill="1" applyBorder="1" applyAlignment="1">
      <alignment horizontal="center" vertical="center"/>
    </xf>
    <xf numFmtId="0" fontId="4" fillId="19" borderId="0" xfId="0" applyFont="1" applyFill="1"/>
    <xf numFmtId="0" fontId="0" fillId="14" borderId="0" xfId="0" applyFill="1"/>
    <xf numFmtId="0" fontId="0" fillId="14" borderId="0" xfId="0" applyFill="1" applyAlignment="1">
      <alignment horizontal="center" vertical="center"/>
    </xf>
    <xf numFmtId="0" fontId="4" fillId="14" borderId="9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4" borderId="0" xfId="0" applyFont="1" applyFill="1"/>
    <xf numFmtId="0" fontId="0" fillId="0" borderId="53" xfId="0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70" xfId="0" applyBorder="1" applyAlignment="1">
      <alignment horizontal="center"/>
    </xf>
    <xf numFmtId="0" fontId="0" fillId="0" borderId="70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5" fillId="0" borderId="0" xfId="0" applyFont="1"/>
    <xf numFmtId="186" fontId="0" fillId="0" borderId="19" xfId="0" applyNumberFormat="1" applyBorder="1"/>
    <xf numFmtId="187" fontId="0" fillId="0" borderId="19" xfId="0" applyNumberFormat="1" applyBorder="1" applyAlignment="1">
      <alignment horizontal="center"/>
    </xf>
    <xf numFmtId="187" fontId="0" fillId="0" borderId="0" xfId="0" applyNumberFormat="1"/>
    <xf numFmtId="187" fontId="0" fillId="0" borderId="6" xfId="0" applyNumberFormat="1" applyBorder="1" applyAlignment="1">
      <alignment horizontal="center"/>
    </xf>
    <xf numFmtId="187" fontId="0" fillId="0" borderId="48" xfId="0" applyNumberFormat="1" applyBorder="1"/>
    <xf numFmtId="187" fontId="0" fillId="0" borderId="70" xfId="0" applyNumberFormat="1" applyBorder="1" applyAlignment="1">
      <alignment horizontal="center"/>
    </xf>
    <xf numFmtId="187" fontId="15" fillId="0" borderId="0" xfId="0" applyNumberFormat="1" applyFont="1"/>
    <xf numFmtId="0" fontId="14" fillId="0" borderId="31" xfId="0" applyFont="1" applyBorder="1" applyAlignment="1">
      <alignment horizontal="center"/>
    </xf>
    <xf numFmtId="43" fontId="4" fillId="0" borderId="18" xfId="0" applyNumberFormat="1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0" fillId="0" borderId="69" xfId="0" applyBorder="1"/>
    <xf numFmtId="0" fontId="14" fillId="15" borderId="0" xfId="0" applyFont="1" applyFill="1"/>
    <xf numFmtId="16" fontId="14" fillId="15" borderId="0" xfId="0" applyNumberFormat="1" applyFont="1" applyFill="1" applyAlignment="1">
      <alignment horizontal="left"/>
    </xf>
    <xf numFmtId="0" fontId="23" fillId="6" borderId="11" xfId="0" applyFont="1" applyFill="1" applyBorder="1" applyAlignment="1">
      <alignment horizontal="center" vertical="center"/>
    </xf>
    <xf numFmtId="3" fontId="4" fillId="0" borderId="63" xfId="5" applyNumberFormat="1" applyFont="1" applyFill="1" applyBorder="1" applyAlignment="1">
      <alignment horizontal="left" vertical="center"/>
    </xf>
    <xf numFmtId="3" fontId="4" fillId="0" borderId="18" xfId="5" applyNumberFormat="1" applyFont="1" applyFill="1" applyBorder="1" applyAlignment="1">
      <alignment horizontal="left" vertical="center"/>
    </xf>
    <xf numFmtId="188" fontId="20" fillId="0" borderId="0" xfId="0" applyNumberFormat="1" applyFont="1"/>
    <xf numFmtId="0" fontId="0" fillId="0" borderId="0" xfId="0" applyAlignment="1">
      <alignment vertical="top"/>
    </xf>
    <xf numFmtId="0" fontId="0" fillId="0" borderId="34" xfId="0" applyBorder="1"/>
    <xf numFmtId="189" fontId="0" fillId="0" borderId="24" xfId="0" applyNumberFormat="1" applyBorder="1" applyAlignment="1">
      <alignment horizontal="center" vertical="center"/>
    </xf>
    <xf numFmtId="178" fontId="0" fillId="13" borderId="24" xfId="0" applyNumberFormat="1" applyFill="1" applyBorder="1" applyAlignment="1">
      <alignment horizontal="center" vertical="center"/>
    </xf>
    <xf numFmtId="1" fontId="0" fillId="13" borderId="23" xfId="0" applyNumberForma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/>
    </xf>
    <xf numFmtId="43" fontId="0" fillId="13" borderId="0" xfId="1" applyFont="1" applyFill="1" applyBorder="1" applyAlignment="1">
      <alignment horizontal="left"/>
    </xf>
    <xf numFmtId="43" fontId="0" fillId="13" borderId="0" xfId="1" applyFont="1" applyFill="1" applyBorder="1"/>
    <xf numFmtId="190" fontId="14" fillId="13" borderId="31" xfId="0" applyNumberFormat="1" applyFont="1" applyFill="1" applyBorder="1" applyAlignment="1">
      <alignment horizontal="right"/>
    </xf>
    <xf numFmtId="165" fontId="0" fillId="0" borderId="0" xfId="9" applyFont="1" applyBorder="1" applyAlignment="1">
      <alignment horizontal="center" vertical="center"/>
    </xf>
    <xf numFmtId="0" fontId="40" fillId="5" borderId="19" xfId="0" applyFont="1" applyFill="1" applyBorder="1"/>
    <xf numFmtId="0" fontId="40" fillId="5" borderId="6" xfId="0" applyFont="1" applyFill="1" applyBorder="1"/>
    <xf numFmtId="191" fontId="20" fillId="0" borderId="0" xfId="0" applyNumberFormat="1" applyFont="1"/>
    <xf numFmtId="43" fontId="32" fillId="5" borderId="8" xfId="1" applyFont="1" applyFill="1" applyBorder="1"/>
    <xf numFmtId="43" fontId="0" fillId="5" borderId="8" xfId="1" applyFont="1" applyFill="1" applyBorder="1"/>
    <xf numFmtId="43" fontId="1" fillId="5" borderId="8" xfId="1" applyFont="1" applyFill="1" applyBorder="1"/>
    <xf numFmtId="0" fontId="40" fillId="0" borderId="0" xfId="0" applyFont="1"/>
    <xf numFmtId="0" fontId="41" fillId="5" borderId="19" xfId="0" applyFont="1" applyFill="1" applyBorder="1"/>
    <xf numFmtId="0" fontId="41" fillId="5" borderId="6" xfId="0" applyFont="1" applyFill="1" applyBorder="1"/>
    <xf numFmtId="2" fontId="41" fillId="5" borderId="6" xfId="0" applyNumberFormat="1" applyFont="1" applyFill="1" applyBorder="1"/>
    <xf numFmtId="180" fontId="41" fillId="5" borderId="8" xfId="1" applyNumberFormat="1" applyFont="1" applyFill="1" applyBorder="1"/>
    <xf numFmtId="180" fontId="0" fillId="0" borderId="0" xfId="1" applyNumberFormat="1" applyFont="1" applyFill="1" applyBorder="1"/>
    <xf numFmtId="192" fontId="20" fillId="0" borderId="0" xfId="0" applyNumberFormat="1" applyFont="1"/>
    <xf numFmtId="0" fontId="0" fillId="0" borderId="0" xfId="0" quotePrefix="1" applyAlignment="1">
      <alignment vertical="center" wrapText="1"/>
    </xf>
    <xf numFmtId="0" fontId="17" fillId="0" borderId="0" xfId="0" applyFont="1" applyAlignment="1">
      <alignment horizontal="left"/>
    </xf>
    <xf numFmtId="0" fontId="14" fillId="0" borderId="0" xfId="0" applyFont="1" applyAlignment="1">
      <alignment vertical="center" wrapText="1"/>
    </xf>
    <xf numFmtId="2" fontId="20" fillId="10" borderId="0" xfId="0" applyNumberFormat="1" applyFont="1" applyFill="1" applyAlignment="1">
      <alignment horizontal="center"/>
    </xf>
    <xf numFmtId="0" fontId="37" fillId="0" borderId="63" xfId="0" applyFont="1" applyBorder="1" applyAlignment="1">
      <alignment horizontal="right"/>
    </xf>
    <xf numFmtId="0" fontId="37" fillId="0" borderId="18" xfId="0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31" xfId="0" applyBorder="1" applyAlignment="1">
      <alignment horizontal="right"/>
    </xf>
    <xf numFmtId="0" fontId="4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0" fillId="16" borderId="0" xfId="0" applyFill="1" applyAlignment="1">
      <alignment horizontal="center"/>
    </xf>
    <xf numFmtId="0" fontId="0" fillId="20" borderId="8" xfId="0" applyFill="1" applyBorder="1"/>
    <xf numFmtId="0" fontId="0" fillId="20" borderId="0" xfId="0" applyFill="1" applyAlignment="1">
      <alignment horizontal="center"/>
    </xf>
    <xf numFmtId="0" fontId="0" fillId="20" borderId="6" xfId="0" applyFill="1" applyBorder="1" applyAlignment="1">
      <alignment horizontal="center"/>
    </xf>
    <xf numFmtId="0" fontId="0" fillId="20" borderId="8" xfId="0" applyFill="1" applyBorder="1" applyAlignment="1">
      <alignment horizontal="center"/>
    </xf>
    <xf numFmtId="0" fontId="0" fillId="20" borderId="19" xfId="0" applyFill="1" applyBorder="1" applyAlignment="1">
      <alignment horizontal="center"/>
    </xf>
    <xf numFmtId="2" fontId="0" fillId="20" borderId="8" xfId="0" applyNumberFormat="1" applyFill="1" applyBorder="1" applyAlignment="1">
      <alignment horizontal="center"/>
    </xf>
    <xf numFmtId="2" fontId="0" fillId="20" borderId="0" xfId="0" applyNumberFormat="1" applyFill="1" applyAlignment="1">
      <alignment horizontal="center"/>
    </xf>
    <xf numFmtId="2" fontId="0" fillId="20" borderId="19" xfId="0" applyNumberFormat="1" applyFill="1" applyBorder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center" vertical="center"/>
    </xf>
    <xf numFmtId="0" fontId="4" fillId="0" borderId="0" xfId="0" quotePrefix="1" applyFont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2" fillId="0" borderId="0" xfId="1487" applyAlignment="1">
      <alignment vertical="center"/>
    </xf>
    <xf numFmtId="165" fontId="1" fillId="0" borderId="0" xfId="9" applyFont="1" applyFill="1"/>
    <xf numFmtId="0" fontId="0" fillId="0" borderId="31" xfId="0" applyBorder="1" applyAlignment="1">
      <alignment horizontal="left" vertical="center"/>
    </xf>
    <xf numFmtId="2" fontId="0" fillId="0" borderId="0" xfId="0" applyNumberFormat="1" applyAlignment="1">
      <alignment vertical="center"/>
    </xf>
    <xf numFmtId="165" fontId="0" fillId="0" borderId="0" xfId="9" applyFont="1" applyFill="1" applyAlignment="1">
      <alignment vertical="center"/>
    </xf>
    <xf numFmtId="0" fontId="0" fillId="0" borderId="67" xfId="0" applyBorder="1"/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36" fillId="0" borderId="0" xfId="0" applyFont="1"/>
    <xf numFmtId="2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left"/>
    </xf>
    <xf numFmtId="0" fontId="0" fillId="16" borderId="72" xfId="0" applyFill="1" applyBorder="1"/>
    <xf numFmtId="0" fontId="0" fillId="21" borderId="71" xfId="0" applyFill="1" applyBorder="1"/>
    <xf numFmtId="9" fontId="8" fillId="5" borderId="5" xfId="3" applyFont="1" applyFill="1" applyBorder="1" applyAlignment="1">
      <alignment horizontal="right" vertical="center"/>
    </xf>
    <xf numFmtId="0" fontId="4" fillId="18" borderId="31" xfId="0" applyFont="1" applyFill="1" applyBorder="1"/>
    <xf numFmtId="0" fontId="4" fillId="18" borderId="0" xfId="0" applyFont="1" applyFill="1" applyAlignment="1">
      <alignment horizontal="center" vertical="center"/>
    </xf>
    <xf numFmtId="43" fontId="4" fillId="18" borderId="0" xfId="1" applyFont="1" applyFill="1" applyBorder="1" applyAlignment="1">
      <alignment horizontal="left"/>
    </xf>
    <xf numFmtId="43" fontId="4" fillId="18" borderId="0" xfId="1" applyFont="1" applyFill="1" applyBorder="1" applyAlignment="1">
      <alignment horizontal="left" vertical="center"/>
    </xf>
    <xf numFmtId="44" fontId="4" fillId="18" borderId="0" xfId="1" applyNumberFormat="1" applyFont="1" applyFill="1" applyBorder="1" applyAlignment="1">
      <alignment horizontal="left" vertical="center"/>
    </xf>
    <xf numFmtId="43" fontId="4" fillId="18" borderId="32" xfId="1" applyFont="1" applyFill="1" applyBorder="1" applyAlignment="1">
      <alignment horizontal="left"/>
    </xf>
    <xf numFmtId="16" fontId="0" fillId="0" borderId="0" xfId="0" applyNumberFormat="1" applyAlignment="1">
      <alignment horizontal="left"/>
    </xf>
    <xf numFmtId="0" fontId="14" fillId="15" borderId="0" xfId="0" applyFont="1" applyFill="1" applyAlignment="1">
      <alignment horizontal="left" vertical="center"/>
    </xf>
    <xf numFmtId="0" fontId="14" fillId="15" borderId="0" xfId="0" applyFont="1" applyFill="1" applyAlignment="1">
      <alignment horizontal="left"/>
    </xf>
    <xf numFmtId="43" fontId="4" fillId="8" borderId="54" xfId="1" applyFont="1" applyFill="1" applyBorder="1" applyAlignment="1">
      <alignment horizontal="left" vertical="center"/>
    </xf>
    <xf numFmtId="185" fontId="8" fillId="0" borderId="5" xfId="1" applyNumberFormat="1" applyFont="1" applyFill="1" applyBorder="1" applyAlignment="1">
      <alignment horizontal="right" vertical="center"/>
    </xf>
    <xf numFmtId="0" fontId="37" fillId="0" borderId="27" xfId="0" applyFont="1" applyBorder="1" applyAlignment="1">
      <alignment horizontal="right"/>
    </xf>
    <xf numFmtId="0" fontId="37" fillId="0" borderId="5" xfId="0" applyFont="1" applyBorder="1" applyAlignment="1">
      <alignment horizontal="right"/>
    </xf>
    <xf numFmtId="0" fontId="14" fillId="0" borderId="31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3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4" xfId="0" applyBorder="1" applyAlignment="1">
      <alignment horizontal="center"/>
    </xf>
    <xf numFmtId="0" fontId="37" fillId="0" borderId="63" xfId="0" applyFont="1" applyBorder="1" applyAlignment="1">
      <alignment horizontal="right"/>
    </xf>
    <xf numFmtId="0" fontId="37" fillId="0" borderId="18" xfId="0" applyFont="1" applyBorder="1" applyAlignment="1">
      <alignment horizontal="right"/>
    </xf>
    <xf numFmtId="3" fontId="4" fillId="0" borderId="63" xfId="5" applyNumberFormat="1" applyFont="1" applyFill="1" applyBorder="1" applyAlignment="1">
      <alignment horizontal="left" vertical="center"/>
    </xf>
    <xf numFmtId="3" fontId="4" fillId="0" borderId="18" xfId="5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10" fillId="5" borderId="31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9" fillId="0" borderId="0" xfId="0" applyFont="1" applyAlignment="1">
      <alignment horizontal="left"/>
    </xf>
  </cellXfs>
  <cellStyles count="1488">
    <cellStyle name="Comma" xfId="1" builtinId="3"/>
    <cellStyle name="Comma 10" xfId="373" xr:uid="{00000000-0005-0000-0000-000001000000}"/>
    <cellStyle name="Comma 10 2" xfId="547" xr:uid="{00000000-0005-0000-0000-000002000000}"/>
    <cellStyle name="Comma 10 2 2" xfId="1237" xr:uid="{00000000-0005-0000-0000-000003000000}"/>
    <cellStyle name="Comma 10 3" xfId="1095" xr:uid="{00000000-0005-0000-0000-000004000000}"/>
    <cellStyle name="Comma 11" xfId="509" xr:uid="{00000000-0005-0000-0000-000005000000}"/>
    <cellStyle name="Comma 11 2" xfId="1201" xr:uid="{00000000-0005-0000-0000-000006000000}"/>
    <cellStyle name="Comma 12" xfId="660" xr:uid="{00000000-0005-0000-0000-000007000000}"/>
    <cellStyle name="Comma 12 2" xfId="1343" xr:uid="{00000000-0005-0000-0000-000008000000}"/>
    <cellStyle name="Comma 13" xfId="335" xr:uid="{00000000-0005-0000-0000-000009000000}"/>
    <cellStyle name="Comma 13 2" xfId="1059" xr:uid="{00000000-0005-0000-0000-00000A000000}"/>
    <cellStyle name="Comma 2" xfId="9" xr:uid="{00000000-0005-0000-0000-00000B000000}"/>
    <cellStyle name="Comma 2 10" xfId="23" xr:uid="{00000000-0005-0000-0000-00000C000000}"/>
    <cellStyle name="Comma 2 10 2" xfId="203" xr:uid="{00000000-0005-0000-0000-00000D000000}"/>
    <cellStyle name="Comma 2 10 2 2" xfId="549" xr:uid="{00000000-0005-0000-0000-00000E000000}"/>
    <cellStyle name="Comma 2 10 2 2 2" xfId="1239" xr:uid="{00000000-0005-0000-0000-00000F000000}"/>
    <cellStyle name="Comma 2 10 2 3" xfId="927" xr:uid="{00000000-0005-0000-0000-000010000000}"/>
    <cellStyle name="Comma 2 10 3" xfId="375" xr:uid="{00000000-0005-0000-0000-000011000000}"/>
    <cellStyle name="Comma 2 10 3 2" xfId="1097" xr:uid="{00000000-0005-0000-0000-000012000000}"/>
    <cellStyle name="Comma 2 10 4" xfId="690" xr:uid="{00000000-0005-0000-0000-000013000000}"/>
    <cellStyle name="Comma 2 10 4 2" xfId="1373" xr:uid="{00000000-0005-0000-0000-000014000000}"/>
    <cellStyle name="Comma 2 10 5" xfId="814" xr:uid="{00000000-0005-0000-0000-000015000000}"/>
    <cellStyle name="Comma 2 11" xfId="13" xr:uid="{00000000-0005-0000-0000-000016000000}"/>
    <cellStyle name="Comma 2 11 2" xfId="197" xr:uid="{00000000-0005-0000-0000-000017000000}"/>
    <cellStyle name="Comma 2 11 2 2" xfId="921" xr:uid="{00000000-0005-0000-0000-000018000000}"/>
    <cellStyle name="Comma 2 11 3" xfId="511" xr:uid="{00000000-0005-0000-0000-000019000000}"/>
    <cellStyle name="Comma 2 11 3 2" xfId="1203" xr:uid="{00000000-0005-0000-0000-00001A000000}"/>
    <cellStyle name="Comma 2 11 4" xfId="684" xr:uid="{00000000-0005-0000-0000-00001B000000}"/>
    <cellStyle name="Comma 2 11 4 2" xfId="1367" xr:uid="{00000000-0005-0000-0000-00001C000000}"/>
    <cellStyle name="Comma 2 11 5" xfId="808" xr:uid="{00000000-0005-0000-0000-00001D000000}"/>
    <cellStyle name="Comma 2 12" xfId="193" xr:uid="{00000000-0005-0000-0000-00001E000000}"/>
    <cellStyle name="Comma 2 12 2" xfId="662" xr:uid="{00000000-0005-0000-0000-00001F000000}"/>
    <cellStyle name="Comma 2 12 2 2" xfId="1345" xr:uid="{00000000-0005-0000-0000-000020000000}"/>
    <cellStyle name="Comma 2 12 3" xfId="917" xr:uid="{00000000-0005-0000-0000-000021000000}"/>
    <cellStyle name="Comma 2 13" xfId="317" xr:uid="{00000000-0005-0000-0000-000022000000}"/>
    <cellStyle name="Comma 2 13 2" xfId="1041" xr:uid="{00000000-0005-0000-0000-000023000000}"/>
    <cellStyle name="Comma 2 14" xfId="337" xr:uid="{00000000-0005-0000-0000-000024000000}"/>
    <cellStyle name="Comma 2 14 2" xfId="1061" xr:uid="{00000000-0005-0000-0000-000025000000}"/>
    <cellStyle name="Comma 2 15" xfId="680" xr:uid="{00000000-0005-0000-0000-000026000000}"/>
    <cellStyle name="Comma 2 15 2" xfId="1363" xr:uid="{00000000-0005-0000-0000-000027000000}"/>
    <cellStyle name="Comma 2 16" xfId="804" xr:uid="{00000000-0005-0000-0000-000028000000}"/>
    <cellStyle name="Comma 2 2" xfId="11" xr:uid="{00000000-0005-0000-0000-000029000000}"/>
    <cellStyle name="Comma 2 2 10" xfId="319" xr:uid="{00000000-0005-0000-0000-00002A000000}"/>
    <cellStyle name="Comma 2 2 10 2" xfId="1043" xr:uid="{00000000-0005-0000-0000-00002B000000}"/>
    <cellStyle name="Comma 2 2 11" xfId="343" xr:uid="{00000000-0005-0000-0000-00002C000000}"/>
    <cellStyle name="Comma 2 2 11 2" xfId="1067" xr:uid="{00000000-0005-0000-0000-00002D000000}"/>
    <cellStyle name="Comma 2 2 12" xfId="682" xr:uid="{00000000-0005-0000-0000-00002E000000}"/>
    <cellStyle name="Comma 2 2 12 2" xfId="1365" xr:uid="{00000000-0005-0000-0000-00002F000000}"/>
    <cellStyle name="Comma 2 2 13" xfId="806" xr:uid="{00000000-0005-0000-0000-000030000000}"/>
    <cellStyle name="Comma 2 2 2" xfId="105" xr:uid="{00000000-0005-0000-0000-000031000000}"/>
    <cellStyle name="Comma 2 2 2 10" xfId="831" xr:uid="{00000000-0005-0000-0000-000032000000}"/>
    <cellStyle name="Comma 2 2 2 2" xfId="127" xr:uid="{00000000-0005-0000-0000-000033000000}"/>
    <cellStyle name="Comma 2 2 2 2 2" xfId="176" xr:uid="{00000000-0005-0000-0000-000034000000}"/>
    <cellStyle name="Comma 2 2 2 2 2 2" xfId="290" xr:uid="{00000000-0005-0000-0000-000035000000}"/>
    <cellStyle name="Comma 2 2 2 2 2 2 2" xfId="1014" xr:uid="{00000000-0005-0000-0000-000036000000}"/>
    <cellStyle name="Comma 2 2 2 2 2 3" xfId="631" xr:uid="{00000000-0005-0000-0000-000037000000}"/>
    <cellStyle name="Comma 2 2 2 2 2 3 2" xfId="1317" xr:uid="{00000000-0005-0000-0000-000038000000}"/>
    <cellStyle name="Comma 2 2 2 2 2 4" xfId="777" xr:uid="{00000000-0005-0000-0000-000039000000}"/>
    <cellStyle name="Comma 2 2 2 2 2 4 2" xfId="1460" xr:uid="{00000000-0005-0000-0000-00003A000000}"/>
    <cellStyle name="Comma 2 2 2 2 2 5" xfId="901" xr:uid="{00000000-0005-0000-0000-00003B000000}"/>
    <cellStyle name="Comma 2 2 2 2 3" xfId="311" xr:uid="{00000000-0005-0000-0000-00003C000000}"/>
    <cellStyle name="Comma 2 2 2 2 3 2" xfId="798" xr:uid="{00000000-0005-0000-0000-00003D000000}"/>
    <cellStyle name="Comma 2 2 2 2 3 2 2" xfId="1481" xr:uid="{00000000-0005-0000-0000-00003E000000}"/>
    <cellStyle name="Comma 2 2 2 2 3 3" xfId="1035" xr:uid="{00000000-0005-0000-0000-00003F000000}"/>
    <cellStyle name="Comma 2 2 2 2 4" xfId="242" xr:uid="{00000000-0005-0000-0000-000040000000}"/>
    <cellStyle name="Comma 2 2 2 2 4 2" xfId="966" xr:uid="{00000000-0005-0000-0000-000041000000}"/>
    <cellStyle name="Comma 2 2 2 2 5" xfId="480" xr:uid="{00000000-0005-0000-0000-000042000000}"/>
    <cellStyle name="Comma 2 2 2 2 5 2" xfId="1175" xr:uid="{00000000-0005-0000-0000-000043000000}"/>
    <cellStyle name="Comma 2 2 2 2 6" xfId="729" xr:uid="{00000000-0005-0000-0000-000044000000}"/>
    <cellStyle name="Comma 2 2 2 2 6 2" xfId="1412" xr:uid="{00000000-0005-0000-0000-000045000000}"/>
    <cellStyle name="Comma 2 2 2 2 7" xfId="853" xr:uid="{00000000-0005-0000-0000-000046000000}"/>
    <cellStyle name="Comma 2 2 2 3" xfId="154" xr:uid="{00000000-0005-0000-0000-000047000000}"/>
    <cellStyle name="Comma 2 2 2 3 2" xfId="268" xr:uid="{00000000-0005-0000-0000-000048000000}"/>
    <cellStyle name="Comma 2 2 2 3 2 2" xfId="656" xr:uid="{00000000-0005-0000-0000-000049000000}"/>
    <cellStyle name="Comma 2 2 2 3 2 2 2" xfId="1339" xr:uid="{00000000-0005-0000-0000-00004A000000}"/>
    <cellStyle name="Comma 2 2 2 3 2 3" xfId="992" xr:uid="{00000000-0005-0000-0000-00004B000000}"/>
    <cellStyle name="Comma 2 2 2 3 3" xfId="503" xr:uid="{00000000-0005-0000-0000-00004C000000}"/>
    <cellStyle name="Comma 2 2 2 3 3 2" xfId="1197" xr:uid="{00000000-0005-0000-0000-00004D000000}"/>
    <cellStyle name="Comma 2 2 2 3 4" xfId="755" xr:uid="{00000000-0005-0000-0000-00004E000000}"/>
    <cellStyle name="Comma 2 2 2 3 4 2" xfId="1438" xr:uid="{00000000-0005-0000-0000-00004F000000}"/>
    <cellStyle name="Comma 2 2 2 3 5" xfId="879" xr:uid="{00000000-0005-0000-0000-000050000000}"/>
    <cellStyle name="Comma 2 2 2 4" xfId="187" xr:uid="{00000000-0005-0000-0000-000051000000}"/>
    <cellStyle name="Comma 2 2 2 4 2" xfId="300" xr:uid="{00000000-0005-0000-0000-000052000000}"/>
    <cellStyle name="Comma 2 2 2 4 2 2" xfId="609" xr:uid="{00000000-0005-0000-0000-000053000000}"/>
    <cellStyle name="Comma 2 2 2 4 2 2 2" xfId="1295" xr:uid="{00000000-0005-0000-0000-000054000000}"/>
    <cellStyle name="Comma 2 2 2 4 2 3" xfId="1024" xr:uid="{00000000-0005-0000-0000-000055000000}"/>
    <cellStyle name="Comma 2 2 2 4 3" xfId="458" xr:uid="{00000000-0005-0000-0000-000056000000}"/>
    <cellStyle name="Comma 2 2 2 4 3 2" xfId="1153" xr:uid="{00000000-0005-0000-0000-000057000000}"/>
    <cellStyle name="Comma 2 2 2 4 4" xfId="787" xr:uid="{00000000-0005-0000-0000-000058000000}"/>
    <cellStyle name="Comma 2 2 2 4 4 2" xfId="1470" xr:uid="{00000000-0005-0000-0000-000059000000}"/>
    <cellStyle name="Comma 2 2 2 4 5" xfId="911" xr:uid="{00000000-0005-0000-0000-00005A000000}"/>
    <cellStyle name="Comma 2 2 2 5" xfId="220" xr:uid="{00000000-0005-0000-0000-00005B000000}"/>
    <cellStyle name="Comma 2 2 2 5 2" xfId="581" xr:uid="{00000000-0005-0000-0000-00005C000000}"/>
    <cellStyle name="Comma 2 2 2 5 2 2" xfId="1269" xr:uid="{00000000-0005-0000-0000-00005D000000}"/>
    <cellStyle name="Comma 2 2 2 5 3" xfId="430" xr:uid="{00000000-0005-0000-0000-00005E000000}"/>
    <cellStyle name="Comma 2 2 2 5 3 2" xfId="1127" xr:uid="{00000000-0005-0000-0000-00005F000000}"/>
    <cellStyle name="Comma 2 2 2 5 4" xfId="944" xr:uid="{00000000-0005-0000-0000-000060000000}"/>
    <cellStyle name="Comma 2 2 2 6" xfId="323" xr:uid="{00000000-0005-0000-0000-000061000000}"/>
    <cellStyle name="Comma 2 2 2 6 2" xfId="542" xr:uid="{00000000-0005-0000-0000-000062000000}"/>
    <cellStyle name="Comma 2 2 2 6 2 2" xfId="1233" xr:uid="{00000000-0005-0000-0000-000063000000}"/>
    <cellStyle name="Comma 2 2 2 6 3" xfId="1047" xr:uid="{00000000-0005-0000-0000-000064000000}"/>
    <cellStyle name="Comma 2 2 2 7" xfId="678" xr:uid="{00000000-0005-0000-0000-000065000000}"/>
    <cellStyle name="Comma 2 2 2 7 2" xfId="1361" xr:uid="{00000000-0005-0000-0000-000066000000}"/>
    <cellStyle name="Comma 2 2 2 8" xfId="368" xr:uid="{00000000-0005-0000-0000-000067000000}"/>
    <cellStyle name="Comma 2 2 2 8 2" xfId="1091" xr:uid="{00000000-0005-0000-0000-000068000000}"/>
    <cellStyle name="Comma 2 2 2 9" xfId="707" xr:uid="{00000000-0005-0000-0000-000069000000}"/>
    <cellStyle name="Comma 2 2 2 9 2" xfId="1390" xr:uid="{00000000-0005-0000-0000-00006A000000}"/>
    <cellStyle name="Comma 2 2 3" xfId="108" xr:uid="{00000000-0005-0000-0000-00006B000000}"/>
    <cellStyle name="Comma 2 2 3 2" xfId="130" xr:uid="{00000000-0005-0000-0000-00006C000000}"/>
    <cellStyle name="Comma 2 2 3 2 2" xfId="179" xr:uid="{00000000-0005-0000-0000-00006D000000}"/>
    <cellStyle name="Comma 2 2 3 2 2 2" xfId="293" xr:uid="{00000000-0005-0000-0000-00006E000000}"/>
    <cellStyle name="Comma 2 2 3 2 2 2 2" xfId="1017" xr:uid="{00000000-0005-0000-0000-00006F000000}"/>
    <cellStyle name="Comma 2 2 3 2 2 3" xfId="634" xr:uid="{00000000-0005-0000-0000-000070000000}"/>
    <cellStyle name="Comma 2 2 3 2 2 3 2" xfId="1320" xr:uid="{00000000-0005-0000-0000-000071000000}"/>
    <cellStyle name="Comma 2 2 3 2 2 4" xfId="780" xr:uid="{00000000-0005-0000-0000-000072000000}"/>
    <cellStyle name="Comma 2 2 3 2 2 4 2" xfId="1463" xr:uid="{00000000-0005-0000-0000-000073000000}"/>
    <cellStyle name="Comma 2 2 3 2 2 5" xfId="904" xr:uid="{00000000-0005-0000-0000-000074000000}"/>
    <cellStyle name="Comma 2 2 3 2 3" xfId="315" xr:uid="{00000000-0005-0000-0000-000075000000}"/>
    <cellStyle name="Comma 2 2 3 2 3 2" xfId="802" xr:uid="{00000000-0005-0000-0000-000076000000}"/>
    <cellStyle name="Comma 2 2 3 2 3 2 2" xfId="1485" xr:uid="{00000000-0005-0000-0000-000077000000}"/>
    <cellStyle name="Comma 2 2 3 2 3 3" xfId="1039" xr:uid="{00000000-0005-0000-0000-000078000000}"/>
    <cellStyle name="Comma 2 2 3 2 4" xfId="245" xr:uid="{00000000-0005-0000-0000-000079000000}"/>
    <cellStyle name="Comma 2 2 3 2 4 2" xfId="969" xr:uid="{00000000-0005-0000-0000-00007A000000}"/>
    <cellStyle name="Comma 2 2 3 2 5" xfId="483" xr:uid="{00000000-0005-0000-0000-00007B000000}"/>
    <cellStyle name="Comma 2 2 3 2 5 2" xfId="1178" xr:uid="{00000000-0005-0000-0000-00007C000000}"/>
    <cellStyle name="Comma 2 2 3 2 6" xfId="732" xr:uid="{00000000-0005-0000-0000-00007D000000}"/>
    <cellStyle name="Comma 2 2 3 2 6 2" xfId="1415" xr:uid="{00000000-0005-0000-0000-00007E000000}"/>
    <cellStyle name="Comma 2 2 3 2 7" xfId="856" xr:uid="{00000000-0005-0000-0000-00007F000000}"/>
    <cellStyle name="Comma 2 2 3 3" xfId="157" xr:uid="{00000000-0005-0000-0000-000080000000}"/>
    <cellStyle name="Comma 2 2 3 3 2" xfId="271" xr:uid="{00000000-0005-0000-0000-000081000000}"/>
    <cellStyle name="Comma 2 2 3 3 2 2" xfId="659" xr:uid="{00000000-0005-0000-0000-000082000000}"/>
    <cellStyle name="Comma 2 2 3 3 2 2 2" xfId="1342" xr:uid="{00000000-0005-0000-0000-000083000000}"/>
    <cellStyle name="Comma 2 2 3 3 2 3" xfId="995" xr:uid="{00000000-0005-0000-0000-000084000000}"/>
    <cellStyle name="Comma 2 2 3 3 3" xfId="506" xr:uid="{00000000-0005-0000-0000-000085000000}"/>
    <cellStyle name="Comma 2 2 3 3 3 2" xfId="1200" xr:uid="{00000000-0005-0000-0000-000086000000}"/>
    <cellStyle name="Comma 2 2 3 3 4" xfId="758" xr:uid="{00000000-0005-0000-0000-000087000000}"/>
    <cellStyle name="Comma 2 2 3 3 4 2" xfId="1441" xr:uid="{00000000-0005-0000-0000-000088000000}"/>
    <cellStyle name="Comma 2 2 3 3 5" xfId="882" xr:uid="{00000000-0005-0000-0000-000089000000}"/>
    <cellStyle name="Comma 2 2 3 4" xfId="190" xr:uid="{00000000-0005-0000-0000-00008A000000}"/>
    <cellStyle name="Comma 2 2 3 4 2" xfId="303" xr:uid="{00000000-0005-0000-0000-00008B000000}"/>
    <cellStyle name="Comma 2 2 3 4 2 2" xfId="612" xr:uid="{00000000-0005-0000-0000-00008C000000}"/>
    <cellStyle name="Comma 2 2 3 4 2 2 2" xfId="1298" xr:uid="{00000000-0005-0000-0000-00008D000000}"/>
    <cellStyle name="Comma 2 2 3 4 2 3" xfId="1027" xr:uid="{00000000-0005-0000-0000-00008E000000}"/>
    <cellStyle name="Comma 2 2 3 4 3" xfId="461" xr:uid="{00000000-0005-0000-0000-00008F000000}"/>
    <cellStyle name="Comma 2 2 3 4 3 2" xfId="1156" xr:uid="{00000000-0005-0000-0000-000090000000}"/>
    <cellStyle name="Comma 2 2 3 4 4" xfId="790" xr:uid="{00000000-0005-0000-0000-000091000000}"/>
    <cellStyle name="Comma 2 2 3 4 4 2" xfId="1473" xr:uid="{00000000-0005-0000-0000-000092000000}"/>
    <cellStyle name="Comma 2 2 3 4 5" xfId="914" xr:uid="{00000000-0005-0000-0000-000093000000}"/>
    <cellStyle name="Comma 2 2 3 5" xfId="223" xr:uid="{00000000-0005-0000-0000-000094000000}"/>
    <cellStyle name="Comma 2 2 3 5 2" xfId="584" xr:uid="{00000000-0005-0000-0000-000095000000}"/>
    <cellStyle name="Comma 2 2 3 5 2 2" xfId="1272" xr:uid="{00000000-0005-0000-0000-000096000000}"/>
    <cellStyle name="Comma 2 2 3 5 3" xfId="433" xr:uid="{00000000-0005-0000-0000-000097000000}"/>
    <cellStyle name="Comma 2 2 3 5 3 2" xfId="1130" xr:uid="{00000000-0005-0000-0000-000098000000}"/>
    <cellStyle name="Comma 2 2 3 5 4" xfId="947" xr:uid="{00000000-0005-0000-0000-000099000000}"/>
    <cellStyle name="Comma 2 2 3 6" xfId="327" xr:uid="{00000000-0005-0000-0000-00009A000000}"/>
    <cellStyle name="Comma 2 2 3 6 2" xfId="545" xr:uid="{00000000-0005-0000-0000-00009B000000}"/>
    <cellStyle name="Comma 2 2 3 6 2 2" xfId="1236" xr:uid="{00000000-0005-0000-0000-00009C000000}"/>
    <cellStyle name="Comma 2 2 3 6 3" xfId="1051" xr:uid="{00000000-0005-0000-0000-00009D000000}"/>
    <cellStyle name="Comma 2 2 3 7" xfId="371" xr:uid="{00000000-0005-0000-0000-00009E000000}"/>
    <cellStyle name="Comma 2 2 3 7 2" xfId="1094" xr:uid="{00000000-0005-0000-0000-00009F000000}"/>
    <cellStyle name="Comma 2 2 3 8" xfId="710" xr:uid="{00000000-0005-0000-0000-0000A0000000}"/>
    <cellStyle name="Comma 2 2 3 8 2" xfId="1393" xr:uid="{00000000-0005-0000-0000-0000A1000000}"/>
    <cellStyle name="Comma 2 2 3 9" xfId="834" xr:uid="{00000000-0005-0000-0000-0000A2000000}"/>
    <cellStyle name="Comma 2 2 4" xfId="119" xr:uid="{00000000-0005-0000-0000-0000A3000000}"/>
    <cellStyle name="Comma 2 2 4 2" xfId="168" xr:uid="{00000000-0005-0000-0000-0000A4000000}"/>
    <cellStyle name="Comma 2 2 4 2 2" xfId="282" xr:uid="{00000000-0005-0000-0000-0000A5000000}"/>
    <cellStyle name="Comma 2 2 4 2 2 2" xfId="623" xr:uid="{00000000-0005-0000-0000-0000A6000000}"/>
    <cellStyle name="Comma 2 2 4 2 2 2 2" xfId="1309" xr:uid="{00000000-0005-0000-0000-0000A7000000}"/>
    <cellStyle name="Comma 2 2 4 2 2 3" xfId="1006" xr:uid="{00000000-0005-0000-0000-0000A8000000}"/>
    <cellStyle name="Comma 2 2 4 2 3" xfId="472" xr:uid="{00000000-0005-0000-0000-0000A9000000}"/>
    <cellStyle name="Comma 2 2 4 2 3 2" xfId="1167" xr:uid="{00000000-0005-0000-0000-0000AA000000}"/>
    <cellStyle name="Comma 2 2 4 2 4" xfId="769" xr:uid="{00000000-0005-0000-0000-0000AB000000}"/>
    <cellStyle name="Comma 2 2 4 2 4 2" xfId="1452" xr:uid="{00000000-0005-0000-0000-0000AC000000}"/>
    <cellStyle name="Comma 2 2 4 2 5" xfId="893" xr:uid="{00000000-0005-0000-0000-0000AD000000}"/>
    <cellStyle name="Comma 2 2 4 3" xfId="307" xr:uid="{00000000-0005-0000-0000-0000AE000000}"/>
    <cellStyle name="Comma 2 2 4 3 2" xfId="573" xr:uid="{00000000-0005-0000-0000-0000AF000000}"/>
    <cellStyle name="Comma 2 2 4 3 2 2" xfId="1261" xr:uid="{00000000-0005-0000-0000-0000B0000000}"/>
    <cellStyle name="Comma 2 2 4 3 3" xfId="421" xr:uid="{00000000-0005-0000-0000-0000B1000000}"/>
    <cellStyle name="Comma 2 2 4 3 3 2" xfId="1119" xr:uid="{00000000-0005-0000-0000-0000B2000000}"/>
    <cellStyle name="Comma 2 2 4 3 4" xfId="794" xr:uid="{00000000-0005-0000-0000-0000B3000000}"/>
    <cellStyle name="Comma 2 2 4 3 4 2" xfId="1477" xr:uid="{00000000-0005-0000-0000-0000B4000000}"/>
    <cellStyle name="Comma 2 2 4 3 5" xfId="1031" xr:uid="{00000000-0005-0000-0000-0000B5000000}"/>
    <cellStyle name="Comma 2 2 4 4" xfId="234" xr:uid="{00000000-0005-0000-0000-0000B6000000}"/>
    <cellStyle name="Comma 2 2 4 4 2" xfId="534" xr:uid="{00000000-0005-0000-0000-0000B7000000}"/>
    <cellStyle name="Comma 2 2 4 4 2 2" xfId="1225" xr:uid="{00000000-0005-0000-0000-0000B8000000}"/>
    <cellStyle name="Comma 2 2 4 4 3" xfId="958" xr:uid="{00000000-0005-0000-0000-0000B9000000}"/>
    <cellStyle name="Comma 2 2 4 5" xfId="333" xr:uid="{00000000-0005-0000-0000-0000BA000000}"/>
    <cellStyle name="Comma 2 2 4 5 2" xfId="1057" xr:uid="{00000000-0005-0000-0000-0000BB000000}"/>
    <cellStyle name="Comma 2 2 4 6" xfId="359" xr:uid="{00000000-0005-0000-0000-0000BC000000}"/>
    <cellStyle name="Comma 2 2 4 6 2" xfId="1083" xr:uid="{00000000-0005-0000-0000-0000BD000000}"/>
    <cellStyle name="Comma 2 2 4 7" xfId="721" xr:uid="{00000000-0005-0000-0000-0000BE000000}"/>
    <cellStyle name="Comma 2 2 4 7 2" xfId="1404" xr:uid="{00000000-0005-0000-0000-0000BF000000}"/>
    <cellStyle name="Comma 2 2 4 8" xfId="845" xr:uid="{00000000-0005-0000-0000-0000C0000000}"/>
    <cellStyle name="Comma 2 2 5" xfId="146" xr:uid="{00000000-0005-0000-0000-0000C1000000}"/>
    <cellStyle name="Comma 2 2 5 2" xfId="260" xr:uid="{00000000-0005-0000-0000-0000C2000000}"/>
    <cellStyle name="Comma 2 2 5 2 2" xfId="646" xr:uid="{00000000-0005-0000-0000-0000C3000000}"/>
    <cellStyle name="Comma 2 2 5 2 2 2" xfId="1331" xr:uid="{00000000-0005-0000-0000-0000C4000000}"/>
    <cellStyle name="Comma 2 2 5 2 3" xfId="984" xr:uid="{00000000-0005-0000-0000-0000C5000000}"/>
    <cellStyle name="Comma 2 2 5 3" xfId="494" xr:uid="{00000000-0005-0000-0000-0000C6000000}"/>
    <cellStyle name="Comma 2 2 5 3 2" xfId="1189" xr:uid="{00000000-0005-0000-0000-0000C7000000}"/>
    <cellStyle name="Comma 2 2 5 4" xfId="747" xr:uid="{00000000-0005-0000-0000-0000C8000000}"/>
    <cellStyle name="Comma 2 2 5 4 2" xfId="1430" xr:uid="{00000000-0005-0000-0000-0000C9000000}"/>
    <cellStyle name="Comma 2 2 5 5" xfId="871" xr:uid="{00000000-0005-0000-0000-0000CA000000}"/>
    <cellStyle name="Comma 2 2 6" xfId="182" xr:uid="{00000000-0005-0000-0000-0000CB000000}"/>
    <cellStyle name="Comma 2 2 6 2" xfId="296" xr:uid="{00000000-0005-0000-0000-0000CC000000}"/>
    <cellStyle name="Comma 2 2 6 2 2" xfId="601" xr:uid="{00000000-0005-0000-0000-0000CD000000}"/>
    <cellStyle name="Comma 2 2 6 2 2 2" xfId="1287" xr:uid="{00000000-0005-0000-0000-0000CE000000}"/>
    <cellStyle name="Comma 2 2 6 2 3" xfId="1020" xr:uid="{00000000-0005-0000-0000-0000CF000000}"/>
    <cellStyle name="Comma 2 2 6 3" xfId="450" xr:uid="{00000000-0005-0000-0000-0000D0000000}"/>
    <cellStyle name="Comma 2 2 6 3 2" xfId="1145" xr:uid="{00000000-0005-0000-0000-0000D1000000}"/>
    <cellStyle name="Comma 2 2 6 4" xfId="783" xr:uid="{00000000-0005-0000-0000-0000D2000000}"/>
    <cellStyle name="Comma 2 2 6 4 2" xfId="1466" xr:uid="{00000000-0005-0000-0000-0000D3000000}"/>
    <cellStyle name="Comma 2 2 6 5" xfId="907" xr:uid="{00000000-0005-0000-0000-0000D4000000}"/>
    <cellStyle name="Comma 2 2 7" xfId="36" xr:uid="{00000000-0005-0000-0000-0000D5000000}"/>
    <cellStyle name="Comma 2 2 7 2" xfId="207" xr:uid="{00000000-0005-0000-0000-0000D6000000}"/>
    <cellStyle name="Comma 2 2 7 2 2" xfId="556" xr:uid="{00000000-0005-0000-0000-0000D7000000}"/>
    <cellStyle name="Comma 2 2 7 2 2 2" xfId="1245" xr:uid="{00000000-0005-0000-0000-0000D8000000}"/>
    <cellStyle name="Comma 2 2 7 2 3" xfId="931" xr:uid="{00000000-0005-0000-0000-0000D9000000}"/>
    <cellStyle name="Comma 2 2 7 3" xfId="383" xr:uid="{00000000-0005-0000-0000-0000DA000000}"/>
    <cellStyle name="Comma 2 2 7 3 2" xfId="1103" xr:uid="{00000000-0005-0000-0000-0000DB000000}"/>
    <cellStyle name="Comma 2 2 7 4" xfId="694" xr:uid="{00000000-0005-0000-0000-0000DC000000}"/>
    <cellStyle name="Comma 2 2 7 4 2" xfId="1377" xr:uid="{00000000-0005-0000-0000-0000DD000000}"/>
    <cellStyle name="Comma 2 2 7 5" xfId="818" xr:uid="{00000000-0005-0000-0000-0000DE000000}"/>
    <cellStyle name="Comma 2 2 8" xfId="15" xr:uid="{00000000-0005-0000-0000-0000DF000000}"/>
    <cellStyle name="Comma 2 2 8 2" xfId="199" xr:uid="{00000000-0005-0000-0000-0000E0000000}"/>
    <cellStyle name="Comma 2 2 8 2 2" xfId="923" xr:uid="{00000000-0005-0000-0000-0000E1000000}"/>
    <cellStyle name="Comma 2 2 8 3" xfId="517" xr:uid="{00000000-0005-0000-0000-0000E2000000}"/>
    <cellStyle name="Comma 2 2 8 3 2" xfId="1209" xr:uid="{00000000-0005-0000-0000-0000E3000000}"/>
    <cellStyle name="Comma 2 2 8 4" xfId="686" xr:uid="{00000000-0005-0000-0000-0000E4000000}"/>
    <cellStyle name="Comma 2 2 8 4 2" xfId="1369" xr:uid="{00000000-0005-0000-0000-0000E5000000}"/>
    <cellStyle name="Comma 2 2 8 5" xfId="810" xr:uid="{00000000-0005-0000-0000-0000E6000000}"/>
    <cellStyle name="Comma 2 2 9" xfId="195" xr:uid="{00000000-0005-0000-0000-0000E7000000}"/>
    <cellStyle name="Comma 2 2 9 2" xfId="670" xr:uid="{00000000-0005-0000-0000-0000E8000000}"/>
    <cellStyle name="Comma 2 2 9 2 2" xfId="1353" xr:uid="{00000000-0005-0000-0000-0000E9000000}"/>
    <cellStyle name="Comma 2 2 9 3" xfId="919" xr:uid="{00000000-0005-0000-0000-0000EA000000}"/>
    <cellStyle name="Comma 2 3" xfId="49" xr:uid="{00000000-0005-0000-0000-0000EB000000}"/>
    <cellStyle name="Comma 2 3 10" xfId="820" xr:uid="{00000000-0005-0000-0000-0000EC000000}"/>
    <cellStyle name="Comma 2 3 2" xfId="115" xr:uid="{00000000-0005-0000-0000-0000ED000000}"/>
    <cellStyle name="Comma 2 3 2 2" xfId="164" xr:uid="{00000000-0005-0000-0000-0000EE000000}"/>
    <cellStyle name="Comma 2 3 2 2 2" xfId="278" xr:uid="{00000000-0005-0000-0000-0000EF000000}"/>
    <cellStyle name="Comma 2 3 2 2 2 2" xfId="619" xr:uid="{00000000-0005-0000-0000-0000F0000000}"/>
    <cellStyle name="Comma 2 3 2 2 2 2 2" xfId="1305" xr:uid="{00000000-0005-0000-0000-0000F1000000}"/>
    <cellStyle name="Comma 2 3 2 2 2 3" xfId="1002" xr:uid="{00000000-0005-0000-0000-0000F2000000}"/>
    <cellStyle name="Comma 2 3 2 2 3" xfId="468" xr:uid="{00000000-0005-0000-0000-0000F3000000}"/>
    <cellStyle name="Comma 2 3 2 2 3 2" xfId="1163" xr:uid="{00000000-0005-0000-0000-0000F4000000}"/>
    <cellStyle name="Comma 2 3 2 2 4" xfId="765" xr:uid="{00000000-0005-0000-0000-0000F5000000}"/>
    <cellStyle name="Comma 2 3 2 2 4 2" xfId="1448" xr:uid="{00000000-0005-0000-0000-0000F6000000}"/>
    <cellStyle name="Comma 2 3 2 2 5" xfId="889" xr:uid="{00000000-0005-0000-0000-0000F7000000}"/>
    <cellStyle name="Comma 2 3 2 3" xfId="309" xr:uid="{00000000-0005-0000-0000-0000F8000000}"/>
    <cellStyle name="Comma 2 3 2 3 2" xfId="569" xr:uid="{00000000-0005-0000-0000-0000F9000000}"/>
    <cellStyle name="Comma 2 3 2 3 2 2" xfId="1257" xr:uid="{00000000-0005-0000-0000-0000FA000000}"/>
    <cellStyle name="Comma 2 3 2 3 3" xfId="417" xr:uid="{00000000-0005-0000-0000-0000FB000000}"/>
    <cellStyle name="Comma 2 3 2 3 3 2" xfId="1115" xr:uid="{00000000-0005-0000-0000-0000FC000000}"/>
    <cellStyle name="Comma 2 3 2 3 4" xfId="796" xr:uid="{00000000-0005-0000-0000-0000FD000000}"/>
    <cellStyle name="Comma 2 3 2 3 4 2" xfId="1479" xr:uid="{00000000-0005-0000-0000-0000FE000000}"/>
    <cellStyle name="Comma 2 3 2 3 5" xfId="1033" xr:uid="{00000000-0005-0000-0000-0000FF000000}"/>
    <cellStyle name="Comma 2 3 2 4" xfId="230" xr:uid="{00000000-0005-0000-0000-000000010000}"/>
    <cellStyle name="Comma 2 3 2 4 2" xfId="530" xr:uid="{00000000-0005-0000-0000-000001010000}"/>
    <cellStyle name="Comma 2 3 2 4 2 2" xfId="1221" xr:uid="{00000000-0005-0000-0000-000002010000}"/>
    <cellStyle name="Comma 2 3 2 4 3" xfId="954" xr:uid="{00000000-0005-0000-0000-000003010000}"/>
    <cellStyle name="Comma 2 3 2 5" xfId="355" xr:uid="{00000000-0005-0000-0000-000004010000}"/>
    <cellStyle name="Comma 2 3 2 5 2" xfId="1079" xr:uid="{00000000-0005-0000-0000-000005010000}"/>
    <cellStyle name="Comma 2 3 2 6" xfId="717" xr:uid="{00000000-0005-0000-0000-000006010000}"/>
    <cellStyle name="Comma 2 3 2 6 2" xfId="1400" xr:uid="{00000000-0005-0000-0000-000007010000}"/>
    <cellStyle name="Comma 2 3 2 7" xfId="841" xr:uid="{00000000-0005-0000-0000-000008010000}"/>
    <cellStyle name="Comma 2 3 3" xfId="142" xr:uid="{00000000-0005-0000-0000-000009010000}"/>
    <cellStyle name="Comma 2 3 3 2" xfId="256" xr:uid="{00000000-0005-0000-0000-00000A010000}"/>
    <cellStyle name="Comma 2 3 3 2 2" xfId="642" xr:uid="{00000000-0005-0000-0000-00000B010000}"/>
    <cellStyle name="Comma 2 3 3 2 2 2" xfId="1327" xr:uid="{00000000-0005-0000-0000-00000C010000}"/>
    <cellStyle name="Comma 2 3 3 2 3" xfId="980" xr:uid="{00000000-0005-0000-0000-00000D010000}"/>
    <cellStyle name="Comma 2 3 3 3" xfId="490" xr:uid="{00000000-0005-0000-0000-00000E010000}"/>
    <cellStyle name="Comma 2 3 3 3 2" xfId="1185" xr:uid="{00000000-0005-0000-0000-00000F010000}"/>
    <cellStyle name="Comma 2 3 3 4" xfId="743" xr:uid="{00000000-0005-0000-0000-000010010000}"/>
    <cellStyle name="Comma 2 3 3 4 2" xfId="1426" xr:uid="{00000000-0005-0000-0000-000011010000}"/>
    <cellStyle name="Comma 2 3 3 5" xfId="867" xr:uid="{00000000-0005-0000-0000-000012010000}"/>
    <cellStyle name="Comma 2 3 4" xfId="185" xr:uid="{00000000-0005-0000-0000-000013010000}"/>
    <cellStyle name="Comma 2 3 4 2" xfId="298" xr:uid="{00000000-0005-0000-0000-000014010000}"/>
    <cellStyle name="Comma 2 3 4 2 2" xfId="597" xr:uid="{00000000-0005-0000-0000-000015010000}"/>
    <cellStyle name="Comma 2 3 4 2 2 2" xfId="1283" xr:uid="{00000000-0005-0000-0000-000016010000}"/>
    <cellStyle name="Comma 2 3 4 2 3" xfId="1022" xr:uid="{00000000-0005-0000-0000-000017010000}"/>
    <cellStyle name="Comma 2 3 4 3" xfId="446" xr:uid="{00000000-0005-0000-0000-000018010000}"/>
    <cellStyle name="Comma 2 3 4 3 2" xfId="1141" xr:uid="{00000000-0005-0000-0000-000019010000}"/>
    <cellStyle name="Comma 2 3 4 4" xfId="785" xr:uid="{00000000-0005-0000-0000-00001A010000}"/>
    <cellStyle name="Comma 2 3 4 4 2" xfId="1468" xr:uid="{00000000-0005-0000-0000-00001B010000}"/>
    <cellStyle name="Comma 2 3 4 5" xfId="909" xr:uid="{00000000-0005-0000-0000-00001C010000}"/>
    <cellStyle name="Comma 2 3 5" xfId="209" xr:uid="{00000000-0005-0000-0000-00001D010000}"/>
    <cellStyle name="Comma 2 3 5 2" xfId="553" xr:uid="{00000000-0005-0000-0000-00001E010000}"/>
    <cellStyle name="Comma 2 3 5 2 2" xfId="1242" xr:uid="{00000000-0005-0000-0000-00001F010000}"/>
    <cellStyle name="Comma 2 3 5 3" xfId="380" xr:uid="{00000000-0005-0000-0000-000020010000}"/>
    <cellStyle name="Comma 2 3 5 3 2" xfId="1100" xr:uid="{00000000-0005-0000-0000-000021010000}"/>
    <cellStyle name="Comma 2 3 5 4" xfId="933" xr:uid="{00000000-0005-0000-0000-000022010000}"/>
    <cellStyle name="Comma 2 3 6" xfId="321" xr:uid="{00000000-0005-0000-0000-000023010000}"/>
    <cellStyle name="Comma 2 3 6 2" xfId="514" xr:uid="{00000000-0005-0000-0000-000024010000}"/>
    <cellStyle name="Comma 2 3 6 2 2" xfId="1206" xr:uid="{00000000-0005-0000-0000-000025010000}"/>
    <cellStyle name="Comma 2 3 6 3" xfId="1045" xr:uid="{00000000-0005-0000-0000-000026010000}"/>
    <cellStyle name="Comma 2 3 7" xfId="666" xr:uid="{00000000-0005-0000-0000-000027010000}"/>
    <cellStyle name="Comma 2 3 7 2" xfId="1349" xr:uid="{00000000-0005-0000-0000-000028010000}"/>
    <cellStyle name="Comma 2 3 8" xfId="340" xr:uid="{00000000-0005-0000-0000-000029010000}"/>
    <cellStyle name="Comma 2 3 8 2" xfId="1064" xr:uid="{00000000-0005-0000-0000-00002A010000}"/>
    <cellStyle name="Comma 2 3 9" xfId="696" xr:uid="{00000000-0005-0000-0000-00002B010000}"/>
    <cellStyle name="Comma 2 3 9 2" xfId="1379" xr:uid="{00000000-0005-0000-0000-00002C010000}"/>
    <cellStyle name="Comma 2 4" xfId="101" xr:uid="{00000000-0005-0000-0000-00002D010000}"/>
    <cellStyle name="Comma 2 4 10" xfId="828" xr:uid="{00000000-0005-0000-0000-00002E010000}"/>
    <cellStyle name="Comma 2 4 2" xfId="123" xr:uid="{00000000-0005-0000-0000-00002F010000}"/>
    <cellStyle name="Comma 2 4 2 2" xfId="172" xr:uid="{00000000-0005-0000-0000-000030010000}"/>
    <cellStyle name="Comma 2 4 2 2 2" xfId="286" xr:uid="{00000000-0005-0000-0000-000031010000}"/>
    <cellStyle name="Comma 2 4 2 2 2 2" xfId="1010" xr:uid="{00000000-0005-0000-0000-000032010000}"/>
    <cellStyle name="Comma 2 4 2 2 3" xfId="627" xr:uid="{00000000-0005-0000-0000-000033010000}"/>
    <cellStyle name="Comma 2 4 2 2 3 2" xfId="1313" xr:uid="{00000000-0005-0000-0000-000034010000}"/>
    <cellStyle name="Comma 2 4 2 2 4" xfId="773" xr:uid="{00000000-0005-0000-0000-000035010000}"/>
    <cellStyle name="Comma 2 4 2 2 4 2" xfId="1456" xr:uid="{00000000-0005-0000-0000-000036010000}"/>
    <cellStyle name="Comma 2 4 2 2 5" xfId="897" xr:uid="{00000000-0005-0000-0000-000037010000}"/>
    <cellStyle name="Comma 2 4 2 3" xfId="313" xr:uid="{00000000-0005-0000-0000-000038010000}"/>
    <cellStyle name="Comma 2 4 2 3 2" xfId="800" xr:uid="{00000000-0005-0000-0000-000039010000}"/>
    <cellStyle name="Comma 2 4 2 3 2 2" xfId="1483" xr:uid="{00000000-0005-0000-0000-00003A010000}"/>
    <cellStyle name="Comma 2 4 2 3 3" xfId="1037" xr:uid="{00000000-0005-0000-0000-00003B010000}"/>
    <cellStyle name="Comma 2 4 2 4" xfId="238" xr:uid="{00000000-0005-0000-0000-00003C010000}"/>
    <cellStyle name="Comma 2 4 2 4 2" xfId="962" xr:uid="{00000000-0005-0000-0000-00003D010000}"/>
    <cellStyle name="Comma 2 4 2 5" xfId="476" xr:uid="{00000000-0005-0000-0000-00003E010000}"/>
    <cellStyle name="Comma 2 4 2 5 2" xfId="1171" xr:uid="{00000000-0005-0000-0000-00003F010000}"/>
    <cellStyle name="Comma 2 4 2 6" xfId="725" xr:uid="{00000000-0005-0000-0000-000040010000}"/>
    <cellStyle name="Comma 2 4 2 6 2" xfId="1408" xr:uid="{00000000-0005-0000-0000-000041010000}"/>
    <cellStyle name="Comma 2 4 2 7" xfId="849" xr:uid="{00000000-0005-0000-0000-000042010000}"/>
    <cellStyle name="Comma 2 4 3" xfId="150" xr:uid="{00000000-0005-0000-0000-000043010000}"/>
    <cellStyle name="Comma 2 4 3 2" xfId="264" xr:uid="{00000000-0005-0000-0000-000044010000}"/>
    <cellStyle name="Comma 2 4 3 2 2" xfId="651" xr:uid="{00000000-0005-0000-0000-000045010000}"/>
    <cellStyle name="Comma 2 4 3 2 2 2" xfId="1335" xr:uid="{00000000-0005-0000-0000-000046010000}"/>
    <cellStyle name="Comma 2 4 3 2 3" xfId="988" xr:uid="{00000000-0005-0000-0000-000047010000}"/>
    <cellStyle name="Comma 2 4 3 3" xfId="499" xr:uid="{00000000-0005-0000-0000-000048010000}"/>
    <cellStyle name="Comma 2 4 3 3 2" xfId="1193" xr:uid="{00000000-0005-0000-0000-000049010000}"/>
    <cellStyle name="Comma 2 4 3 4" xfId="751" xr:uid="{00000000-0005-0000-0000-00004A010000}"/>
    <cellStyle name="Comma 2 4 3 4 2" xfId="1434" xr:uid="{00000000-0005-0000-0000-00004B010000}"/>
    <cellStyle name="Comma 2 4 3 5" xfId="875" xr:uid="{00000000-0005-0000-0000-00004C010000}"/>
    <cellStyle name="Comma 2 4 4" xfId="189" xr:uid="{00000000-0005-0000-0000-00004D010000}"/>
    <cellStyle name="Comma 2 4 4 2" xfId="302" xr:uid="{00000000-0005-0000-0000-00004E010000}"/>
    <cellStyle name="Comma 2 4 4 2 2" xfId="605" xr:uid="{00000000-0005-0000-0000-00004F010000}"/>
    <cellStyle name="Comma 2 4 4 2 2 2" xfId="1291" xr:uid="{00000000-0005-0000-0000-000050010000}"/>
    <cellStyle name="Comma 2 4 4 2 3" xfId="1026" xr:uid="{00000000-0005-0000-0000-000051010000}"/>
    <cellStyle name="Comma 2 4 4 3" xfId="454" xr:uid="{00000000-0005-0000-0000-000052010000}"/>
    <cellStyle name="Comma 2 4 4 3 2" xfId="1149" xr:uid="{00000000-0005-0000-0000-000053010000}"/>
    <cellStyle name="Comma 2 4 4 4" xfId="789" xr:uid="{00000000-0005-0000-0000-000054010000}"/>
    <cellStyle name="Comma 2 4 4 4 2" xfId="1472" xr:uid="{00000000-0005-0000-0000-000055010000}"/>
    <cellStyle name="Comma 2 4 4 5" xfId="913" xr:uid="{00000000-0005-0000-0000-000056010000}"/>
    <cellStyle name="Comma 2 4 5" xfId="217" xr:uid="{00000000-0005-0000-0000-000057010000}"/>
    <cellStyle name="Comma 2 4 5 2" xfId="577" xr:uid="{00000000-0005-0000-0000-000058010000}"/>
    <cellStyle name="Comma 2 4 5 2 2" xfId="1265" xr:uid="{00000000-0005-0000-0000-000059010000}"/>
    <cellStyle name="Comma 2 4 5 3" xfId="426" xr:uid="{00000000-0005-0000-0000-00005A010000}"/>
    <cellStyle name="Comma 2 4 5 3 2" xfId="1123" xr:uid="{00000000-0005-0000-0000-00005B010000}"/>
    <cellStyle name="Comma 2 4 5 4" xfId="941" xr:uid="{00000000-0005-0000-0000-00005C010000}"/>
    <cellStyle name="Comma 2 4 6" xfId="325" xr:uid="{00000000-0005-0000-0000-00005D010000}"/>
    <cellStyle name="Comma 2 4 6 2" xfId="538" xr:uid="{00000000-0005-0000-0000-00005E010000}"/>
    <cellStyle name="Comma 2 4 6 2 2" xfId="1229" xr:uid="{00000000-0005-0000-0000-00005F010000}"/>
    <cellStyle name="Comma 2 4 6 3" xfId="1049" xr:uid="{00000000-0005-0000-0000-000060010000}"/>
    <cellStyle name="Comma 2 4 7" xfId="674" xr:uid="{00000000-0005-0000-0000-000061010000}"/>
    <cellStyle name="Comma 2 4 7 2" xfId="1357" xr:uid="{00000000-0005-0000-0000-000062010000}"/>
    <cellStyle name="Comma 2 4 8" xfId="364" xr:uid="{00000000-0005-0000-0000-000063010000}"/>
    <cellStyle name="Comma 2 4 8 2" xfId="1087" xr:uid="{00000000-0005-0000-0000-000064010000}"/>
    <cellStyle name="Comma 2 4 9" xfId="704" xr:uid="{00000000-0005-0000-0000-000065010000}"/>
    <cellStyle name="Comma 2 4 9 2" xfId="1387" xr:uid="{00000000-0005-0000-0000-000066010000}"/>
    <cellStyle name="Comma 2 5" xfId="107" xr:uid="{00000000-0005-0000-0000-000067010000}"/>
    <cellStyle name="Comma 2 5 2" xfId="129" xr:uid="{00000000-0005-0000-0000-000068010000}"/>
    <cellStyle name="Comma 2 5 2 2" xfId="178" xr:uid="{00000000-0005-0000-0000-000069010000}"/>
    <cellStyle name="Comma 2 5 2 2 2" xfId="292" xr:uid="{00000000-0005-0000-0000-00006A010000}"/>
    <cellStyle name="Comma 2 5 2 2 2 2" xfId="1016" xr:uid="{00000000-0005-0000-0000-00006B010000}"/>
    <cellStyle name="Comma 2 5 2 2 3" xfId="633" xr:uid="{00000000-0005-0000-0000-00006C010000}"/>
    <cellStyle name="Comma 2 5 2 2 3 2" xfId="1319" xr:uid="{00000000-0005-0000-0000-00006D010000}"/>
    <cellStyle name="Comma 2 5 2 2 4" xfId="779" xr:uid="{00000000-0005-0000-0000-00006E010000}"/>
    <cellStyle name="Comma 2 5 2 2 4 2" xfId="1462" xr:uid="{00000000-0005-0000-0000-00006F010000}"/>
    <cellStyle name="Comma 2 5 2 2 5" xfId="903" xr:uid="{00000000-0005-0000-0000-000070010000}"/>
    <cellStyle name="Comma 2 5 2 3" xfId="244" xr:uid="{00000000-0005-0000-0000-000071010000}"/>
    <cellStyle name="Comma 2 5 2 3 2" xfId="968" xr:uid="{00000000-0005-0000-0000-000072010000}"/>
    <cellStyle name="Comma 2 5 2 4" xfId="482" xr:uid="{00000000-0005-0000-0000-000073010000}"/>
    <cellStyle name="Comma 2 5 2 4 2" xfId="1177" xr:uid="{00000000-0005-0000-0000-000074010000}"/>
    <cellStyle name="Comma 2 5 2 5" xfId="731" xr:uid="{00000000-0005-0000-0000-000075010000}"/>
    <cellStyle name="Comma 2 5 2 5 2" xfId="1414" xr:uid="{00000000-0005-0000-0000-000076010000}"/>
    <cellStyle name="Comma 2 5 2 6" xfId="855" xr:uid="{00000000-0005-0000-0000-000077010000}"/>
    <cellStyle name="Comma 2 5 3" xfId="156" xr:uid="{00000000-0005-0000-0000-000078010000}"/>
    <cellStyle name="Comma 2 5 3 2" xfId="270" xr:uid="{00000000-0005-0000-0000-000079010000}"/>
    <cellStyle name="Comma 2 5 3 2 2" xfId="658" xr:uid="{00000000-0005-0000-0000-00007A010000}"/>
    <cellStyle name="Comma 2 5 3 2 2 2" xfId="1341" xr:uid="{00000000-0005-0000-0000-00007B010000}"/>
    <cellStyle name="Comma 2 5 3 2 3" xfId="994" xr:uid="{00000000-0005-0000-0000-00007C010000}"/>
    <cellStyle name="Comma 2 5 3 3" xfId="505" xr:uid="{00000000-0005-0000-0000-00007D010000}"/>
    <cellStyle name="Comma 2 5 3 3 2" xfId="1199" xr:uid="{00000000-0005-0000-0000-00007E010000}"/>
    <cellStyle name="Comma 2 5 3 4" xfId="757" xr:uid="{00000000-0005-0000-0000-00007F010000}"/>
    <cellStyle name="Comma 2 5 3 4 2" xfId="1440" xr:uid="{00000000-0005-0000-0000-000080010000}"/>
    <cellStyle name="Comma 2 5 3 5" xfId="881" xr:uid="{00000000-0005-0000-0000-000081010000}"/>
    <cellStyle name="Comma 2 5 4" xfId="191" xr:uid="{00000000-0005-0000-0000-000082010000}"/>
    <cellStyle name="Comma 2 5 4 2" xfId="304" xr:uid="{00000000-0005-0000-0000-000083010000}"/>
    <cellStyle name="Comma 2 5 4 2 2" xfId="611" xr:uid="{00000000-0005-0000-0000-000084010000}"/>
    <cellStyle name="Comma 2 5 4 2 2 2" xfId="1297" xr:uid="{00000000-0005-0000-0000-000085010000}"/>
    <cellStyle name="Comma 2 5 4 2 3" xfId="1028" xr:uid="{00000000-0005-0000-0000-000086010000}"/>
    <cellStyle name="Comma 2 5 4 3" xfId="460" xr:uid="{00000000-0005-0000-0000-000087010000}"/>
    <cellStyle name="Comma 2 5 4 3 2" xfId="1155" xr:uid="{00000000-0005-0000-0000-000088010000}"/>
    <cellStyle name="Comma 2 5 4 4" xfId="791" xr:uid="{00000000-0005-0000-0000-000089010000}"/>
    <cellStyle name="Comma 2 5 4 4 2" xfId="1474" xr:uid="{00000000-0005-0000-0000-00008A010000}"/>
    <cellStyle name="Comma 2 5 4 5" xfId="915" xr:uid="{00000000-0005-0000-0000-00008B010000}"/>
    <cellStyle name="Comma 2 5 5" xfId="222" xr:uid="{00000000-0005-0000-0000-00008C010000}"/>
    <cellStyle name="Comma 2 5 5 2" xfId="583" xr:uid="{00000000-0005-0000-0000-00008D010000}"/>
    <cellStyle name="Comma 2 5 5 2 2" xfId="1271" xr:uid="{00000000-0005-0000-0000-00008E010000}"/>
    <cellStyle name="Comma 2 5 5 3" xfId="432" xr:uid="{00000000-0005-0000-0000-00008F010000}"/>
    <cellStyle name="Comma 2 5 5 3 2" xfId="1129" xr:uid="{00000000-0005-0000-0000-000090010000}"/>
    <cellStyle name="Comma 2 5 5 4" xfId="946" xr:uid="{00000000-0005-0000-0000-000091010000}"/>
    <cellStyle name="Comma 2 5 6" xfId="329" xr:uid="{00000000-0005-0000-0000-000092010000}"/>
    <cellStyle name="Comma 2 5 6 2" xfId="544" xr:uid="{00000000-0005-0000-0000-000093010000}"/>
    <cellStyle name="Comma 2 5 6 2 2" xfId="1235" xr:uid="{00000000-0005-0000-0000-000094010000}"/>
    <cellStyle name="Comma 2 5 6 3" xfId="1053" xr:uid="{00000000-0005-0000-0000-000095010000}"/>
    <cellStyle name="Comma 2 5 7" xfId="370" xr:uid="{00000000-0005-0000-0000-000096010000}"/>
    <cellStyle name="Comma 2 5 7 2" xfId="1093" xr:uid="{00000000-0005-0000-0000-000097010000}"/>
    <cellStyle name="Comma 2 5 8" xfId="709" xr:uid="{00000000-0005-0000-0000-000098010000}"/>
    <cellStyle name="Comma 2 5 8 2" xfId="1392" xr:uid="{00000000-0005-0000-0000-000099010000}"/>
    <cellStyle name="Comma 2 5 9" xfId="833" xr:uid="{00000000-0005-0000-0000-00009A010000}"/>
    <cellStyle name="Comma 2 6" xfId="80" xr:uid="{00000000-0005-0000-0000-00009B010000}"/>
    <cellStyle name="Comma 2 6 2" xfId="138" xr:uid="{00000000-0005-0000-0000-00009C010000}"/>
    <cellStyle name="Comma 2 6 2 2" xfId="252" xr:uid="{00000000-0005-0000-0000-00009D010000}"/>
    <cellStyle name="Comma 2 6 2 2 2" xfId="593" xr:uid="{00000000-0005-0000-0000-00009E010000}"/>
    <cellStyle name="Comma 2 6 2 2 2 2" xfId="1279" xr:uid="{00000000-0005-0000-0000-00009F010000}"/>
    <cellStyle name="Comma 2 6 2 2 3" xfId="976" xr:uid="{00000000-0005-0000-0000-0000A0010000}"/>
    <cellStyle name="Comma 2 6 2 3" xfId="442" xr:uid="{00000000-0005-0000-0000-0000A1010000}"/>
    <cellStyle name="Comma 2 6 2 3 2" xfId="1137" xr:uid="{00000000-0005-0000-0000-0000A2010000}"/>
    <cellStyle name="Comma 2 6 2 4" xfId="739" xr:uid="{00000000-0005-0000-0000-0000A3010000}"/>
    <cellStyle name="Comma 2 6 2 4 2" xfId="1422" xr:uid="{00000000-0005-0000-0000-0000A4010000}"/>
    <cellStyle name="Comma 2 6 2 5" xfId="863" xr:uid="{00000000-0005-0000-0000-0000A5010000}"/>
    <cellStyle name="Comma 2 6 3" xfId="306" xr:uid="{00000000-0005-0000-0000-0000A6010000}"/>
    <cellStyle name="Comma 2 6 3 2" xfId="565" xr:uid="{00000000-0005-0000-0000-0000A7010000}"/>
    <cellStyle name="Comma 2 6 3 2 2" xfId="1253" xr:uid="{00000000-0005-0000-0000-0000A8010000}"/>
    <cellStyle name="Comma 2 6 3 3" xfId="413" xr:uid="{00000000-0005-0000-0000-0000A9010000}"/>
    <cellStyle name="Comma 2 6 3 3 2" xfId="1111" xr:uid="{00000000-0005-0000-0000-0000AA010000}"/>
    <cellStyle name="Comma 2 6 3 4" xfId="793" xr:uid="{00000000-0005-0000-0000-0000AB010000}"/>
    <cellStyle name="Comma 2 6 3 4 2" xfId="1476" xr:uid="{00000000-0005-0000-0000-0000AC010000}"/>
    <cellStyle name="Comma 2 6 3 5" xfId="1030" xr:uid="{00000000-0005-0000-0000-0000AD010000}"/>
    <cellStyle name="Comma 2 6 4" xfId="212" xr:uid="{00000000-0005-0000-0000-0000AE010000}"/>
    <cellStyle name="Comma 2 6 4 2" xfId="526" xr:uid="{00000000-0005-0000-0000-0000AF010000}"/>
    <cellStyle name="Comma 2 6 4 2 2" xfId="1217" xr:uid="{00000000-0005-0000-0000-0000B0010000}"/>
    <cellStyle name="Comma 2 6 4 3" xfId="936" xr:uid="{00000000-0005-0000-0000-0000B1010000}"/>
    <cellStyle name="Comma 2 6 5" xfId="331" xr:uid="{00000000-0005-0000-0000-0000B2010000}"/>
    <cellStyle name="Comma 2 6 5 2" xfId="1055" xr:uid="{00000000-0005-0000-0000-0000B3010000}"/>
    <cellStyle name="Comma 2 6 6" xfId="351" xr:uid="{00000000-0005-0000-0000-0000B4010000}"/>
    <cellStyle name="Comma 2 6 6 2" xfId="1075" xr:uid="{00000000-0005-0000-0000-0000B5010000}"/>
    <cellStyle name="Comma 2 6 7" xfId="699" xr:uid="{00000000-0005-0000-0000-0000B6010000}"/>
    <cellStyle name="Comma 2 6 7 2" xfId="1382" xr:uid="{00000000-0005-0000-0000-0000B7010000}"/>
    <cellStyle name="Comma 2 6 8" xfId="823" xr:uid="{00000000-0005-0000-0000-0000B8010000}"/>
    <cellStyle name="Comma 2 7" xfId="111" xr:uid="{00000000-0005-0000-0000-0000B9010000}"/>
    <cellStyle name="Comma 2 7 2" xfId="160" xr:uid="{00000000-0005-0000-0000-0000BA010000}"/>
    <cellStyle name="Comma 2 7 2 2" xfId="274" xr:uid="{00000000-0005-0000-0000-0000BB010000}"/>
    <cellStyle name="Comma 2 7 2 2 2" xfId="615" xr:uid="{00000000-0005-0000-0000-0000BC010000}"/>
    <cellStyle name="Comma 2 7 2 2 2 2" xfId="1301" xr:uid="{00000000-0005-0000-0000-0000BD010000}"/>
    <cellStyle name="Comma 2 7 2 2 3" xfId="998" xr:uid="{00000000-0005-0000-0000-0000BE010000}"/>
    <cellStyle name="Comma 2 7 2 3" xfId="464" xr:uid="{00000000-0005-0000-0000-0000BF010000}"/>
    <cellStyle name="Comma 2 7 2 3 2" xfId="1159" xr:uid="{00000000-0005-0000-0000-0000C0010000}"/>
    <cellStyle name="Comma 2 7 2 4" xfId="761" xr:uid="{00000000-0005-0000-0000-0000C1010000}"/>
    <cellStyle name="Comma 2 7 2 4 2" xfId="1444" xr:uid="{00000000-0005-0000-0000-0000C2010000}"/>
    <cellStyle name="Comma 2 7 2 5" xfId="885" xr:uid="{00000000-0005-0000-0000-0000C3010000}"/>
    <cellStyle name="Comma 2 7 3" xfId="226" xr:uid="{00000000-0005-0000-0000-0000C4010000}"/>
    <cellStyle name="Comma 2 7 3 2" xfId="560" xr:uid="{00000000-0005-0000-0000-0000C5010000}"/>
    <cellStyle name="Comma 2 7 3 2 2" xfId="1248" xr:uid="{00000000-0005-0000-0000-0000C6010000}"/>
    <cellStyle name="Comma 2 7 3 3" xfId="407" xr:uid="{00000000-0005-0000-0000-0000C7010000}"/>
    <cellStyle name="Comma 2 7 3 3 2" xfId="1106" xr:uid="{00000000-0005-0000-0000-0000C8010000}"/>
    <cellStyle name="Comma 2 7 3 4" xfId="950" xr:uid="{00000000-0005-0000-0000-0000C9010000}"/>
    <cellStyle name="Comma 2 7 4" xfId="520" xr:uid="{00000000-0005-0000-0000-0000CA010000}"/>
    <cellStyle name="Comma 2 7 4 2" xfId="1212" xr:uid="{00000000-0005-0000-0000-0000CB010000}"/>
    <cellStyle name="Comma 2 7 5" xfId="346" xr:uid="{00000000-0005-0000-0000-0000CC010000}"/>
    <cellStyle name="Comma 2 7 5 2" xfId="1070" xr:uid="{00000000-0005-0000-0000-0000CD010000}"/>
    <cellStyle name="Comma 2 7 6" xfId="713" xr:uid="{00000000-0005-0000-0000-0000CE010000}"/>
    <cellStyle name="Comma 2 7 6 2" xfId="1396" xr:uid="{00000000-0005-0000-0000-0000CF010000}"/>
    <cellStyle name="Comma 2 7 7" xfId="837" xr:uid="{00000000-0005-0000-0000-0000D0010000}"/>
    <cellStyle name="Comma 2 8" xfId="132" xr:uid="{00000000-0005-0000-0000-0000D1010000}"/>
    <cellStyle name="Comma 2 8 2" xfId="247" xr:uid="{00000000-0005-0000-0000-0000D2010000}"/>
    <cellStyle name="Comma 2 8 2 2" xfId="638" xr:uid="{00000000-0005-0000-0000-0000D3010000}"/>
    <cellStyle name="Comma 2 8 2 2 2" xfId="1323" xr:uid="{00000000-0005-0000-0000-0000D4010000}"/>
    <cellStyle name="Comma 2 8 2 3" xfId="971" xr:uid="{00000000-0005-0000-0000-0000D5010000}"/>
    <cellStyle name="Comma 2 8 3" xfId="486" xr:uid="{00000000-0005-0000-0000-0000D6010000}"/>
    <cellStyle name="Comma 2 8 3 2" xfId="1181" xr:uid="{00000000-0005-0000-0000-0000D7010000}"/>
    <cellStyle name="Comma 2 8 4" xfId="734" xr:uid="{00000000-0005-0000-0000-0000D8010000}"/>
    <cellStyle name="Comma 2 8 4 2" xfId="1417" xr:uid="{00000000-0005-0000-0000-0000D9010000}"/>
    <cellStyle name="Comma 2 8 5" xfId="858" xr:uid="{00000000-0005-0000-0000-0000DA010000}"/>
    <cellStyle name="Comma 2 9" xfId="180" xr:uid="{00000000-0005-0000-0000-0000DB010000}"/>
    <cellStyle name="Comma 2 9 2" xfId="294" xr:uid="{00000000-0005-0000-0000-0000DC010000}"/>
    <cellStyle name="Comma 2 9 2 2" xfId="587" xr:uid="{00000000-0005-0000-0000-0000DD010000}"/>
    <cellStyle name="Comma 2 9 2 2 2" xfId="1274" xr:uid="{00000000-0005-0000-0000-0000DE010000}"/>
    <cellStyle name="Comma 2 9 2 3" xfId="1018" xr:uid="{00000000-0005-0000-0000-0000DF010000}"/>
    <cellStyle name="Comma 2 9 3" xfId="436" xr:uid="{00000000-0005-0000-0000-0000E0010000}"/>
    <cellStyle name="Comma 2 9 3 2" xfId="1132" xr:uid="{00000000-0005-0000-0000-0000E1010000}"/>
    <cellStyle name="Comma 2 9 4" xfId="781" xr:uid="{00000000-0005-0000-0000-0000E2010000}"/>
    <cellStyle name="Comma 2 9 4 2" xfId="1464" xr:uid="{00000000-0005-0000-0000-0000E3010000}"/>
    <cellStyle name="Comma 2 9 5" xfId="905" xr:uid="{00000000-0005-0000-0000-0000E4010000}"/>
    <cellStyle name="Comma 3" xfId="8" xr:uid="{00000000-0005-0000-0000-0000E5010000}"/>
    <cellStyle name="Comma 3 2" xfId="10" xr:uid="{00000000-0005-0000-0000-0000E6010000}"/>
    <cellStyle name="Comma 3 2 10" xfId="681" xr:uid="{00000000-0005-0000-0000-0000E7010000}"/>
    <cellStyle name="Comma 3 2 10 2" xfId="1364" xr:uid="{00000000-0005-0000-0000-0000E8010000}"/>
    <cellStyle name="Comma 3 2 11" xfId="805" xr:uid="{00000000-0005-0000-0000-0000E9010000}"/>
    <cellStyle name="Comma 3 2 2" xfId="12" xr:uid="{00000000-0005-0000-0000-0000EA010000}"/>
    <cellStyle name="Comma 3 2 2 10" xfId="807" xr:uid="{00000000-0005-0000-0000-0000EB010000}"/>
    <cellStyle name="Comma 3 2 2 2" xfId="174" xr:uid="{00000000-0005-0000-0000-0000EC010000}"/>
    <cellStyle name="Comma 3 2 2 2 2" xfId="188" xr:uid="{00000000-0005-0000-0000-0000ED010000}"/>
    <cellStyle name="Comma 3 2 2 2 2 2" xfId="312" xr:uid="{00000000-0005-0000-0000-0000EE010000}"/>
    <cellStyle name="Comma 3 2 2 2 2 2 2" xfId="1036" xr:uid="{00000000-0005-0000-0000-0000EF010000}"/>
    <cellStyle name="Comma 3 2 2 2 2 3" xfId="799" xr:uid="{00000000-0005-0000-0000-0000F0010000}"/>
    <cellStyle name="Comma 3 2 2 2 2 3 2" xfId="1482" xr:uid="{00000000-0005-0000-0000-0000F1010000}"/>
    <cellStyle name="Comma 3 2 2 2 2 4" xfId="912" xr:uid="{00000000-0005-0000-0000-0000F2010000}"/>
    <cellStyle name="Comma 3 2 2 2 3" xfId="301" xr:uid="{00000000-0005-0000-0000-0000F3010000}"/>
    <cellStyle name="Comma 3 2 2 2 3 2" xfId="788" xr:uid="{00000000-0005-0000-0000-0000F4010000}"/>
    <cellStyle name="Comma 3 2 2 2 3 2 2" xfId="1471" xr:uid="{00000000-0005-0000-0000-0000F5010000}"/>
    <cellStyle name="Comma 3 2 2 2 3 3" xfId="1025" xr:uid="{00000000-0005-0000-0000-0000F6010000}"/>
    <cellStyle name="Comma 3 2 2 2 4" xfId="288" xr:uid="{00000000-0005-0000-0000-0000F7010000}"/>
    <cellStyle name="Comma 3 2 2 2 4 2" xfId="1012" xr:uid="{00000000-0005-0000-0000-0000F8010000}"/>
    <cellStyle name="Comma 3 2 2 2 5" xfId="324" xr:uid="{00000000-0005-0000-0000-0000F9010000}"/>
    <cellStyle name="Comma 3 2 2 2 5 2" xfId="1048" xr:uid="{00000000-0005-0000-0000-0000FA010000}"/>
    <cellStyle name="Comma 3 2 2 2 6" xfId="629" xr:uid="{00000000-0005-0000-0000-0000FB010000}"/>
    <cellStyle name="Comma 3 2 2 2 6 2" xfId="1315" xr:uid="{00000000-0005-0000-0000-0000FC010000}"/>
    <cellStyle name="Comma 3 2 2 2 7" xfId="775" xr:uid="{00000000-0005-0000-0000-0000FD010000}"/>
    <cellStyle name="Comma 3 2 2 2 7 2" xfId="1458" xr:uid="{00000000-0005-0000-0000-0000FE010000}"/>
    <cellStyle name="Comma 3 2 2 2 8" xfId="899" xr:uid="{00000000-0005-0000-0000-0000FF010000}"/>
    <cellStyle name="Comma 3 2 2 3" xfId="183" xr:uid="{00000000-0005-0000-0000-000000020000}"/>
    <cellStyle name="Comma 3 2 2 3 2" xfId="316" xr:uid="{00000000-0005-0000-0000-000001020000}"/>
    <cellStyle name="Comma 3 2 2 3 2 2" xfId="803" xr:uid="{00000000-0005-0000-0000-000002020000}"/>
    <cellStyle name="Comma 3 2 2 3 2 2 2" xfId="1486" xr:uid="{00000000-0005-0000-0000-000003020000}"/>
    <cellStyle name="Comma 3 2 2 3 2 3" xfId="1040" xr:uid="{00000000-0005-0000-0000-000004020000}"/>
    <cellStyle name="Comma 3 2 2 3 3" xfId="297" xr:uid="{00000000-0005-0000-0000-000005020000}"/>
    <cellStyle name="Comma 3 2 2 3 3 2" xfId="1021" xr:uid="{00000000-0005-0000-0000-000006020000}"/>
    <cellStyle name="Comma 3 2 2 3 4" xfId="328" xr:uid="{00000000-0005-0000-0000-000007020000}"/>
    <cellStyle name="Comma 3 2 2 3 4 2" xfId="1052" xr:uid="{00000000-0005-0000-0000-000008020000}"/>
    <cellStyle name="Comma 3 2 2 3 5" xfId="784" xr:uid="{00000000-0005-0000-0000-000009020000}"/>
    <cellStyle name="Comma 3 2 2 3 5 2" xfId="1467" xr:uid="{00000000-0005-0000-0000-00000A020000}"/>
    <cellStyle name="Comma 3 2 2 3 6" xfId="908" xr:uid="{00000000-0005-0000-0000-00000B020000}"/>
    <cellStyle name="Comma 3 2 2 4" xfId="125" xr:uid="{00000000-0005-0000-0000-00000C020000}"/>
    <cellStyle name="Comma 3 2 2 4 2" xfId="308" xr:uid="{00000000-0005-0000-0000-00000D020000}"/>
    <cellStyle name="Comma 3 2 2 4 2 2" xfId="795" xr:uid="{00000000-0005-0000-0000-00000E020000}"/>
    <cellStyle name="Comma 3 2 2 4 2 2 2" xfId="1478" xr:uid="{00000000-0005-0000-0000-00000F020000}"/>
    <cellStyle name="Comma 3 2 2 4 2 3" xfId="1032" xr:uid="{00000000-0005-0000-0000-000010020000}"/>
    <cellStyle name="Comma 3 2 2 4 3" xfId="240" xr:uid="{00000000-0005-0000-0000-000011020000}"/>
    <cellStyle name="Comma 3 2 2 4 3 2" xfId="964" xr:uid="{00000000-0005-0000-0000-000012020000}"/>
    <cellStyle name="Comma 3 2 2 4 4" xfId="334" xr:uid="{00000000-0005-0000-0000-000013020000}"/>
    <cellStyle name="Comma 3 2 2 4 4 2" xfId="1058" xr:uid="{00000000-0005-0000-0000-000014020000}"/>
    <cellStyle name="Comma 3 2 2 4 5" xfId="727" xr:uid="{00000000-0005-0000-0000-000015020000}"/>
    <cellStyle name="Comma 3 2 2 4 5 2" xfId="1410" xr:uid="{00000000-0005-0000-0000-000016020000}"/>
    <cellStyle name="Comma 3 2 2 4 6" xfId="851" xr:uid="{00000000-0005-0000-0000-000017020000}"/>
    <cellStyle name="Comma 3 2 2 5" xfId="16" xr:uid="{00000000-0005-0000-0000-000018020000}"/>
    <cellStyle name="Comma 3 2 2 5 2" xfId="200" xr:uid="{00000000-0005-0000-0000-000019020000}"/>
    <cellStyle name="Comma 3 2 2 5 2 2" xfId="924" xr:uid="{00000000-0005-0000-0000-00001A020000}"/>
    <cellStyle name="Comma 3 2 2 5 3" xfId="687" xr:uid="{00000000-0005-0000-0000-00001B020000}"/>
    <cellStyle name="Comma 3 2 2 5 3 2" xfId="1370" xr:uid="{00000000-0005-0000-0000-00001C020000}"/>
    <cellStyle name="Comma 3 2 2 5 4" xfId="811" xr:uid="{00000000-0005-0000-0000-00001D020000}"/>
    <cellStyle name="Comma 3 2 2 6" xfId="196" xr:uid="{00000000-0005-0000-0000-00001E020000}"/>
    <cellStyle name="Comma 3 2 2 6 2" xfId="920" xr:uid="{00000000-0005-0000-0000-00001F020000}"/>
    <cellStyle name="Comma 3 2 2 7" xfId="320" xr:uid="{00000000-0005-0000-0000-000020020000}"/>
    <cellStyle name="Comma 3 2 2 7 2" xfId="1044" xr:uid="{00000000-0005-0000-0000-000021020000}"/>
    <cellStyle name="Comma 3 2 2 8" xfId="478" xr:uid="{00000000-0005-0000-0000-000022020000}"/>
    <cellStyle name="Comma 3 2 2 8 2" xfId="1173" xr:uid="{00000000-0005-0000-0000-000023020000}"/>
    <cellStyle name="Comma 3 2 2 9" xfId="683" xr:uid="{00000000-0005-0000-0000-000024020000}"/>
    <cellStyle name="Comma 3 2 2 9 2" xfId="1366" xr:uid="{00000000-0005-0000-0000-000025020000}"/>
    <cellStyle name="Comma 3 2 3" xfId="152" xr:uid="{00000000-0005-0000-0000-000026020000}"/>
    <cellStyle name="Comma 3 2 3 2" xfId="186" xr:uid="{00000000-0005-0000-0000-000027020000}"/>
    <cellStyle name="Comma 3 2 3 2 2" xfId="310" xr:uid="{00000000-0005-0000-0000-000028020000}"/>
    <cellStyle name="Comma 3 2 3 2 2 2" xfId="1034" xr:uid="{00000000-0005-0000-0000-000029020000}"/>
    <cellStyle name="Comma 3 2 3 2 3" xfId="654" xr:uid="{00000000-0005-0000-0000-00002A020000}"/>
    <cellStyle name="Comma 3 2 3 2 3 2" xfId="1337" xr:uid="{00000000-0005-0000-0000-00002B020000}"/>
    <cellStyle name="Comma 3 2 3 2 4" xfId="797" xr:uid="{00000000-0005-0000-0000-00002C020000}"/>
    <cellStyle name="Comma 3 2 3 2 4 2" xfId="1480" xr:uid="{00000000-0005-0000-0000-00002D020000}"/>
    <cellStyle name="Comma 3 2 3 2 5" xfId="910" xr:uid="{00000000-0005-0000-0000-00002E020000}"/>
    <cellStyle name="Comma 3 2 3 3" xfId="299" xr:uid="{00000000-0005-0000-0000-00002F020000}"/>
    <cellStyle name="Comma 3 2 3 3 2" xfId="786" xr:uid="{00000000-0005-0000-0000-000030020000}"/>
    <cellStyle name="Comma 3 2 3 3 2 2" xfId="1469" xr:uid="{00000000-0005-0000-0000-000031020000}"/>
    <cellStyle name="Comma 3 2 3 3 3" xfId="1023" xr:uid="{00000000-0005-0000-0000-000032020000}"/>
    <cellStyle name="Comma 3 2 3 4" xfId="266" xr:uid="{00000000-0005-0000-0000-000033020000}"/>
    <cellStyle name="Comma 3 2 3 4 2" xfId="990" xr:uid="{00000000-0005-0000-0000-000034020000}"/>
    <cellStyle name="Comma 3 2 3 5" xfId="322" xr:uid="{00000000-0005-0000-0000-000035020000}"/>
    <cellStyle name="Comma 3 2 3 5 2" xfId="1046" xr:uid="{00000000-0005-0000-0000-000036020000}"/>
    <cellStyle name="Comma 3 2 3 6" xfId="501" xr:uid="{00000000-0005-0000-0000-000037020000}"/>
    <cellStyle name="Comma 3 2 3 6 2" xfId="1195" xr:uid="{00000000-0005-0000-0000-000038020000}"/>
    <cellStyle name="Comma 3 2 3 7" xfId="753" xr:uid="{00000000-0005-0000-0000-000039020000}"/>
    <cellStyle name="Comma 3 2 3 7 2" xfId="1436" xr:uid="{00000000-0005-0000-0000-00003A020000}"/>
    <cellStyle name="Comma 3 2 3 8" xfId="877" xr:uid="{00000000-0005-0000-0000-00003B020000}"/>
    <cellStyle name="Comma 3 2 4" xfId="181" xr:uid="{00000000-0005-0000-0000-00003C020000}"/>
    <cellStyle name="Comma 3 2 4 2" xfId="314" xr:uid="{00000000-0005-0000-0000-00003D020000}"/>
    <cellStyle name="Comma 3 2 4 2 2" xfId="607" xr:uid="{00000000-0005-0000-0000-00003E020000}"/>
    <cellStyle name="Comma 3 2 4 2 2 2" xfId="1293" xr:uid="{00000000-0005-0000-0000-00003F020000}"/>
    <cellStyle name="Comma 3 2 4 2 3" xfId="801" xr:uid="{00000000-0005-0000-0000-000040020000}"/>
    <cellStyle name="Comma 3 2 4 2 3 2" xfId="1484" xr:uid="{00000000-0005-0000-0000-000041020000}"/>
    <cellStyle name="Comma 3 2 4 2 4" xfId="1038" xr:uid="{00000000-0005-0000-0000-000042020000}"/>
    <cellStyle name="Comma 3 2 4 3" xfId="295" xr:uid="{00000000-0005-0000-0000-000043020000}"/>
    <cellStyle name="Comma 3 2 4 3 2" xfId="1019" xr:uid="{00000000-0005-0000-0000-000044020000}"/>
    <cellStyle name="Comma 3 2 4 4" xfId="326" xr:uid="{00000000-0005-0000-0000-000045020000}"/>
    <cellStyle name="Comma 3 2 4 4 2" xfId="1050" xr:uid="{00000000-0005-0000-0000-000046020000}"/>
    <cellStyle name="Comma 3 2 4 5" xfId="456" xr:uid="{00000000-0005-0000-0000-000047020000}"/>
    <cellStyle name="Comma 3 2 4 5 2" xfId="1151" xr:uid="{00000000-0005-0000-0000-000048020000}"/>
    <cellStyle name="Comma 3 2 4 6" xfId="782" xr:uid="{00000000-0005-0000-0000-000049020000}"/>
    <cellStyle name="Comma 3 2 4 6 2" xfId="1465" xr:uid="{00000000-0005-0000-0000-00004A020000}"/>
    <cellStyle name="Comma 3 2 4 7" xfId="906" xr:uid="{00000000-0005-0000-0000-00004B020000}"/>
    <cellStyle name="Comma 3 2 5" xfId="33" xr:uid="{00000000-0005-0000-0000-00004C020000}"/>
    <cellStyle name="Comma 3 2 5 2" xfId="192" xr:uid="{00000000-0005-0000-0000-00004D020000}"/>
    <cellStyle name="Comma 3 2 5 2 2" xfId="305" xr:uid="{00000000-0005-0000-0000-00004E020000}"/>
    <cellStyle name="Comma 3 2 5 2 2 2" xfId="1029" xr:uid="{00000000-0005-0000-0000-00004F020000}"/>
    <cellStyle name="Comma 3 2 5 2 3" xfId="579" xr:uid="{00000000-0005-0000-0000-000050020000}"/>
    <cellStyle name="Comma 3 2 5 2 3 2" xfId="1267" xr:uid="{00000000-0005-0000-0000-000051020000}"/>
    <cellStyle name="Comma 3 2 5 2 4" xfId="792" xr:uid="{00000000-0005-0000-0000-000052020000}"/>
    <cellStyle name="Comma 3 2 5 2 4 2" xfId="1475" xr:uid="{00000000-0005-0000-0000-000053020000}"/>
    <cellStyle name="Comma 3 2 5 2 5" xfId="916" xr:uid="{00000000-0005-0000-0000-000054020000}"/>
    <cellStyle name="Comma 3 2 5 3" xfId="205" xr:uid="{00000000-0005-0000-0000-000055020000}"/>
    <cellStyle name="Comma 3 2 5 3 2" xfId="929" xr:uid="{00000000-0005-0000-0000-000056020000}"/>
    <cellStyle name="Comma 3 2 5 4" xfId="330" xr:uid="{00000000-0005-0000-0000-000057020000}"/>
    <cellStyle name="Comma 3 2 5 4 2" xfId="1054" xr:uid="{00000000-0005-0000-0000-000058020000}"/>
    <cellStyle name="Comma 3 2 5 5" xfId="428" xr:uid="{00000000-0005-0000-0000-000059020000}"/>
    <cellStyle name="Comma 3 2 5 5 2" xfId="1125" xr:uid="{00000000-0005-0000-0000-00005A020000}"/>
    <cellStyle name="Comma 3 2 5 6" xfId="692" xr:uid="{00000000-0005-0000-0000-00005B020000}"/>
    <cellStyle name="Comma 3 2 5 6 2" xfId="1375" xr:uid="{00000000-0005-0000-0000-00005C020000}"/>
    <cellStyle name="Comma 3 2 5 7" xfId="816" xr:uid="{00000000-0005-0000-0000-00005D020000}"/>
    <cellStyle name="Comma 3 2 6" xfId="14" xr:uid="{00000000-0005-0000-0000-00005E020000}"/>
    <cellStyle name="Comma 3 2 6 2" xfId="198" xr:uid="{00000000-0005-0000-0000-00005F020000}"/>
    <cellStyle name="Comma 3 2 6 2 2" xfId="922" xr:uid="{00000000-0005-0000-0000-000060020000}"/>
    <cellStyle name="Comma 3 2 6 3" xfId="332" xr:uid="{00000000-0005-0000-0000-000061020000}"/>
    <cellStyle name="Comma 3 2 6 3 2" xfId="1056" xr:uid="{00000000-0005-0000-0000-000062020000}"/>
    <cellStyle name="Comma 3 2 6 4" xfId="540" xr:uid="{00000000-0005-0000-0000-000063020000}"/>
    <cellStyle name="Comma 3 2 6 4 2" xfId="1231" xr:uid="{00000000-0005-0000-0000-000064020000}"/>
    <cellStyle name="Comma 3 2 6 5" xfId="685" xr:uid="{00000000-0005-0000-0000-000065020000}"/>
    <cellStyle name="Comma 3 2 6 5 2" xfId="1368" xr:uid="{00000000-0005-0000-0000-000066020000}"/>
    <cellStyle name="Comma 3 2 6 6" xfId="809" xr:uid="{00000000-0005-0000-0000-000067020000}"/>
    <cellStyle name="Comma 3 2 7" xfId="194" xr:uid="{00000000-0005-0000-0000-000068020000}"/>
    <cellStyle name="Comma 3 2 7 2" xfId="676" xr:uid="{00000000-0005-0000-0000-000069020000}"/>
    <cellStyle name="Comma 3 2 7 2 2" xfId="1359" xr:uid="{00000000-0005-0000-0000-00006A020000}"/>
    <cellStyle name="Comma 3 2 7 3" xfId="918" xr:uid="{00000000-0005-0000-0000-00006B020000}"/>
    <cellStyle name="Comma 3 2 8" xfId="318" xr:uid="{00000000-0005-0000-0000-00006C020000}"/>
    <cellStyle name="Comma 3 2 8 2" xfId="1042" xr:uid="{00000000-0005-0000-0000-00006D020000}"/>
    <cellStyle name="Comma 3 2 9" xfId="366" xr:uid="{00000000-0005-0000-0000-00006E020000}"/>
    <cellStyle name="Comma 3 2 9 2" xfId="1089" xr:uid="{00000000-0005-0000-0000-00006F020000}"/>
    <cellStyle name="Comma 3 3" xfId="117" xr:uid="{00000000-0005-0000-0000-000070020000}"/>
    <cellStyle name="Comma 3 3 2" xfId="166" xr:uid="{00000000-0005-0000-0000-000071020000}"/>
    <cellStyle name="Comma 3 3 2 2" xfId="280" xr:uid="{00000000-0005-0000-0000-000072020000}"/>
    <cellStyle name="Comma 3 3 2 2 2" xfId="621" xr:uid="{00000000-0005-0000-0000-000073020000}"/>
    <cellStyle name="Comma 3 3 2 2 2 2" xfId="1307" xr:uid="{00000000-0005-0000-0000-000074020000}"/>
    <cellStyle name="Comma 3 3 2 2 3" xfId="1004" xr:uid="{00000000-0005-0000-0000-000075020000}"/>
    <cellStyle name="Comma 3 3 2 3" xfId="470" xr:uid="{00000000-0005-0000-0000-000076020000}"/>
    <cellStyle name="Comma 3 3 2 3 2" xfId="1165" xr:uid="{00000000-0005-0000-0000-000077020000}"/>
    <cellStyle name="Comma 3 3 2 4" xfId="767" xr:uid="{00000000-0005-0000-0000-000078020000}"/>
    <cellStyle name="Comma 3 3 2 4 2" xfId="1450" xr:uid="{00000000-0005-0000-0000-000079020000}"/>
    <cellStyle name="Comma 3 3 2 5" xfId="891" xr:uid="{00000000-0005-0000-0000-00007A020000}"/>
    <cellStyle name="Comma 3 3 3" xfId="232" xr:uid="{00000000-0005-0000-0000-00007B020000}"/>
    <cellStyle name="Comma 3 3 3 2" xfId="571" xr:uid="{00000000-0005-0000-0000-00007C020000}"/>
    <cellStyle name="Comma 3 3 3 2 2" xfId="1259" xr:uid="{00000000-0005-0000-0000-00007D020000}"/>
    <cellStyle name="Comma 3 3 3 3" xfId="419" xr:uid="{00000000-0005-0000-0000-00007E020000}"/>
    <cellStyle name="Comma 3 3 3 3 2" xfId="1117" xr:uid="{00000000-0005-0000-0000-00007F020000}"/>
    <cellStyle name="Comma 3 3 3 4" xfId="956" xr:uid="{00000000-0005-0000-0000-000080020000}"/>
    <cellStyle name="Comma 3 3 4" xfId="532" xr:uid="{00000000-0005-0000-0000-000081020000}"/>
    <cellStyle name="Comma 3 3 4 2" xfId="1223" xr:uid="{00000000-0005-0000-0000-000082020000}"/>
    <cellStyle name="Comma 3 3 5" xfId="357" xr:uid="{00000000-0005-0000-0000-000083020000}"/>
    <cellStyle name="Comma 3 3 5 2" xfId="1081" xr:uid="{00000000-0005-0000-0000-000084020000}"/>
    <cellStyle name="Comma 3 3 6" xfId="719" xr:uid="{00000000-0005-0000-0000-000085020000}"/>
    <cellStyle name="Comma 3 3 6 2" xfId="1402" xr:uid="{00000000-0005-0000-0000-000086020000}"/>
    <cellStyle name="Comma 3 3 7" xfId="843" xr:uid="{00000000-0005-0000-0000-000087020000}"/>
    <cellStyle name="Comma 3 4" xfId="144" xr:uid="{00000000-0005-0000-0000-000088020000}"/>
    <cellStyle name="Comma 3 4 2" xfId="258" xr:uid="{00000000-0005-0000-0000-000089020000}"/>
    <cellStyle name="Comma 3 4 2 2" xfId="644" xr:uid="{00000000-0005-0000-0000-00008A020000}"/>
    <cellStyle name="Comma 3 4 2 2 2" xfId="1329" xr:uid="{00000000-0005-0000-0000-00008B020000}"/>
    <cellStyle name="Comma 3 4 2 3" xfId="982" xr:uid="{00000000-0005-0000-0000-00008C020000}"/>
    <cellStyle name="Comma 3 4 3" xfId="492" xr:uid="{00000000-0005-0000-0000-00008D020000}"/>
    <cellStyle name="Comma 3 4 3 2" xfId="1187" xr:uid="{00000000-0005-0000-0000-00008E020000}"/>
    <cellStyle name="Comma 3 4 4" xfId="745" xr:uid="{00000000-0005-0000-0000-00008F020000}"/>
    <cellStyle name="Comma 3 4 4 2" xfId="1428" xr:uid="{00000000-0005-0000-0000-000090020000}"/>
    <cellStyle name="Comma 3 4 5" xfId="869" xr:uid="{00000000-0005-0000-0000-000091020000}"/>
    <cellStyle name="Comma 3 5" xfId="448" xr:uid="{00000000-0005-0000-0000-000092020000}"/>
    <cellStyle name="Comma 3 5 2" xfId="599" xr:uid="{00000000-0005-0000-0000-000093020000}"/>
    <cellStyle name="Comma 3 5 2 2" xfId="1285" xr:uid="{00000000-0005-0000-0000-000094020000}"/>
    <cellStyle name="Comma 3 5 3" xfId="1143" xr:uid="{00000000-0005-0000-0000-000095020000}"/>
    <cellStyle name="Comma 3 6" xfId="381" xr:uid="{00000000-0005-0000-0000-000096020000}"/>
    <cellStyle name="Comma 3 6 2" xfId="554" xr:uid="{00000000-0005-0000-0000-000097020000}"/>
    <cellStyle name="Comma 3 6 2 2" xfId="1243" xr:uid="{00000000-0005-0000-0000-000098020000}"/>
    <cellStyle name="Comma 3 6 3" xfId="1101" xr:uid="{00000000-0005-0000-0000-000099020000}"/>
    <cellStyle name="Comma 3 7" xfId="515" xr:uid="{00000000-0005-0000-0000-00009A020000}"/>
    <cellStyle name="Comma 3 7 2" xfId="1207" xr:uid="{00000000-0005-0000-0000-00009B020000}"/>
    <cellStyle name="Comma 3 8" xfId="668" xr:uid="{00000000-0005-0000-0000-00009C020000}"/>
    <cellStyle name="Comma 3 8 2" xfId="1351" xr:uid="{00000000-0005-0000-0000-00009D020000}"/>
    <cellStyle name="Comma 3 9" xfId="341" xr:uid="{00000000-0005-0000-0000-00009E020000}"/>
    <cellStyle name="Comma 3 9 2" xfId="1065" xr:uid="{00000000-0005-0000-0000-00009F020000}"/>
    <cellStyle name="Comma 4" xfId="21" xr:uid="{00000000-0005-0000-0000-0000A0020000}"/>
    <cellStyle name="Comma 4 10" xfId="812" xr:uid="{00000000-0005-0000-0000-0000A1020000}"/>
    <cellStyle name="Comma 4 2" xfId="113" xr:uid="{00000000-0005-0000-0000-0000A2020000}"/>
    <cellStyle name="Comma 4 2 2" xfId="162" xr:uid="{00000000-0005-0000-0000-0000A3020000}"/>
    <cellStyle name="Comma 4 2 2 2" xfId="276" xr:uid="{00000000-0005-0000-0000-0000A4020000}"/>
    <cellStyle name="Comma 4 2 2 2 2" xfId="617" xr:uid="{00000000-0005-0000-0000-0000A5020000}"/>
    <cellStyle name="Comma 4 2 2 2 2 2" xfId="1303" xr:uid="{00000000-0005-0000-0000-0000A6020000}"/>
    <cellStyle name="Comma 4 2 2 2 3" xfId="1000" xr:uid="{00000000-0005-0000-0000-0000A7020000}"/>
    <cellStyle name="Comma 4 2 2 3" xfId="466" xr:uid="{00000000-0005-0000-0000-0000A8020000}"/>
    <cellStyle name="Comma 4 2 2 3 2" xfId="1161" xr:uid="{00000000-0005-0000-0000-0000A9020000}"/>
    <cellStyle name="Comma 4 2 2 4" xfId="763" xr:uid="{00000000-0005-0000-0000-0000AA020000}"/>
    <cellStyle name="Comma 4 2 2 4 2" xfId="1446" xr:uid="{00000000-0005-0000-0000-0000AB020000}"/>
    <cellStyle name="Comma 4 2 2 5" xfId="887" xr:uid="{00000000-0005-0000-0000-0000AC020000}"/>
    <cellStyle name="Comma 4 2 3" xfId="228" xr:uid="{00000000-0005-0000-0000-0000AD020000}"/>
    <cellStyle name="Comma 4 2 3 2" xfId="567" xr:uid="{00000000-0005-0000-0000-0000AE020000}"/>
    <cellStyle name="Comma 4 2 3 2 2" xfId="1255" xr:uid="{00000000-0005-0000-0000-0000AF020000}"/>
    <cellStyle name="Comma 4 2 3 3" xfId="415" xr:uid="{00000000-0005-0000-0000-0000B0020000}"/>
    <cellStyle name="Comma 4 2 3 3 2" xfId="1113" xr:uid="{00000000-0005-0000-0000-0000B1020000}"/>
    <cellStyle name="Comma 4 2 3 4" xfId="952" xr:uid="{00000000-0005-0000-0000-0000B2020000}"/>
    <cellStyle name="Comma 4 2 4" xfId="528" xr:uid="{00000000-0005-0000-0000-0000B3020000}"/>
    <cellStyle name="Comma 4 2 4 2" xfId="1219" xr:uid="{00000000-0005-0000-0000-0000B4020000}"/>
    <cellStyle name="Comma 4 2 5" xfId="353" xr:uid="{00000000-0005-0000-0000-0000B5020000}"/>
    <cellStyle name="Comma 4 2 5 2" xfId="1077" xr:uid="{00000000-0005-0000-0000-0000B6020000}"/>
    <cellStyle name="Comma 4 2 6" xfId="715" xr:uid="{00000000-0005-0000-0000-0000B7020000}"/>
    <cellStyle name="Comma 4 2 6 2" xfId="1398" xr:uid="{00000000-0005-0000-0000-0000B8020000}"/>
    <cellStyle name="Comma 4 2 7" xfId="839" xr:uid="{00000000-0005-0000-0000-0000B9020000}"/>
    <cellStyle name="Comma 4 3" xfId="140" xr:uid="{00000000-0005-0000-0000-0000BA020000}"/>
    <cellStyle name="Comma 4 3 2" xfId="254" xr:uid="{00000000-0005-0000-0000-0000BB020000}"/>
    <cellStyle name="Comma 4 3 2 2" xfId="640" xr:uid="{00000000-0005-0000-0000-0000BC020000}"/>
    <cellStyle name="Comma 4 3 2 2 2" xfId="1325" xr:uid="{00000000-0005-0000-0000-0000BD020000}"/>
    <cellStyle name="Comma 4 3 2 3" xfId="978" xr:uid="{00000000-0005-0000-0000-0000BE020000}"/>
    <cellStyle name="Comma 4 3 3" xfId="488" xr:uid="{00000000-0005-0000-0000-0000BF020000}"/>
    <cellStyle name="Comma 4 3 3 2" xfId="1183" xr:uid="{00000000-0005-0000-0000-0000C0020000}"/>
    <cellStyle name="Comma 4 3 4" xfId="741" xr:uid="{00000000-0005-0000-0000-0000C1020000}"/>
    <cellStyle name="Comma 4 3 4 2" xfId="1424" xr:uid="{00000000-0005-0000-0000-0000C2020000}"/>
    <cellStyle name="Comma 4 3 5" xfId="865" xr:uid="{00000000-0005-0000-0000-0000C3020000}"/>
    <cellStyle name="Comma 4 4" xfId="201" xr:uid="{00000000-0005-0000-0000-0000C4020000}"/>
    <cellStyle name="Comma 4 4 2" xfId="595" xr:uid="{00000000-0005-0000-0000-0000C5020000}"/>
    <cellStyle name="Comma 4 4 2 2" xfId="1281" xr:uid="{00000000-0005-0000-0000-0000C6020000}"/>
    <cellStyle name="Comma 4 4 3" xfId="444" xr:uid="{00000000-0005-0000-0000-0000C7020000}"/>
    <cellStyle name="Comma 4 4 3 2" xfId="1139" xr:uid="{00000000-0005-0000-0000-0000C8020000}"/>
    <cellStyle name="Comma 4 4 4" xfId="925" xr:uid="{00000000-0005-0000-0000-0000C9020000}"/>
    <cellStyle name="Comma 4 5" xfId="378" xr:uid="{00000000-0005-0000-0000-0000CA020000}"/>
    <cellStyle name="Comma 4 5 2" xfId="552" xr:uid="{00000000-0005-0000-0000-0000CB020000}"/>
    <cellStyle name="Comma 4 5 2 2" xfId="1241" xr:uid="{00000000-0005-0000-0000-0000CC020000}"/>
    <cellStyle name="Comma 4 5 3" xfId="1099" xr:uid="{00000000-0005-0000-0000-0000CD020000}"/>
    <cellStyle name="Comma 4 6" xfId="513" xr:uid="{00000000-0005-0000-0000-0000CE020000}"/>
    <cellStyle name="Comma 4 6 2" xfId="1205" xr:uid="{00000000-0005-0000-0000-0000CF020000}"/>
    <cellStyle name="Comma 4 7" xfId="664" xr:uid="{00000000-0005-0000-0000-0000D0020000}"/>
    <cellStyle name="Comma 4 7 2" xfId="1347" xr:uid="{00000000-0005-0000-0000-0000D1020000}"/>
    <cellStyle name="Comma 4 8" xfId="339" xr:uid="{00000000-0005-0000-0000-0000D2020000}"/>
    <cellStyle name="Comma 4 8 2" xfId="1063" xr:uid="{00000000-0005-0000-0000-0000D3020000}"/>
    <cellStyle name="Comma 4 9" xfId="688" xr:uid="{00000000-0005-0000-0000-0000D4020000}"/>
    <cellStyle name="Comma 4 9 2" xfId="1371" xr:uid="{00000000-0005-0000-0000-0000D5020000}"/>
    <cellStyle name="Comma 5" xfId="99" xr:uid="{00000000-0005-0000-0000-0000D6020000}"/>
    <cellStyle name="Comma 5 10" xfId="826" xr:uid="{00000000-0005-0000-0000-0000D7020000}"/>
    <cellStyle name="Comma 5 2" xfId="121" xr:uid="{00000000-0005-0000-0000-0000D8020000}"/>
    <cellStyle name="Comma 5 2 2" xfId="170" xr:uid="{00000000-0005-0000-0000-0000D9020000}"/>
    <cellStyle name="Comma 5 2 2 2" xfId="284" xr:uid="{00000000-0005-0000-0000-0000DA020000}"/>
    <cellStyle name="Comma 5 2 2 2 2" xfId="1008" xr:uid="{00000000-0005-0000-0000-0000DB020000}"/>
    <cellStyle name="Comma 5 2 2 3" xfId="625" xr:uid="{00000000-0005-0000-0000-0000DC020000}"/>
    <cellStyle name="Comma 5 2 2 3 2" xfId="1311" xr:uid="{00000000-0005-0000-0000-0000DD020000}"/>
    <cellStyle name="Comma 5 2 2 4" xfId="771" xr:uid="{00000000-0005-0000-0000-0000DE020000}"/>
    <cellStyle name="Comma 5 2 2 4 2" xfId="1454" xr:uid="{00000000-0005-0000-0000-0000DF020000}"/>
    <cellStyle name="Comma 5 2 2 5" xfId="895" xr:uid="{00000000-0005-0000-0000-0000E0020000}"/>
    <cellStyle name="Comma 5 2 3" xfId="236" xr:uid="{00000000-0005-0000-0000-0000E1020000}"/>
    <cellStyle name="Comma 5 2 3 2" xfId="960" xr:uid="{00000000-0005-0000-0000-0000E2020000}"/>
    <cellStyle name="Comma 5 2 4" xfId="474" xr:uid="{00000000-0005-0000-0000-0000E3020000}"/>
    <cellStyle name="Comma 5 2 4 2" xfId="1169" xr:uid="{00000000-0005-0000-0000-0000E4020000}"/>
    <cellStyle name="Comma 5 2 5" xfId="723" xr:uid="{00000000-0005-0000-0000-0000E5020000}"/>
    <cellStyle name="Comma 5 2 5 2" xfId="1406" xr:uid="{00000000-0005-0000-0000-0000E6020000}"/>
    <cellStyle name="Comma 5 2 6" xfId="847" xr:uid="{00000000-0005-0000-0000-0000E7020000}"/>
    <cellStyle name="Comma 5 3" xfId="148" xr:uid="{00000000-0005-0000-0000-0000E8020000}"/>
    <cellStyle name="Comma 5 3 2" xfId="262" xr:uid="{00000000-0005-0000-0000-0000E9020000}"/>
    <cellStyle name="Comma 5 3 2 2" xfId="649" xr:uid="{00000000-0005-0000-0000-0000EA020000}"/>
    <cellStyle name="Comma 5 3 2 2 2" xfId="1333" xr:uid="{00000000-0005-0000-0000-0000EB020000}"/>
    <cellStyle name="Comma 5 3 2 3" xfId="986" xr:uid="{00000000-0005-0000-0000-0000EC020000}"/>
    <cellStyle name="Comma 5 3 3" xfId="497" xr:uid="{00000000-0005-0000-0000-0000ED020000}"/>
    <cellStyle name="Comma 5 3 3 2" xfId="1191" xr:uid="{00000000-0005-0000-0000-0000EE020000}"/>
    <cellStyle name="Comma 5 3 4" xfId="749" xr:uid="{00000000-0005-0000-0000-0000EF020000}"/>
    <cellStyle name="Comma 5 3 4 2" xfId="1432" xr:uid="{00000000-0005-0000-0000-0000F0020000}"/>
    <cellStyle name="Comma 5 3 5" xfId="873" xr:uid="{00000000-0005-0000-0000-0000F1020000}"/>
    <cellStyle name="Comma 5 4" xfId="215" xr:uid="{00000000-0005-0000-0000-0000F2020000}"/>
    <cellStyle name="Comma 5 4 2" xfId="603" xr:uid="{00000000-0005-0000-0000-0000F3020000}"/>
    <cellStyle name="Comma 5 4 2 2" xfId="1289" xr:uid="{00000000-0005-0000-0000-0000F4020000}"/>
    <cellStyle name="Comma 5 4 3" xfId="452" xr:uid="{00000000-0005-0000-0000-0000F5020000}"/>
    <cellStyle name="Comma 5 4 3 2" xfId="1147" xr:uid="{00000000-0005-0000-0000-0000F6020000}"/>
    <cellStyle name="Comma 5 4 4" xfId="939" xr:uid="{00000000-0005-0000-0000-0000F7020000}"/>
    <cellStyle name="Comma 5 5" xfId="424" xr:uid="{00000000-0005-0000-0000-0000F8020000}"/>
    <cellStyle name="Comma 5 5 2" xfId="575" xr:uid="{00000000-0005-0000-0000-0000F9020000}"/>
    <cellStyle name="Comma 5 5 2 2" xfId="1263" xr:uid="{00000000-0005-0000-0000-0000FA020000}"/>
    <cellStyle name="Comma 5 5 3" xfId="1121" xr:uid="{00000000-0005-0000-0000-0000FB020000}"/>
    <cellStyle name="Comma 5 6" xfId="536" xr:uid="{00000000-0005-0000-0000-0000FC020000}"/>
    <cellStyle name="Comma 5 6 2" xfId="1227" xr:uid="{00000000-0005-0000-0000-0000FD020000}"/>
    <cellStyle name="Comma 5 7" xfId="672" xr:uid="{00000000-0005-0000-0000-0000FE020000}"/>
    <cellStyle name="Comma 5 7 2" xfId="1355" xr:uid="{00000000-0005-0000-0000-0000FF020000}"/>
    <cellStyle name="Comma 5 8" xfId="362" xr:uid="{00000000-0005-0000-0000-000000030000}"/>
    <cellStyle name="Comma 5 8 2" xfId="1085" xr:uid="{00000000-0005-0000-0000-000001030000}"/>
    <cellStyle name="Comma 5 9" xfId="702" xr:uid="{00000000-0005-0000-0000-000002030000}"/>
    <cellStyle name="Comma 5 9 2" xfId="1385" xr:uid="{00000000-0005-0000-0000-000003030000}"/>
    <cellStyle name="Comma 6" xfId="77" xr:uid="{00000000-0005-0000-0000-000004030000}"/>
    <cellStyle name="Comma 6 2" xfId="136" xr:uid="{00000000-0005-0000-0000-000005030000}"/>
    <cellStyle name="Comma 6 2 2" xfId="250" xr:uid="{00000000-0005-0000-0000-000006030000}"/>
    <cellStyle name="Comma 6 2 2 2" xfId="591" xr:uid="{00000000-0005-0000-0000-000007030000}"/>
    <cellStyle name="Comma 6 2 2 2 2" xfId="1277" xr:uid="{00000000-0005-0000-0000-000008030000}"/>
    <cellStyle name="Comma 6 2 2 3" xfId="974" xr:uid="{00000000-0005-0000-0000-000009030000}"/>
    <cellStyle name="Comma 6 2 3" xfId="440" xr:uid="{00000000-0005-0000-0000-00000A030000}"/>
    <cellStyle name="Comma 6 2 3 2" xfId="1135" xr:uid="{00000000-0005-0000-0000-00000B030000}"/>
    <cellStyle name="Comma 6 2 4" xfId="737" xr:uid="{00000000-0005-0000-0000-00000C030000}"/>
    <cellStyle name="Comma 6 2 4 2" xfId="1420" xr:uid="{00000000-0005-0000-0000-00000D030000}"/>
    <cellStyle name="Comma 6 2 5" xfId="861" xr:uid="{00000000-0005-0000-0000-00000E030000}"/>
    <cellStyle name="Comma 6 3" xfId="210" xr:uid="{00000000-0005-0000-0000-00000F030000}"/>
    <cellStyle name="Comma 6 3 2" xfId="563" xr:uid="{00000000-0005-0000-0000-000010030000}"/>
    <cellStyle name="Comma 6 3 2 2" xfId="1251" xr:uid="{00000000-0005-0000-0000-000011030000}"/>
    <cellStyle name="Comma 6 3 3" xfId="411" xr:uid="{00000000-0005-0000-0000-000012030000}"/>
    <cellStyle name="Comma 6 3 3 2" xfId="1109" xr:uid="{00000000-0005-0000-0000-000013030000}"/>
    <cellStyle name="Comma 6 3 4" xfId="934" xr:uid="{00000000-0005-0000-0000-000014030000}"/>
    <cellStyle name="Comma 6 4" xfId="524" xr:uid="{00000000-0005-0000-0000-000015030000}"/>
    <cellStyle name="Comma 6 4 2" xfId="1215" xr:uid="{00000000-0005-0000-0000-000016030000}"/>
    <cellStyle name="Comma 6 5" xfId="349" xr:uid="{00000000-0005-0000-0000-000017030000}"/>
    <cellStyle name="Comma 6 5 2" xfId="1073" xr:uid="{00000000-0005-0000-0000-000018030000}"/>
    <cellStyle name="Comma 6 6" xfId="697" xr:uid="{00000000-0005-0000-0000-000019030000}"/>
    <cellStyle name="Comma 6 6 2" xfId="1380" xr:uid="{00000000-0005-0000-0000-00001A030000}"/>
    <cellStyle name="Comma 6 7" xfId="821" xr:uid="{00000000-0005-0000-0000-00001B030000}"/>
    <cellStyle name="Comma 7" xfId="109" xr:uid="{00000000-0005-0000-0000-00001C030000}"/>
    <cellStyle name="Comma 7 2" xfId="158" xr:uid="{00000000-0005-0000-0000-00001D030000}"/>
    <cellStyle name="Comma 7 2 2" xfId="272" xr:uid="{00000000-0005-0000-0000-00001E030000}"/>
    <cellStyle name="Comma 7 2 2 2" xfId="613" xr:uid="{00000000-0005-0000-0000-00001F030000}"/>
    <cellStyle name="Comma 7 2 2 2 2" xfId="1299" xr:uid="{00000000-0005-0000-0000-000020030000}"/>
    <cellStyle name="Comma 7 2 2 3" xfId="996" xr:uid="{00000000-0005-0000-0000-000021030000}"/>
    <cellStyle name="Comma 7 2 3" xfId="462" xr:uid="{00000000-0005-0000-0000-000022030000}"/>
    <cellStyle name="Comma 7 2 3 2" xfId="1157" xr:uid="{00000000-0005-0000-0000-000023030000}"/>
    <cellStyle name="Comma 7 2 4" xfId="759" xr:uid="{00000000-0005-0000-0000-000024030000}"/>
    <cellStyle name="Comma 7 2 4 2" xfId="1442" xr:uid="{00000000-0005-0000-0000-000025030000}"/>
    <cellStyle name="Comma 7 2 5" xfId="883" xr:uid="{00000000-0005-0000-0000-000026030000}"/>
    <cellStyle name="Comma 7 3" xfId="224" xr:uid="{00000000-0005-0000-0000-000027030000}"/>
    <cellStyle name="Comma 7 3 2" xfId="559" xr:uid="{00000000-0005-0000-0000-000028030000}"/>
    <cellStyle name="Comma 7 3 2 2" xfId="1247" xr:uid="{00000000-0005-0000-0000-000029030000}"/>
    <cellStyle name="Comma 7 3 3" xfId="406" xr:uid="{00000000-0005-0000-0000-00002A030000}"/>
    <cellStyle name="Comma 7 3 3 2" xfId="1105" xr:uid="{00000000-0005-0000-0000-00002B030000}"/>
    <cellStyle name="Comma 7 3 4" xfId="948" xr:uid="{00000000-0005-0000-0000-00002C030000}"/>
    <cellStyle name="Comma 7 4" xfId="519" xr:uid="{00000000-0005-0000-0000-00002D030000}"/>
    <cellStyle name="Comma 7 4 2" xfId="1211" xr:uid="{00000000-0005-0000-0000-00002E030000}"/>
    <cellStyle name="Comma 7 5" xfId="345" xr:uid="{00000000-0005-0000-0000-00002F030000}"/>
    <cellStyle name="Comma 7 5 2" xfId="1069" xr:uid="{00000000-0005-0000-0000-000030030000}"/>
    <cellStyle name="Comma 7 6" xfId="711" xr:uid="{00000000-0005-0000-0000-000031030000}"/>
    <cellStyle name="Comma 7 6 2" xfId="1394" xr:uid="{00000000-0005-0000-0000-000032030000}"/>
    <cellStyle name="Comma 7 7" xfId="835" xr:uid="{00000000-0005-0000-0000-000033030000}"/>
    <cellStyle name="Comma 8" xfId="131" xr:uid="{00000000-0005-0000-0000-000034030000}"/>
    <cellStyle name="Comma 8 2" xfId="246" xr:uid="{00000000-0005-0000-0000-000035030000}"/>
    <cellStyle name="Comma 8 2 2" xfId="636" xr:uid="{00000000-0005-0000-0000-000036030000}"/>
    <cellStyle name="Comma 8 2 2 2" xfId="1321" xr:uid="{00000000-0005-0000-0000-000037030000}"/>
    <cellStyle name="Comma 8 2 3" xfId="970" xr:uid="{00000000-0005-0000-0000-000038030000}"/>
    <cellStyle name="Comma 8 3" xfId="484" xr:uid="{00000000-0005-0000-0000-000039030000}"/>
    <cellStyle name="Comma 8 3 2" xfId="1179" xr:uid="{00000000-0005-0000-0000-00003A030000}"/>
    <cellStyle name="Comma 8 4" xfId="733" xr:uid="{00000000-0005-0000-0000-00003B030000}"/>
    <cellStyle name="Comma 8 4 2" xfId="1416" xr:uid="{00000000-0005-0000-0000-00003C030000}"/>
    <cellStyle name="Comma 8 5" xfId="857" xr:uid="{00000000-0005-0000-0000-00003D030000}"/>
    <cellStyle name="Comma 9" xfId="435" xr:uid="{00000000-0005-0000-0000-00003E030000}"/>
    <cellStyle name="Comma 9 2" xfId="586" xr:uid="{00000000-0005-0000-0000-00003F030000}"/>
    <cellStyle name="Comma 9 2 2" xfId="1273" xr:uid="{00000000-0005-0000-0000-000040030000}"/>
    <cellStyle name="Comma 9 3" xfId="1131" xr:uid="{00000000-0005-0000-0000-000041030000}"/>
    <cellStyle name="Currency" xfId="2" builtinId="4"/>
    <cellStyle name="Currency 10" xfId="374" xr:uid="{00000000-0005-0000-0000-000043030000}"/>
    <cellStyle name="Currency 10 2" xfId="548" xr:uid="{00000000-0005-0000-0000-000044030000}"/>
    <cellStyle name="Currency 10 2 2" xfId="1238" xr:uid="{00000000-0005-0000-0000-000045030000}"/>
    <cellStyle name="Currency 10 3" xfId="1096" xr:uid="{00000000-0005-0000-0000-000046030000}"/>
    <cellStyle name="Currency 11" xfId="510" xr:uid="{00000000-0005-0000-0000-000047030000}"/>
    <cellStyle name="Currency 11 2" xfId="1202" xr:uid="{00000000-0005-0000-0000-000048030000}"/>
    <cellStyle name="Currency 12" xfId="661" xr:uid="{00000000-0005-0000-0000-000049030000}"/>
    <cellStyle name="Currency 12 2" xfId="1344" xr:uid="{00000000-0005-0000-0000-00004A030000}"/>
    <cellStyle name="Currency 13" xfId="336" xr:uid="{00000000-0005-0000-0000-00004B030000}"/>
    <cellStyle name="Currency 13 2" xfId="1060" xr:uid="{00000000-0005-0000-0000-00004C030000}"/>
    <cellStyle name="Currency 2" xfId="24" xr:uid="{00000000-0005-0000-0000-00004D030000}"/>
    <cellStyle name="Currency 2 10" xfId="512" xr:uid="{00000000-0005-0000-0000-00004E030000}"/>
    <cellStyle name="Currency 2 10 2" xfId="1204" xr:uid="{00000000-0005-0000-0000-00004F030000}"/>
    <cellStyle name="Currency 2 11" xfId="663" xr:uid="{00000000-0005-0000-0000-000050030000}"/>
    <cellStyle name="Currency 2 11 2" xfId="1346" xr:uid="{00000000-0005-0000-0000-000051030000}"/>
    <cellStyle name="Currency 2 12" xfId="338" xr:uid="{00000000-0005-0000-0000-000052030000}"/>
    <cellStyle name="Currency 2 12 2" xfId="1062" xr:uid="{00000000-0005-0000-0000-000053030000}"/>
    <cellStyle name="Currency 2 13" xfId="691" xr:uid="{00000000-0005-0000-0000-000054030000}"/>
    <cellStyle name="Currency 2 13 2" xfId="1374" xr:uid="{00000000-0005-0000-0000-000055030000}"/>
    <cellStyle name="Currency 2 14" xfId="815" xr:uid="{00000000-0005-0000-0000-000056030000}"/>
    <cellStyle name="Currency 2 2" xfId="37" xr:uid="{00000000-0005-0000-0000-000057030000}"/>
    <cellStyle name="Currency 2 2 10" xfId="695" xr:uid="{00000000-0005-0000-0000-000058030000}"/>
    <cellStyle name="Currency 2 2 10 2" xfId="1378" xr:uid="{00000000-0005-0000-0000-000059030000}"/>
    <cellStyle name="Currency 2 2 11" xfId="819" xr:uid="{00000000-0005-0000-0000-00005A030000}"/>
    <cellStyle name="Currency 2 2 2" xfId="106" xr:uid="{00000000-0005-0000-0000-00005B030000}"/>
    <cellStyle name="Currency 2 2 2 10" xfId="832" xr:uid="{00000000-0005-0000-0000-00005C030000}"/>
    <cellStyle name="Currency 2 2 2 2" xfId="128" xr:uid="{00000000-0005-0000-0000-00005D030000}"/>
    <cellStyle name="Currency 2 2 2 2 2" xfId="177" xr:uid="{00000000-0005-0000-0000-00005E030000}"/>
    <cellStyle name="Currency 2 2 2 2 2 2" xfId="291" xr:uid="{00000000-0005-0000-0000-00005F030000}"/>
    <cellStyle name="Currency 2 2 2 2 2 2 2" xfId="1015" xr:uid="{00000000-0005-0000-0000-000060030000}"/>
    <cellStyle name="Currency 2 2 2 2 2 3" xfId="632" xr:uid="{00000000-0005-0000-0000-000061030000}"/>
    <cellStyle name="Currency 2 2 2 2 2 3 2" xfId="1318" xr:uid="{00000000-0005-0000-0000-000062030000}"/>
    <cellStyle name="Currency 2 2 2 2 2 4" xfId="778" xr:uid="{00000000-0005-0000-0000-000063030000}"/>
    <cellStyle name="Currency 2 2 2 2 2 4 2" xfId="1461" xr:uid="{00000000-0005-0000-0000-000064030000}"/>
    <cellStyle name="Currency 2 2 2 2 2 5" xfId="902" xr:uid="{00000000-0005-0000-0000-000065030000}"/>
    <cellStyle name="Currency 2 2 2 2 3" xfId="243" xr:uid="{00000000-0005-0000-0000-000066030000}"/>
    <cellStyle name="Currency 2 2 2 2 3 2" xfId="967" xr:uid="{00000000-0005-0000-0000-000067030000}"/>
    <cellStyle name="Currency 2 2 2 2 4" xfId="481" xr:uid="{00000000-0005-0000-0000-000068030000}"/>
    <cellStyle name="Currency 2 2 2 2 4 2" xfId="1176" xr:uid="{00000000-0005-0000-0000-000069030000}"/>
    <cellStyle name="Currency 2 2 2 2 5" xfId="730" xr:uid="{00000000-0005-0000-0000-00006A030000}"/>
    <cellStyle name="Currency 2 2 2 2 5 2" xfId="1413" xr:uid="{00000000-0005-0000-0000-00006B030000}"/>
    <cellStyle name="Currency 2 2 2 2 6" xfId="854" xr:uid="{00000000-0005-0000-0000-00006C030000}"/>
    <cellStyle name="Currency 2 2 2 3" xfId="155" xr:uid="{00000000-0005-0000-0000-00006D030000}"/>
    <cellStyle name="Currency 2 2 2 3 2" xfId="269" xr:uid="{00000000-0005-0000-0000-00006E030000}"/>
    <cellStyle name="Currency 2 2 2 3 2 2" xfId="657" xr:uid="{00000000-0005-0000-0000-00006F030000}"/>
    <cellStyle name="Currency 2 2 2 3 2 2 2" xfId="1340" xr:uid="{00000000-0005-0000-0000-000070030000}"/>
    <cellStyle name="Currency 2 2 2 3 2 3" xfId="993" xr:uid="{00000000-0005-0000-0000-000071030000}"/>
    <cellStyle name="Currency 2 2 2 3 3" xfId="504" xr:uid="{00000000-0005-0000-0000-000072030000}"/>
    <cellStyle name="Currency 2 2 2 3 3 2" xfId="1198" xr:uid="{00000000-0005-0000-0000-000073030000}"/>
    <cellStyle name="Currency 2 2 2 3 4" xfId="756" xr:uid="{00000000-0005-0000-0000-000074030000}"/>
    <cellStyle name="Currency 2 2 2 3 4 2" xfId="1439" xr:uid="{00000000-0005-0000-0000-000075030000}"/>
    <cellStyle name="Currency 2 2 2 3 5" xfId="880" xr:uid="{00000000-0005-0000-0000-000076030000}"/>
    <cellStyle name="Currency 2 2 2 4" xfId="221" xr:uid="{00000000-0005-0000-0000-000077030000}"/>
    <cellStyle name="Currency 2 2 2 4 2" xfId="610" xr:uid="{00000000-0005-0000-0000-000078030000}"/>
    <cellStyle name="Currency 2 2 2 4 2 2" xfId="1296" xr:uid="{00000000-0005-0000-0000-000079030000}"/>
    <cellStyle name="Currency 2 2 2 4 3" xfId="459" xr:uid="{00000000-0005-0000-0000-00007A030000}"/>
    <cellStyle name="Currency 2 2 2 4 3 2" xfId="1154" xr:uid="{00000000-0005-0000-0000-00007B030000}"/>
    <cellStyle name="Currency 2 2 2 4 4" xfId="945" xr:uid="{00000000-0005-0000-0000-00007C030000}"/>
    <cellStyle name="Currency 2 2 2 5" xfId="431" xr:uid="{00000000-0005-0000-0000-00007D030000}"/>
    <cellStyle name="Currency 2 2 2 5 2" xfId="582" xr:uid="{00000000-0005-0000-0000-00007E030000}"/>
    <cellStyle name="Currency 2 2 2 5 2 2" xfId="1270" xr:uid="{00000000-0005-0000-0000-00007F030000}"/>
    <cellStyle name="Currency 2 2 2 5 3" xfId="1128" xr:uid="{00000000-0005-0000-0000-000080030000}"/>
    <cellStyle name="Currency 2 2 2 6" xfId="543" xr:uid="{00000000-0005-0000-0000-000081030000}"/>
    <cellStyle name="Currency 2 2 2 6 2" xfId="1234" xr:uid="{00000000-0005-0000-0000-000082030000}"/>
    <cellStyle name="Currency 2 2 2 7" xfId="679" xr:uid="{00000000-0005-0000-0000-000083030000}"/>
    <cellStyle name="Currency 2 2 2 7 2" xfId="1362" xr:uid="{00000000-0005-0000-0000-000084030000}"/>
    <cellStyle name="Currency 2 2 2 8" xfId="369" xr:uid="{00000000-0005-0000-0000-000085030000}"/>
    <cellStyle name="Currency 2 2 2 8 2" xfId="1092" xr:uid="{00000000-0005-0000-0000-000086030000}"/>
    <cellStyle name="Currency 2 2 2 9" xfId="708" xr:uid="{00000000-0005-0000-0000-000087030000}"/>
    <cellStyle name="Currency 2 2 2 9 2" xfId="1391" xr:uid="{00000000-0005-0000-0000-000088030000}"/>
    <cellStyle name="Currency 2 2 3" xfId="120" xr:uid="{00000000-0005-0000-0000-000089030000}"/>
    <cellStyle name="Currency 2 2 3 2" xfId="169" xr:uid="{00000000-0005-0000-0000-00008A030000}"/>
    <cellStyle name="Currency 2 2 3 2 2" xfId="283" xr:uid="{00000000-0005-0000-0000-00008B030000}"/>
    <cellStyle name="Currency 2 2 3 2 2 2" xfId="624" xr:uid="{00000000-0005-0000-0000-00008C030000}"/>
    <cellStyle name="Currency 2 2 3 2 2 2 2" xfId="1310" xr:uid="{00000000-0005-0000-0000-00008D030000}"/>
    <cellStyle name="Currency 2 2 3 2 2 3" xfId="1007" xr:uid="{00000000-0005-0000-0000-00008E030000}"/>
    <cellStyle name="Currency 2 2 3 2 3" xfId="473" xr:uid="{00000000-0005-0000-0000-00008F030000}"/>
    <cellStyle name="Currency 2 2 3 2 3 2" xfId="1168" xr:uid="{00000000-0005-0000-0000-000090030000}"/>
    <cellStyle name="Currency 2 2 3 2 4" xfId="770" xr:uid="{00000000-0005-0000-0000-000091030000}"/>
    <cellStyle name="Currency 2 2 3 2 4 2" xfId="1453" xr:uid="{00000000-0005-0000-0000-000092030000}"/>
    <cellStyle name="Currency 2 2 3 2 5" xfId="894" xr:uid="{00000000-0005-0000-0000-000093030000}"/>
    <cellStyle name="Currency 2 2 3 3" xfId="235" xr:uid="{00000000-0005-0000-0000-000094030000}"/>
    <cellStyle name="Currency 2 2 3 3 2" xfId="574" xr:uid="{00000000-0005-0000-0000-000095030000}"/>
    <cellStyle name="Currency 2 2 3 3 2 2" xfId="1262" xr:uid="{00000000-0005-0000-0000-000096030000}"/>
    <cellStyle name="Currency 2 2 3 3 3" xfId="422" xr:uid="{00000000-0005-0000-0000-000097030000}"/>
    <cellStyle name="Currency 2 2 3 3 3 2" xfId="1120" xr:uid="{00000000-0005-0000-0000-000098030000}"/>
    <cellStyle name="Currency 2 2 3 3 4" xfId="959" xr:uid="{00000000-0005-0000-0000-000099030000}"/>
    <cellStyle name="Currency 2 2 3 4" xfId="535" xr:uid="{00000000-0005-0000-0000-00009A030000}"/>
    <cellStyle name="Currency 2 2 3 4 2" xfId="1226" xr:uid="{00000000-0005-0000-0000-00009B030000}"/>
    <cellStyle name="Currency 2 2 3 5" xfId="360" xr:uid="{00000000-0005-0000-0000-00009C030000}"/>
    <cellStyle name="Currency 2 2 3 5 2" xfId="1084" xr:uid="{00000000-0005-0000-0000-00009D030000}"/>
    <cellStyle name="Currency 2 2 3 6" xfId="722" xr:uid="{00000000-0005-0000-0000-00009E030000}"/>
    <cellStyle name="Currency 2 2 3 6 2" xfId="1405" xr:uid="{00000000-0005-0000-0000-00009F030000}"/>
    <cellStyle name="Currency 2 2 3 7" xfId="846" xr:uid="{00000000-0005-0000-0000-0000A0030000}"/>
    <cellStyle name="Currency 2 2 4" xfId="147" xr:uid="{00000000-0005-0000-0000-0000A1030000}"/>
    <cellStyle name="Currency 2 2 4 2" xfId="261" xr:uid="{00000000-0005-0000-0000-0000A2030000}"/>
    <cellStyle name="Currency 2 2 4 2 2" xfId="647" xr:uid="{00000000-0005-0000-0000-0000A3030000}"/>
    <cellStyle name="Currency 2 2 4 2 2 2" xfId="1332" xr:uid="{00000000-0005-0000-0000-0000A4030000}"/>
    <cellStyle name="Currency 2 2 4 2 3" xfId="985" xr:uid="{00000000-0005-0000-0000-0000A5030000}"/>
    <cellStyle name="Currency 2 2 4 3" xfId="495" xr:uid="{00000000-0005-0000-0000-0000A6030000}"/>
    <cellStyle name="Currency 2 2 4 3 2" xfId="1190" xr:uid="{00000000-0005-0000-0000-0000A7030000}"/>
    <cellStyle name="Currency 2 2 4 4" xfId="748" xr:uid="{00000000-0005-0000-0000-0000A8030000}"/>
    <cellStyle name="Currency 2 2 4 4 2" xfId="1431" xr:uid="{00000000-0005-0000-0000-0000A9030000}"/>
    <cellStyle name="Currency 2 2 4 5" xfId="872" xr:uid="{00000000-0005-0000-0000-0000AA030000}"/>
    <cellStyle name="Currency 2 2 5" xfId="208" xr:uid="{00000000-0005-0000-0000-0000AB030000}"/>
    <cellStyle name="Currency 2 2 5 2" xfId="602" xr:uid="{00000000-0005-0000-0000-0000AC030000}"/>
    <cellStyle name="Currency 2 2 5 2 2" xfId="1288" xr:uid="{00000000-0005-0000-0000-0000AD030000}"/>
    <cellStyle name="Currency 2 2 5 3" xfId="451" xr:uid="{00000000-0005-0000-0000-0000AE030000}"/>
    <cellStyle name="Currency 2 2 5 3 2" xfId="1146" xr:uid="{00000000-0005-0000-0000-0000AF030000}"/>
    <cellStyle name="Currency 2 2 5 4" xfId="932" xr:uid="{00000000-0005-0000-0000-0000B0030000}"/>
    <cellStyle name="Currency 2 2 6" xfId="384" xr:uid="{00000000-0005-0000-0000-0000B1030000}"/>
    <cellStyle name="Currency 2 2 6 2" xfId="557" xr:uid="{00000000-0005-0000-0000-0000B2030000}"/>
    <cellStyle name="Currency 2 2 6 2 2" xfId="1246" xr:uid="{00000000-0005-0000-0000-0000B3030000}"/>
    <cellStyle name="Currency 2 2 6 3" xfId="1104" xr:uid="{00000000-0005-0000-0000-0000B4030000}"/>
    <cellStyle name="Currency 2 2 7" xfId="518" xr:uid="{00000000-0005-0000-0000-0000B5030000}"/>
    <cellStyle name="Currency 2 2 7 2" xfId="1210" xr:uid="{00000000-0005-0000-0000-0000B6030000}"/>
    <cellStyle name="Currency 2 2 8" xfId="671" xr:uid="{00000000-0005-0000-0000-0000B7030000}"/>
    <cellStyle name="Currency 2 2 8 2" xfId="1354" xr:uid="{00000000-0005-0000-0000-0000B8030000}"/>
    <cellStyle name="Currency 2 2 9" xfId="344" xr:uid="{00000000-0005-0000-0000-0000B9030000}"/>
    <cellStyle name="Currency 2 2 9 2" xfId="1068" xr:uid="{00000000-0005-0000-0000-0000BA030000}"/>
    <cellStyle name="Currency 2 3" xfId="90" xr:uid="{00000000-0005-0000-0000-0000BB030000}"/>
    <cellStyle name="Currency 2 3 10" xfId="825" xr:uid="{00000000-0005-0000-0000-0000BC030000}"/>
    <cellStyle name="Currency 2 3 2" xfId="116" xr:uid="{00000000-0005-0000-0000-0000BD030000}"/>
    <cellStyle name="Currency 2 3 2 2" xfId="165" xr:uid="{00000000-0005-0000-0000-0000BE030000}"/>
    <cellStyle name="Currency 2 3 2 2 2" xfId="279" xr:uid="{00000000-0005-0000-0000-0000BF030000}"/>
    <cellStyle name="Currency 2 3 2 2 2 2" xfId="1003" xr:uid="{00000000-0005-0000-0000-0000C0030000}"/>
    <cellStyle name="Currency 2 3 2 2 3" xfId="620" xr:uid="{00000000-0005-0000-0000-0000C1030000}"/>
    <cellStyle name="Currency 2 3 2 2 3 2" xfId="1306" xr:uid="{00000000-0005-0000-0000-0000C2030000}"/>
    <cellStyle name="Currency 2 3 2 2 4" xfId="766" xr:uid="{00000000-0005-0000-0000-0000C3030000}"/>
    <cellStyle name="Currency 2 3 2 2 4 2" xfId="1449" xr:uid="{00000000-0005-0000-0000-0000C4030000}"/>
    <cellStyle name="Currency 2 3 2 2 5" xfId="890" xr:uid="{00000000-0005-0000-0000-0000C5030000}"/>
    <cellStyle name="Currency 2 3 2 3" xfId="231" xr:uid="{00000000-0005-0000-0000-0000C6030000}"/>
    <cellStyle name="Currency 2 3 2 3 2" xfId="955" xr:uid="{00000000-0005-0000-0000-0000C7030000}"/>
    <cellStyle name="Currency 2 3 2 4" xfId="469" xr:uid="{00000000-0005-0000-0000-0000C8030000}"/>
    <cellStyle name="Currency 2 3 2 4 2" xfId="1164" xr:uid="{00000000-0005-0000-0000-0000C9030000}"/>
    <cellStyle name="Currency 2 3 2 5" xfId="718" xr:uid="{00000000-0005-0000-0000-0000CA030000}"/>
    <cellStyle name="Currency 2 3 2 5 2" xfId="1401" xr:uid="{00000000-0005-0000-0000-0000CB030000}"/>
    <cellStyle name="Currency 2 3 2 6" xfId="842" xr:uid="{00000000-0005-0000-0000-0000CC030000}"/>
    <cellStyle name="Currency 2 3 3" xfId="143" xr:uid="{00000000-0005-0000-0000-0000CD030000}"/>
    <cellStyle name="Currency 2 3 3 2" xfId="257" xr:uid="{00000000-0005-0000-0000-0000CE030000}"/>
    <cellStyle name="Currency 2 3 3 2 2" xfId="643" xr:uid="{00000000-0005-0000-0000-0000CF030000}"/>
    <cellStyle name="Currency 2 3 3 2 2 2" xfId="1328" xr:uid="{00000000-0005-0000-0000-0000D0030000}"/>
    <cellStyle name="Currency 2 3 3 2 3" xfId="981" xr:uid="{00000000-0005-0000-0000-0000D1030000}"/>
    <cellStyle name="Currency 2 3 3 3" xfId="491" xr:uid="{00000000-0005-0000-0000-0000D2030000}"/>
    <cellStyle name="Currency 2 3 3 3 2" xfId="1186" xr:uid="{00000000-0005-0000-0000-0000D3030000}"/>
    <cellStyle name="Currency 2 3 3 4" xfId="744" xr:uid="{00000000-0005-0000-0000-0000D4030000}"/>
    <cellStyle name="Currency 2 3 3 4 2" xfId="1427" xr:uid="{00000000-0005-0000-0000-0000D5030000}"/>
    <cellStyle name="Currency 2 3 3 5" xfId="868" xr:uid="{00000000-0005-0000-0000-0000D6030000}"/>
    <cellStyle name="Currency 2 3 4" xfId="214" xr:uid="{00000000-0005-0000-0000-0000D7030000}"/>
    <cellStyle name="Currency 2 3 4 2" xfId="598" xr:uid="{00000000-0005-0000-0000-0000D8030000}"/>
    <cellStyle name="Currency 2 3 4 2 2" xfId="1284" xr:uid="{00000000-0005-0000-0000-0000D9030000}"/>
    <cellStyle name="Currency 2 3 4 3" xfId="447" xr:uid="{00000000-0005-0000-0000-0000DA030000}"/>
    <cellStyle name="Currency 2 3 4 3 2" xfId="1142" xr:uid="{00000000-0005-0000-0000-0000DB030000}"/>
    <cellStyle name="Currency 2 3 4 4" xfId="938" xr:uid="{00000000-0005-0000-0000-0000DC030000}"/>
    <cellStyle name="Currency 2 3 5" xfId="418" xr:uid="{00000000-0005-0000-0000-0000DD030000}"/>
    <cellStyle name="Currency 2 3 5 2" xfId="570" xr:uid="{00000000-0005-0000-0000-0000DE030000}"/>
    <cellStyle name="Currency 2 3 5 2 2" xfId="1258" xr:uid="{00000000-0005-0000-0000-0000DF030000}"/>
    <cellStyle name="Currency 2 3 5 3" xfId="1116" xr:uid="{00000000-0005-0000-0000-0000E0030000}"/>
    <cellStyle name="Currency 2 3 6" xfId="531" xr:uid="{00000000-0005-0000-0000-0000E1030000}"/>
    <cellStyle name="Currency 2 3 6 2" xfId="1222" xr:uid="{00000000-0005-0000-0000-0000E2030000}"/>
    <cellStyle name="Currency 2 3 7" xfId="667" xr:uid="{00000000-0005-0000-0000-0000E3030000}"/>
    <cellStyle name="Currency 2 3 7 2" xfId="1350" xr:uid="{00000000-0005-0000-0000-0000E4030000}"/>
    <cellStyle name="Currency 2 3 8" xfId="356" xr:uid="{00000000-0005-0000-0000-0000E5030000}"/>
    <cellStyle name="Currency 2 3 8 2" xfId="1080" xr:uid="{00000000-0005-0000-0000-0000E6030000}"/>
    <cellStyle name="Currency 2 3 9" xfId="701" xr:uid="{00000000-0005-0000-0000-0000E7030000}"/>
    <cellStyle name="Currency 2 3 9 2" xfId="1384" xr:uid="{00000000-0005-0000-0000-0000E8030000}"/>
    <cellStyle name="Currency 2 4" xfId="102" xr:uid="{00000000-0005-0000-0000-0000E9030000}"/>
    <cellStyle name="Currency 2 4 10" xfId="829" xr:uid="{00000000-0005-0000-0000-0000EA030000}"/>
    <cellStyle name="Currency 2 4 2" xfId="124" xr:uid="{00000000-0005-0000-0000-0000EB030000}"/>
    <cellStyle name="Currency 2 4 2 2" xfId="173" xr:uid="{00000000-0005-0000-0000-0000EC030000}"/>
    <cellStyle name="Currency 2 4 2 2 2" xfId="287" xr:uid="{00000000-0005-0000-0000-0000ED030000}"/>
    <cellStyle name="Currency 2 4 2 2 2 2" xfId="1011" xr:uid="{00000000-0005-0000-0000-0000EE030000}"/>
    <cellStyle name="Currency 2 4 2 2 3" xfId="628" xr:uid="{00000000-0005-0000-0000-0000EF030000}"/>
    <cellStyle name="Currency 2 4 2 2 3 2" xfId="1314" xr:uid="{00000000-0005-0000-0000-0000F0030000}"/>
    <cellStyle name="Currency 2 4 2 2 4" xfId="774" xr:uid="{00000000-0005-0000-0000-0000F1030000}"/>
    <cellStyle name="Currency 2 4 2 2 4 2" xfId="1457" xr:uid="{00000000-0005-0000-0000-0000F2030000}"/>
    <cellStyle name="Currency 2 4 2 2 5" xfId="898" xr:uid="{00000000-0005-0000-0000-0000F3030000}"/>
    <cellStyle name="Currency 2 4 2 3" xfId="239" xr:uid="{00000000-0005-0000-0000-0000F4030000}"/>
    <cellStyle name="Currency 2 4 2 3 2" xfId="963" xr:uid="{00000000-0005-0000-0000-0000F5030000}"/>
    <cellStyle name="Currency 2 4 2 4" xfId="477" xr:uid="{00000000-0005-0000-0000-0000F6030000}"/>
    <cellStyle name="Currency 2 4 2 4 2" xfId="1172" xr:uid="{00000000-0005-0000-0000-0000F7030000}"/>
    <cellStyle name="Currency 2 4 2 5" xfId="726" xr:uid="{00000000-0005-0000-0000-0000F8030000}"/>
    <cellStyle name="Currency 2 4 2 5 2" xfId="1409" xr:uid="{00000000-0005-0000-0000-0000F9030000}"/>
    <cellStyle name="Currency 2 4 2 6" xfId="850" xr:uid="{00000000-0005-0000-0000-0000FA030000}"/>
    <cellStyle name="Currency 2 4 3" xfId="151" xr:uid="{00000000-0005-0000-0000-0000FB030000}"/>
    <cellStyle name="Currency 2 4 3 2" xfId="265" xr:uid="{00000000-0005-0000-0000-0000FC030000}"/>
    <cellStyle name="Currency 2 4 3 2 2" xfId="652" xr:uid="{00000000-0005-0000-0000-0000FD030000}"/>
    <cellStyle name="Currency 2 4 3 2 2 2" xfId="1336" xr:uid="{00000000-0005-0000-0000-0000FE030000}"/>
    <cellStyle name="Currency 2 4 3 2 3" xfId="989" xr:uid="{00000000-0005-0000-0000-0000FF030000}"/>
    <cellStyle name="Currency 2 4 3 3" xfId="500" xr:uid="{00000000-0005-0000-0000-000000040000}"/>
    <cellStyle name="Currency 2 4 3 3 2" xfId="1194" xr:uid="{00000000-0005-0000-0000-000001040000}"/>
    <cellStyle name="Currency 2 4 3 4" xfId="752" xr:uid="{00000000-0005-0000-0000-000002040000}"/>
    <cellStyle name="Currency 2 4 3 4 2" xfId="1435" xr:uid="{00000000-0005-0000-0000-000003040000}"/>
    <cellStyle name="Currency 2 4 3 5" xfId="876" xr:uid="{00000000-0005-0000-0000-000004040000}"/>
    <cellStyle name="Currency 2 4 4" xfId="218" xr:uid="{00000000-0005-0000-0000-000005040000}"/>
    <cellStyle name="Currency 2 4 4 2" xfId="606" xr:uid="{00000000-0005-0000-0000-000006040000}"/>
    <cellStyle name="Currency 2 4 4 2 2" xfId="1292" xr:uid="{00000000-0005-0000-0000-000007040000}"/>
    <cellStyle name="Currency 2 4 4 3" xfId="455" xr:uid="{00000000-0005-0000-0000-000008040000}"/>
    <cellStyle name="Currency 2 4 4 3 2" xfId="1150" xr:uid="{00000000-0005-0000-0000-000009040000}"/>
    <cellStyle name="Currency 2 4 4 4" xfId="942" xr:uid="{00000000-0005-0000-0000-00000A040000}"/>
    <cellStyle name="Currency 2 4 5" xfId="427" xr:uid="{00000000-0005-0000-0000-00000B040000}"/>
    <cellStyle name="Currency 2 4 5 2" xfId="578" xr:uid="{00000000-0005-0000-0000-00000C040000}"/>
    <cellStyle name="Currency 2 4 5 2 2" xfId="1266" xr:uid="{00000000-0005-0000-0000-00000D040000}"/>
    <cellStyle name="Currency 2 4 5 3" xfId="1124" xr:uid="{00000000-0005-0000-0000-00000E040000}"/>
    <cellStyle name="Currency 2 4 6" xfId="539" xr:uid="{00000000-0005-0000-0000-00000F040000}"/>
    <cellStyle name="Currency 2 4 6 2" xfId="1230" xr:uid="{00000000-0005-0000-0000-000010040000}"/>
    <cellStyle name="Currency 2 4 7" xfId="675" xr:uid="{00000000-0005-0000-0000-000011040000}"/>
    <cellStyle name="Currency 2 4 7 2" xfId="1358" xr:uid="{00000000-0005-0000-0000-000012040000}"/>
    <cellStyle name="Currency 2 4 8" xfId="365" xr:uid="{00000000-0005-0000-0000-000013040000}"/>
    <cellStyle name="Currency 2 4 8 2" xfId="1088" xr:uid="{00000000-0005-0000-0000-000014040000}"/>
    <cellStyle name="Currency 2 4 9" xfId="705" xr:uid="{00000000-0005-0000-0000-000015040000}"/>
    <cellStyle name="Currency 2 4 9 2" xfId="1388" xr:uid="{00000000-0005-0000-0000-000016040000}"/>
    <cellStyle name="Currency 2 5" xfId="81" xr:uid="{00000000-0005-0000-0000-000017040000}"/>
    <cellStyle name="Currency 2 5 2" xfId="139" xr:uid="{00000000-0005-0000-0000-000018040000}"/>
    <cellStyle name="Currency 2 5 2 2" xfId="253" xr:uid="{00000000-0005-0000-0000-000019040000}"/>
    <cellStyle name="Currency 2 5 2 2 2" xfId="594" xr:uid="{00000000-0005-0000-0000-00001A040000}"/>
    <cellStyle name="Currency 2 5 2 2 2 2" xfId="1280" xr:uid="{00000000-0005-0000-0000-00001B040000}"/>
    <cellStyle name="Currency 2 5 2 2 3" xfId="977" xr:uid="{00000000-0005-0000-0000-00001C040000}"/>
    <cellStyle name="Currency 2 5 2 3" xfId="443" xr:uid="{00000000-0005-0000-0000-00001D040000}"/>
    <cellStyle name="Currency 2 5 2 3 2" xfId="1138" xr:uid="{00000000-0005-0000-0000-00001E040000}"/>
    <cellStyle name="Currency 2 5 2 4" xfId="740" xr:uid="{00000000-0005-0000-0000-00001F040000}"/>
    <cellStyle name="Currency 2 5 2 4 2" xfId="1423" xr:uid="{00000000-0005-0000-0000-000020040000}"/>
    <cellStyle name="Currency 2 5 2 5" xfId="864" xr:uid="{00000000-0005-0000-0000-000021040000}"/>
    <cellStyle name="Currency 2 5 3" xfId="213" xr:uid="{00000000-0005-0000-0000-000022040000}"/>
    <cellStyle name="Currency 2 5 3 2" xfId="566" xr:uid="{00000000-0005-0000-0000-000023040000}"/>
    <cellStyle name="Currency 2 5 3 2 2" xfId="1254" xr:uid="{00000000-0005-0000-0000-000024040000}"/>
    <cellStyle name="Currency 2 5 3 3" xfId="414" xr:uid="{00000000-0005-0000-0000-000025040000}"/>
    <cellStyle name="Currency 2 5 3 3 2" xfId="1112" xr:uid="{00000000-0005-0000-0000-000026040000}"/>
    <cellStyle name="Currency 2 5 3 4" xfId="937" xr:uid="{00000000-0005-0000-0000-000027040000}"/>
    <cellStyle name="Currency 2 5 4" xfId="527" xr:uid="{00000000-0005-0000-0000-000028040000}"/>
    <cellStyle name="Currency 2 5 4 2" xfId="1218" xr:uid="{00000000-0005-0000-0000-000029040000}"/>
    <cellStyle name="Currency 2 5 5" xfId="352" xr:uid="{00000000-0005-0000-0000-00002A040000}"/>
    <cellStyle name="Currency 2 5 5 2" xfId="1076" xr:uid="{00000000-0005-0000-0000-00002B040000}"/>
    <cellStyle name="Currency 2 5 6" xfId="700" xr:uid="{00000000-0005-0000-0000-00002C040000}"/>
    <cellStyle name="Currency 2 5 6 2" xfId="1383" xr:uid="{00000000-0005-0000-0000-00002D040000}"/>
    <cellStyle name="Currency 2 5 7" xfId="824" xr:uid="{00000000-0005-0000-0000-00002E040000}"/>
    <cellStyle name="Currency 2 6" xfId="112" xr:uid="{00000000-0005-0000-0000-00002F040000}"/>
    <cellStyle name="Currency 2 6 2" xfId="161" xr:uid="{00000000-0005-0000-0000-000030040000}"/>
    <cellStyle name="Currency 2 6 2 2" xfId="275" xr:uid="{00000000-0005-0000-0000-000031040000}"/>
    <cellStyle name="Currency 2 6 2 2 2" xfId="616" xr:uid="{00000000-0005-0000-0000-000032040000}"/>
    <cellStyle name="Currency 2 6 2 2 2 2" xfId="1302" xr:uid="{00000000-0005-0000-0000-000033040000}"/>
    <cellStyle name="Currency 2 6 2 2 3" xfId="999" xr:uid="{00000000-0005-0000-0000-000034040000}"/>
    <cellStyle name="Currency 2 6 2 3" xfId="465" xr:uid="{00000000-0005-0000-0000-000035040000}"/>
    <cellStyle name="Currency 2 6 2 3 2" xfId="1160" xr:uid="{00000000-0005-0000-0000-000036040000}"/>
    <cellStyle name="Currency 2 6 2 4" xfId="762" xr:uid="{00000000-0005-0000-0000-000037040000}"/>
    <cellStyle name="Currency 2 6 2 4 2" xfId="1445" xr:uid="{00000000-0005-0000-0000-000038040000}"/>
    <cellStyle name="Currency 2 6 2 5" xfId="886" xr:uid="{00000000-0005-0000-0000-000039040000}"/>
    <cellStyle name="Currency 2 6 3" xfId="227" xr:uid="{00000000-0005-0000-0000-00003A040000}"/>
    <cellStyle name="Currency 2 6 3 2" xfId="561" xr:uid="{00000000-0005-0000-0000-00003B040000}"/>
    <cellStyle name="Currency 2 6 3 2 2" xfId="1249" xr:uid="{00000000-0005-0000-0000-00003C040000}"/>
    <cellStyle name="Currency 2 6 3 3" xfId="408" xr:uid="{00000000-0005-0000-0000-00003D040000}"/>
    <cellStyle name="Currency 2 6 3 3 2" xfId="1107" xr:uid="{00000000-0005-0000-0000-00003E040000}"/>
    <cellStyle name="Currency 2 6 3 4" xfId="951" xr:uid="{00000000-0005-0000-0000-00003F040000}"/>
    <cellStyle name="Currency 2 6 4" xfId="521" xr:uid="{00000000-0005-0000-0000-000040040000}"/>
    <cellStyle name="Currency 2 6 4 2" xfId="1213" xr:uid="{00000000-0005-0000-0000-000041040000}"/>
    <cellStyle name="Currency 2 6 5" xfId="347" xr:uid="{00000000-0005-0000-0000-000042040000}"/>
    <cellStyle name="Currency 2 6 5 2" xfId="1071" xr:uid="{00000000-0005-0000-0000-000043040000}"/>
    <cellStyle name="Currency 2 6 6" xfId="714" xr:uid="{00000000-0005-0000-0000-000044040000}"/>
    <cellStyle name="Currency 2 6 6 2" xfId="1397" xr:uid="{00000000-0005-0000-0000-000045040000}"/>
    <cellStyle name="Currency 2 6 7" xfId="838" xr:uid="{00000000-0005-0000-0000-000046040000}"/>
    <cellStyle name="Currency 2 7" xfId="133" xr:uid="{00000000-0005-0000-0000-000047040000}"/>
    <cellStyle name="Currency 2 7 2" xfId="248" xr:uid="{00000000-0005-0000-0000-000048040000}"/>
    <cellStyle name="Currency 2 7 2 2" xfId="639" xr:uid="{00000000-0005-0000-0000-000049040000}"/>
    <cellStyle name="Currency 2 7 2 2 2" xfId="1324" xr:uid="{00000000-0005-0000-0000-00004A040000}"/>
    <cellStyle name="Currency 2 7 2 3" xfId="972" xr:uid="{00000000-0005-0000-0000-00004B040000}"/>
    <cellStyle name="Currency 2 7 3" xfId="487" xr:uid="{00000000-0005-0000-0000-00004C040000}"/>
    <cellStyle name="Currency 2 7 3 2" xfId="1182" xr:uid="{00000000-0005-0000-0000-00004D040000}"/>
    <cellStyle name="Currency 2 7 4" xfId="735" xr:uid="{00000000-0005-0000-0000-00004E040000}"/>
    <cellStyle name="Currency 2 7 4 2" xfId="1418" xr:uid="{00000000-0005-0000-0000-00004F040000}"/>
    <cellStyle name="Currency 2 7 5" xfId="859" xr:uid="{00000000-0005-0000-0000-000050040000}"/>
    <cellStyle name="Currency 2 8" xfId="204" xr:uid="{00000000-0005-0000-0000-000051040000}"/>
    <cellStyle name="Currency 2 8 2" xfId="588" xr:uid="{00000000-0005-0000-0000-000052040000}"/>
    <cellStyle name="Currency 2 8 2 2" xfId="1275" xr:uid="{00000000-0005-0000-0000-000053040000}"/>
    <cellStyle name="Currency 2 8 3" xfId="437" xr:uid="{00000000-0005-0000-0000-000054040000}"/>
    <cellStyle name="Currency 2 8 3 2" xfId="1133" xr:uid="{00000000-0005-0000-0000-000055040000}"/>
    <cellStyle name="Currency 2 8 4" xfId="928" xr:uid="{00000000-0005-0000-0000-000056040000}"/>
    <cellStyle name="Currency 2 9" xfId="376" xr:uid="{00000000-0005-0000-0000-000057040000}"/>
    <cellStyle name="Currency 2 9 2" xfId="550" xr:uid="{00000000-0005-0000-0000-000058040000}"/>
    <cellStyle name="Currency 2 9 2 2" xfId="1240" xr:uid="{00000000-0005-0000-0000-000059040000}"/>
    <cellStyle name="Currency 2 9 3" xfId="1098" xr:uid="{00000000-0005-0000-0000-00005A040000}"/>
    <cellStyle name="Currency 3" xfId="34" xr:uid="{00000000-0005-0000-0000-00005B040000}"/>
    <cellStyle name="Currency 3 10" xfId="693" xr:uid="{00000000-0005-0000-0000-00005C040000}"/>
    <cellStyle name="Currency 3 10 2" xfId="1376" xr:uid="{00000000-0005-0000-0000-00005D040000}"/>
    <cellStyle name="Currency 3 11" xfId="817" xr:uid="{00000000-0005-0000-0000-00005E040000}"/>
    <cellStyle name="Currency 3 2" xfId="104" xr:uid="{00000000-0005-0000-0000-00005F040000}"/>
    <cellStyle name="Currency 3 2 10" xfId="830" xr:uid="{00000000-0005-0000-0000-000060040000}"/>
    <cellStyle name="Currency 3 2 2" xfId="126" xr:uid="{00000000-0005-0000-0000-000061040000}"/>
    <cellStyle name="Currency 3 2 2 2" xfId="175" xr:uid="{00000000-0005-0000-0000-000062040000}"/>
    <cellStyle name="Currency 3 2 2 2 2" xfId="289" xr:uid="{00000000-0005-0000-0000-000063040000}"/>
    <cellStyle name="Currency 3 2 2 2 2 2" xfId="1013" xr:uid="{00000000-0005-0000-0000-000064040000}"/>
    <cellStyle name="Currency 3 2 2 2 3" xfId="630" xr:uid="{00000000-0005-0000-0000-000065040000}"/>
    <cellStyle name="Currency 3 2 2 2 3 2" xfId="1316" xr:uid="{00000000-0005-0000-0000-000066040000}"/>
    <cellStyle name="Currency 3 2 2 2 4" xfId="776" xr:uid="{00000000-0005-0000-0000-000067040000}"/>
    <cellStyle name="Currency 3 2 2 2 4 2" xfId="1459" xr:uid="{00000000-0005-0000-0000-000068040000}"/>
    <cellStyle name="Currency 3 2 2 2 5" xfId="900" xr:uid="{00000000-0005-0000-0000-000069040000}"/>
    <cellStyle name="Currency 3 2 2 3" xfId="241" xr:uid="{00000000-0005-0000-0000-00006A040000}"/>
    <cellStyle name="Currency 3 2 2 3 2" xfId="965" xr:uid="{00000000-0005-0000-0000-00006B040000}"/>
    <cellStyle name="Currency 3 2 2 4" xfId="479" xr:uid="{00000000-0005-0000-0000-00006C040000}"/>
    <cellStyle name="Currency 3 2 2 4 2" xfId="1174" xr:uid="{00000000-0005-0000-0000-00006D040000}"/>
    <cellStyle name="Currency 3 2 2 5" xfId="728" xr:uid="{00000000-0005-0000-0000-00006E040000}"/>
    <cellStyle name="Currency 3 2 2 5 2" xfId="1411" xr:uid="{00000000-0005-0000-0000-00006F040000}"/>
    <cellStyle name="Currency 3 2 2 6" xfId="852" xr:uid="{00000000-0005-0000-0000-000070040000}"/>
    <cellStyle name="Currency 3 2 3" xfId="153" xr:uid="{00000000-0005-0000-0000-000071040000}"/>
    <cellStyle name="Currency 3 2 3 2" xfId="267" xr:uid="{00000000-0005-0000-0000-000072040000}"/>
    <cellStyle name="Currency 3 2 3 2 2" xfId="655" xr:uid="{00000000-0005-0000-0000-000073040000}"/>
    <cellStyle name="Currency 3 2 3 2 2 2" xfId="1338" xr:uid="{00000000-0005-0000-0000-000074040000}"/>
    <cellStyle name="Currency 3 2 3 2 3" xfId="991" xr:uid="{00000000-0005-0000-0000-000075040000}"/>
    <cellStyle name="Currency 3 2 3 3" xfId="502" xr:uid="{00000000-0005-0000-0000-000076040000}"/>
    <cellStyle name="Currency 3 2 3 3 2" xfId="1196" xr:uid="{00000000-0005-0000-0000-000077040000}"/>
    <cellStyle name="Currency 3 2 3 4" xfId="754" xr:uid="{00000000-0005-0000-0000-000078040000}"/>
    <cellStyle name="Currency 3 2 3 4 2" xfId="1437" xr:uid="{00000000-0005-0000-0000-000079040000}"/>
    <cellStyle name="Currency 3 2 3 5" xfId="878" xr:uid="{00000000-0005-0000-0000-00007A040000}"/>
    <cellStyle name="Currency 3 2 4" xfId="219" xr:uid="{00000000-0005-0000-0000-00007B040000}"/>
    <cellStyle name="Currency 3 2 4 2" xfId="608" xr:uid="{00000000-0005-0000-0000-00007C040000}"/>
    <cellStyle name="Currency 3 2 4 2 2" xfId="1294" xr:uid="{00000000-0005-0000-0000-00007D040000}"/>
    <cellStyle name="Currency 3 2 4 3" xfId="457" xr:uid="{00000000-0005-0000-0000-00007E040000}"/>
    <cellStyle name="Currency 3 2 4 3 2" xfId="1152" xr:uid="{00000000-0005-0000-0000-00007F040000}"/>
    <cellStyle name="Currency 3 2 4 4" xfId="943" xr:uid="{00000000-0005-0000-0000-000080040000}"/>
    <cellStyle name="Currency 3 2 5" xfId="429" xr:uid="{00000000-0005-0000-0000-000081040000}"/>
    <cellStyle name="Currency 3 2 5 2" xfId="580" xr:uid="{00000000-0005-0000-0000-000082040000}"/>
    <cellStyle name="Currency 3 2 5 2 2" xfId="1268" xr:uid="{00000000-0005-0000-0000-000083040000}"/>
    <cellStyle name="Currency 3 2 5 3" xfId="1126" xr:uid="{00000000-0005-0000-0000-000084040000}"/>
    <cellStyle name="Currency 3 2 6" xfId="541" xr:uid="{00000000-0005-0000-0000-000085040000}"/>
    <cellStyle name="Currency 3 2 6 2" xfId="1232" xr:uid="{00000000-0005-0000-0000-000086040000}"/>
    <cellStyle name="Currency 3 2 7" xfId="677" xr:uid="{00000000-0005-0000-0000-000087040000}"/>
    <cellStyle name="Currency 3 2 7 2" xfId="1360" xr:uid="{00000000-0005-0000-0000-000088040000}"/>
    <cellStyle name="Currency 3 2 8" xfId="367" xr:uid="{00000000-0005-0000-0000-000089040000}"/>
    <cellStyle name="Currency 3 2 8 2" xfId="1090" xr:uid="{00000000-0005-0000-0000-00008A040000}"/>
    <cellStyle name="Currency 3 2 9" xfId="706" xr:uid="{00000000-0005-0000-0000-00008B040000}"/>
    <cellStyle name="Currency 3 2 9 2" xfId="1389" xr:uid="{00000000-0005-0000-0000-00008C040000}"/>
    <cellStyle name="Currency 3 3" xfId="118" xr:uid="{00000000-0005-0000-0000-00008D040000}"/>
    <cellStyle name="Currency 3 3 2" xfId="167" xr:uid="{00000000-0005-0000-0000-00008E040000}"/>
    <cellStyle name="Currency 3 3 2 2" xfId="281" xr:uid="{00000000-0005-0000-0000-00008F040000}"/>
    <cellStyle name="Currency 3 3 2 2 2" xfId="622" xr:uid="{00000000-0005-0000-0000-000090040000}"/>
    <cellStyle name="Currency 3 3 2 2 2 2" xfId="1308" xr:uid="{00000000-0005-0000-0000-000091040000}"/>
    <cellStyle name="Currency 3 3 2 2 3" xfId="1005" xr:uid="{00000000-0005-0000-0000-000092040000}"/>
    <cellStyle name="Currency 3 3 2 3" xfId="471" xr:uid="{00000000-0005-0000-0000-000093040000}"/>
    <cellStyle name="Currency 3 3 2 3 2" xfId="1166" xr:uid="{00000000-0005-0000-0000-000094040000}"/>
    <cellStyle name="Currency 3 3 2 4" xfId="768" xr:uid="{00000000-0005-0000-0000-000095040000}"/>
    <cellStyle name="Currency 3 3 2 4 2" xfId="1451" xr:uid="{00000000-0005-0000-0000-000096040000}"/>
    <cellStyle name="Currency 3 3 2 5" xfId="892" xr:uid="{00000000-0005-0000-0000-000097040000}"/>
    <cellStyle name="Currency 3 3 3" xfId="233" xr:uid="{00000000-0005-0000-0000-000098040000}"/>
    <cellStyle name="Currency 3 3 3 2" xfId="572" xr:uid="{00000000-0005-0000-0000-000099040000}"/>
    <cellStyle name="Currency 3 3 3 2 2" xfId="1260" xr:uid="{00000000-0005-0000-0000-00009A040000}"/>
    <cellStyle name="Currency 3 3 3 3" xfId="420" xr:uid="{00000000-0005-0000-0000-00009B040000}"/>
    <cellStyle name="Currency 3 3 3 3 2" xfId="1118" xr:uid="{00000000-0005-0000-0000-00009C040000}"/>
    <cellStyle name="Currency 3 3 3 4" xfId="957" xr:uid="{00000000-0005-0000-0000-00009D040000}"/>
    <cellStyle name="Currency 3 3 4" xfId="533" xr:uid="{00000000-0005-0000-0000-00009E040000}"/>
    <cellStyle name="Currency 3 3 4 2" xfId="1224" xr:uid="{00000000-0005-0000-0000-00009F040000}"/>
    <cellStyle name="Currency 3 3 5" xfId="358" xr:uid="{00000000-0005-0000-0000-0000A0040000}"/>
    <cellStyle name="Currency 3 3 5 2" xfId="1082" xr:uid="{00000000-0005-0000-0000-0000A1040000}"/>
    <cellStyle name="Currency 3 3 6" xfId="720" xr:uid="{00000000-0005-0000-0000-0000A2040000}"/>
    <cellStyle name="Currency 3 3 6 2" xfId="1403" xr:uid="{00000000-0005-0000-0000-0000A3040000}"/>
    <cellStyle name="Currency 3 3 7" xfId="844" xr:uid="{00000000-0005-0000-0000-0000A4040000}"/>
    <cellStyle name="Currency 3 4" xfId="145" xr:uid="{00000000-0005-0000-0000-0000A5040000}"/>
    <cellStyle name="Currency 3 4 2" xfId="259" xr:uid="{00000000-0005-0000-0000-0000A6040000}"/>
    <cellStyle name="Currency 3 4 2 2" xfId="645" xr:uid="{00000000-0005-0000-0000-0000A7040000}"/>
    <cellStyle name="Currency 3 4 2 2 2" xfId="1330" xr:uid="{00000000-0005-0000-0000-0000A8040000}"/>
    <cellStyle name="Currency 3 4 2 3" xfId="983" xr:uid="{00000000-0005-0000-0000-0000A9040000}"/>
    <cellStyle name="Currency 3 4 3" xfId="493" xr:uid="{00000000-0005-0000-0000-0000AA040000}"/>
    <cellStyle name="Currency 3 4 3 2" xfId="1188" xr:uid="{00000000-0005-0000-0000-0000AB040000}"/>
    <cellStyle name="Currency 3 4 4" xfId="746" xr:uid="{00000000-0005-0000-0000-0000AC040000}"/>
    <cellStyle name="Currency 3 4 4 2" xfId="1429" xr:uid="{00000000-0005-0000-0000-0000AD040000}"/>
    <cellStyle name="Currency 3 4 5" xfId="870" xr:uid="{00000000-0005-0000-0000-0000AE040000}"/>
    <cellStyle name="Currency 3 5" xfId="206" xr:uid="{00000000-0005-0000-0000-0000AF040000}"/>
    <cellStyle name="Currency 3 5 2" xfId="600" xr:uid="{00000000-0005-0000-0000-0000B0040000}"/>
    <cellStyle name="Currency 3 5 2 2" xfId="1286" xr:uid="{00000000-0005-0000-0000-0000B1040000}"/>
    <cellStyle name="Currency 3 5 3" xfId="449" xr:uid="{00000000-0005-0000-0000-0000B2040000}"/>
    <cellStyle name="Currency 3 5 3 2" xfId="1144" xr:uid="{00000000-0005-0000-0000-0000B3040000}"/>
    <cellStyle name="Currency 3 5 4" xfId="930" xr:uid="{00000000-0005-0000-0000-0000B4040000}"/>
    <cellStyle name="Currency 3 6" xfId="382" xr:uid="{00000000-0005-0000-0000-0000B5040000}"/>
    <cellStyle name="Currency 3 6 2" xfId="555" xr:uid="{00000000-0005-0000-0000-0000B6040000}"/>
    <cellStyle name="Currency 3 6 2 2" xfId="1244" xr:uid="{00000000-0005-0000-0000-0000B7040000}"/>
    <cellStyle name="Currency 3 6 3" xfId="1102" xr:uid="{00000000-0005-0000-0000-0000B8040000}"/>
    <cellStyle name="Currency 3 7" xfId="516" xr:uid="{00000000-0005-0000-0000-0000B9040000}"/>
    <cellStyle name="Currency 3 7 2" xfId="1208" xr:uid="{00000000-0005-0000-0000-0000BA040000}"/>
    <cellStyle name="Currency 3 8" xfId="669" xr:uid="{00000000-0005-0000-0000-0000BB040000}"/>
    <cellStyle name="Currency 3 8 2" xfId="1352" xr:uid="{00000000-0005-0000-0000-0000BC040000}"/>
    <cellStyle name="Currency 3 9" xfId="342" xr:uid="{00000000-0005-0000-0000-0000BD040000}"/>
    <cellStyle name="Currency 3 9 2" xfId="1066" xr:uid="{00000000-0005-0000-0000-0000BE040000}"/>
    <cellStyle name="Currency 4" xfId="22" xr:uid="{00000000-0005-0000-0000-0000BF040000}"/>
    <cellStyle name="Currency 4 10" xfId="813" xr:uid="{00000000-0005-0000-0000-0000C0040000}"/>
    <cellStyle name="Currency 4 2" xfId="114" xr:uid="{00000000-0005-0000-0000-0000C1040000}"/>
    <cellStyle name="Currency 4 2 2" xfId="163" xr:uid="{00000000-0005-0000-0000-0000C2040000}"/>
    <cellStyle name="Currency 4 2 2 2" xfId="277" xr:uid="{00000000-0005-0000-0000-0000C3040000}"/>
    <cellStyle name="Currency 4 2 2 2 2" xfId="1001" xr:uid="{00000000-0005-0000-0000-0000C4040000}"/>
    <cellStyle name="Currency 4 2 2 3" xfId="618" xr:uid="{00000000-0005-0000-0000-0000C5040000}"/>
    <cellStyle name="Currency 4 2 2 3 2" xfId="1304" xr:uid="{00000000-0005-0000-0000-0000C6040000}"/>
    <cellStyle name="Currency 4 2 2 4" xfId="764" xr:uid="{00000000-0005-0000-0000-0000C7040000}"/>
    <cellStyle name="Currency 4 2 2 4 2" xfId="1447" xr:uid="{00000000-0005-0000-0000-0000C8040000}"/>
    <cellStyle name="Currency 4 2 2 5" xfId="888" xr:uid="{00000000-0005-0000-0000-0000C9040000}"/>
    <cellStyle name="Currency 4 2 3" xfId="229" xr:uid="{00000000-0005-0000-0000-0000CA040000}"/>
    <cellStyle name="Currency 4 2 3 2" xfId="953" xr:uid="{00000000-0005-0000-0000-0000CB040000}"/>
    <cellStyle name="Currency 4 2 4" xfId="467" xr:uid="{00000000-0005-0000-0000-0000CC040000}"/>
    <cellStyle name="Currency 4 2 4 2" xfId="1162" xr:uid="{00000000-0005-0000-0000-0000CD040000}"/>
    <cellStyle name="Currency 4 2 5" xfId="716" xr:uid="{00000000-0005-0000-0000-0000CE040000}"/>
    <cellStyle name="Currency 4 2 5 2" xfId="1399" xr:uid="{00000000-0005-0000-0000-0000CF040000}"/>
    <cellStyle name="Currency 4 2 6" xfId="840" xr:uid="{00000000-0005-0000-0000-0000D0040000}"/>
    <cellStyle name="Currency 4 3" xfId="141" xr:uid="{00000000-0005-0000-0000-0000D1040000}"/>
    <cellStyle name="Currency 4 3 2" xfId="255" xr:uid="{00000000-0005-0000-0000-0000D2040000}"/>
    <cellStyle name="Currency 4 3 2 2" xfId="641" xr:uid="{00000000-0005-0000-0000-0000D3040000}"/>
    <cellStyle name="Currency 4 3 2 2 2" xfId="1326" xr:uid="{00000000-0005-0000-0000-0000D4040000}"/>
    <cellStyle name="Currency 4 3 2 3" xfId="979" xr:uid="{00000000-0005-0000-0000-0000D5040000}"/>
    <cellStyle name="Currency 4 3 3" xfId="489" xr:uid="{00000000-0005-0000-0000-0000D6040000}"/>
    <cellStyle name="Currency 4 3 3 2" xfId="1184" xr:uid="{00000000-0005-0000-0000-0000D7040000}"/>
    <cellStyle name="Currency 4 3 4" xfId="742" xr:uid="{00000000-0005-0000-0000-0000D8040000}"/>
    <cellStyle name="Currency 4 3 4 2" xfId="1425" xr:uid="{00000000-0005-0000-0000-0000D9040000}"/>
    <cellStyle name="Currency 4 3 5" xfId="866" xr:uid="{00000000-0005-0000-0000-0000DA040000}"/>
    <cellStyle name="Currency 4 4" xfId="202" xr:uid="{00000000-0005-0000-0000-0000DB040000}"/>
    <cellStyle name="Currency 4 4 2" xfId="596" xr:uid="{00000000-0005-0000-0000-0000DC040000}"/>
    <cellStyle name="Currency 4 4 2 2" xfId="1282" xr:uid="{00000000-0005-0000-0000-0000DD040000}"/>
    <cellStyle name="Currency 4 4 3" xfId="445" xr:uid="{00000000-0005-0000-0000-0000DE040000}"/>
    <cellStyle name="Currency 4 4 3 2" xfId="1140" xr:uid="{00000000-0005-0000-0000-0000DF040000}"/>
    <cellStyle name="Currency 4 4 4" xfId="926" xr:uid="{00000000-0005-0000-0000-0000E0040000}"/>
    <cellStyle name="Currency 4 5" xfId="416" xr:uid="{00000000-0005-0000-0000-0000E1040000}"/>
    <cellStyle name="Currency 4 5 2" xfId="568" xr:uid="{00000000-0005-0000-0000-0000E2040000}"/>
    <cellStyle name="Currency 4 5 2 2" xfId="1256" xr:uid="{00000000-0005-0000-0000-0000E3040000}"/>
    <cellStyle name="Currency 4 5 3" xfId="1114" xr:uid="{00000000-0005-0000-0000-0000E4040000}"/>
    <cellStyle name="Currency 4 6" xfId="529" xr:uid="{00000000-0005-0000-0000-0000E5040000}"/>
    <cellStyle name="Currency 4 6 2" xfId="1220" xr:uid="{00000000-0005-0000-0000-0000E6040000}"/>
    <cellStyle name="Currency 4 7" xfId="665" xr:uid="{00000000-0005-0000-0000-0000E7040000}"/>
    <cellStyle name="Currency 4 7 2" xfId="1348" xr:uid="{00000000-0005-0000-0000-0000E8040000}"/>
    <cellStyle name="Currency 4 8" xfId="354" xr:uid="{00000000-0005-0000-0000-0000E9040000}"/>
    <cellStyle name="Currency 4 8 2" xfId="1078" xr:uid="{00000000-0005-0000-0000-0000EA040000}"/>
    <cellStyle name="Currency 4 9" xfId="689" xr:uid="{00000000-0005-0000-0000-0000EB040000}"/>
    <cellStyle name="Currency 4 9 2" xfId="1372" xr:uid="{00000000-0005-0000-0000-0000EC040000}"/>
    <cellStyle name="Currency 5" xfId="100" xr:uid="{00000000-0005-0000-0000-0000ED040000}"/>
    <cellStyle name="Currency 5 10" xfId="827" xr:uid="{00000000-0005-0000-0000-0000EE040000}"/>
    <cellStyle name="Currency 5 2" xfId="122" xr:uid="{00000000-0005-0000-0000-0000EF040000}"/>
    <cellStyle name="Currency 5 2 2" xfId="171" xr:uid="{00000000-0005-0000-0000-0000F0040000}"/>
    <cellStyle name="Currency 5 2 2 2" xfId="285" xr:uid="{00000000-0005-0000-0000-0000F1040000}"/>
    <cellStyle name="Currency 5 2 2 2 2" xfId="1009" xr:uid="{00000000-0005-0000-0000-0000F2040000}"/>
    <cellStyle name="Currency 5 2 2 3" xfId="626" xr:uid="{00000000-0005-0000-0000-0000F3040000}"/>
    <cellStyle name="Currency 5 2 2 3 2" xfId="1312" xr:uid="{00000000-0005-0000-0000-0000F4040000}"/>
    <cellStyle name="Currency 5 2 2 4" xfId="772" xr:uid="{00000000-0005-0000-0000-0000F5040000}"/>
    <cellStyle name="Currency 5 2 2 4 2" xfId="1455" xr:uid="{00000000-0005-0000-0000-0000F6040000}"/>
    <cellStyle name="Currency 5 2 2 5" xfId="896" xr:uid="{00000000-0005-0000-0000-0000F7040000}"/>
    <cellStyle name="Currency 5 2 3" xfId="237" xr:uid="{00000000-0005-0000-0000-0000F8040000}"/>
    <cellStyle name="Currency 5 2 3 2" xfId="961" xr:uid="{00000000-0005-0000-0000-0000F9040000}"/>
    <cellStyle name="Currency 5 2 4" xfId="475" xr:uid="{00000000-0005-0000-0000-0000FA040000}"/>
    <cellStyle name="Currency 5 2 4 2" xfId="1170" xr:uid="{00000000-0005-0000-0000-0000FB040000}"/>
    <cellStyle name="Currency 5 2 5" xfId="724" xr:uid="{00000000-0005-0000-0000-0000FC040000}"/>
    <cellStyle name="Currency 5 2 5 2" xfId="1407" xr:uid="{00000000-0005-0000-0000-0000FD040000}"/>
    <cellStyle name="Currency 5 2 6" xfId="848" xr:uid="{00000000-0005-0000-0000-0000FE040000}"/>
    <cellStyle name="Currency 5 3" xfId="149" xr:uid="{00000000-0005-0000-0000-0000FF040000}"/>
    <cellStyle name="Currency 5 3 2" xfId="263" xr:uid="{00000000-0005-0000-0000-000000050000}"/>
    <cellStyle name="Currency 5 3 2 2" xfId="650" xr:uid="{00000000-0005-0000-0000-000001050000}"/>
    <cellStyle name="Currency 5 3 2 2 2" xfId="1334" xr:uid="{00000000-0005-0000-0000-000002050000}"/>
    <cellStyle name="Currency 5 3 2 3" xfId="987" xr:uid="{00000000-0005-0000-0000-000003050000}"/>
    <cellStyle name="Currency 5 3 3" xfId="498" xr:uid="{00000000-0005-0000-0000-000004050000}"/>
    <cellStyle name="Currency 5 3 3 2" xfId="1192" xr:uid="{00000000-0005-0000-0000-000005050000}"/>
    <cellStyle name="Currency 5 3 4" xfId="750" xr:uid="{00000000-0005-0000-0000-000006050000}"/>
    <cellStyle name="Currency 5 3 4 2" xfId="1433" xr:uid="{00000000-0005-0000-0000-000007050000}"/>
    <cellStyle name="Currency 5 3 5" xfId="874" xr:uid="{00000000-0005-0000-0000-000008050000}"/>
    <cellStyle name="Currency 5 4" xfId="216" xr:uid="{00000000-0005-0000-0000-000009050000}"/>
    <cellStyle name="Currency 5 4 2" xfId="604" xr:uid="{00000000-0005-0000-0000-00000A050000}"/>
    <cellStyle name="Currency 5 4 2 2" xfId="1290" xr:uid="{00000000-0005-0000-0000-00000B050000}"/>
    <cellStyle name="Currency 5 4 3" xfId="453" xr:uid="{00000000-0005-0000-0000-00000C050000}"/>
    <cellStyle name="Currency 5 4 3 2" xfId="1148" xr:uid="{00000000-0005-0000-0000-00000D050000}"/>
    <cellStyle name="Currency 5 4 4" xfId="940" xr:uid="{00000000-0005-0000-0000-00000E050000}"/>
    <cellStyle name="Currency 5 5" xfId="425" xr:uid="{00000000-0005-0000-0000-00000F050000}"/>
    <cellStyle name="Currency 5 5 2" xfId="576" xr:uid="{00000000-0005-0000-0000-000010050000}"/>
    <cellStyle name="Currency 5 5 2 2" xfId="1264" xr:uid="{00000000-0005-0000-0000-000011050000}"/>
    <cellStyle name="Currency 5 5 3" xfId="1122" xr:uid="{00000000-0005-0000-0000-000012050000}"/>
    <cellStyle name="Currency 5 6" xfId="537" xr:uid="{00000000-0005-0000-0000-000013050000}"/>
    <cellStyle name="Currency 5 6 2" xfId="1228" xr:uid="{00000000-0005-0000-0000-000014050000}"/>
    <cellStyle name="Currency 5 7" xfId="673" xr:uid="{00000000-0005-0000-0000-000015050000}"/>
    <cellStyle name="Currency 5 7 2" xfId="1356" xr:uid="{00000000-0005-0000-0000-000016050000}"/>
    <cellStyle name="Currency 5 8" xfId="363" xr:uid="{00000000-0005-0000-0000-000017050000}"/>
    <cellStyle name="Currency 5 8 2" xfId="1086" xr:uid="{00000000-0005-0000-0000-000018050000}"/>
    <cellStyle name="Currency 5 9" xfId="703" xr:uid="{00000000-0005-0000-0000-000019050000}"/>
    <cellStyle name="Currency 5 9 2" xfId="1386" xr:uid="{00000000-0005-0000-0000-00001A050000}"/>
    <cellStyle name="Currency 6" xfId="78" xr:uid="{00000000-0005-0000-0000-00001B050000}"/>
    <cellStyle name="Currency 6 2" xfId="137" xr:uid="{00000000-0005-0000-0000-00001C050000}"/>
    <cellStyle name="Currency 6 2 2" xfId="251" xr:uid="{00000000-0005-0000-0000-00001D050000}"/>
    <cellStyle name="Currency 6 2 2 2" xfId="592" xr:uid="{00000000-0005-0000-0000-00001E050000}"/>
    <cellStyle name="Currency 6 2 2 2 2" xfId="1278" xr:uid="{00000000-0005-0000-0000-00001F050000}"/>
    <cellStyle name="Currency 6 2 2 3" xfId="975" xr:uid="{00000000-0005-0000-0000-000020050000}"/>
    <cellStyle name="Currency 6 2 3" xfId="441" xr:uid="{00000000-0005-0000-0000-000021050000}"/>
    <cellStyle name="Currency 6 2 3 2" xfId="1136" xr:uid="{00000000-0005-0000-0000-000022050000}"/>
    <cellStyle name="Currency 6 2 4" xfId="738" xr:uid="{00000000-0005-0000-0000-000023050000}"/>
    <cellStyle name="Currency 6 2 4 2" xfId="1421" xr:uid="{00000000-0005-0000-0000-000024050000}"/>
    <cellStyle name="Currency 6 2 5" xfId="862" xr:uid="{00000000-0005-0000-0000-000025050000}"/>
    <cellStyle name="Currency 6 3" xfId="211" xr:uid="{00000000-0005-0000-0000-000026050000}"/>
    <cellStyle name="Currency 6 3 2" xfId="564" xr:uid="{00000000-0005-0000-0000-000027050000}"/>
    <cellStyle name="Currency 6 3 2 2" xfId="1252" xr:uid="{00000000-0005-0000-0000-000028050000}"/>
    <cellStyle name="Currency 6 3 3" xfId="412" xr:uid="{00000000-0005-0000-0000-000029050000}"/>
    <cellStyle name="Currency 6 3 3 2" xfId="1110" xr:uid="{00000000-0005-0000-0000-00002A050000}"/>
    <cellStyle name="Currency 6 3 4" xfId="935" xr:uid="{00000000-0005-0000-0000-00002B050000}"/>
    <cellStyle name="Currency 6 4" xfId="525" xr:uid="{00000000-0005-0000-0000-00002C050000}"/>
    <cellStyle name="Currency 6 4 2" xfId="1216" xr:uid="{00000000-0005-0000-0000-00002D050000}"/>
    <cellStyle name="Currency 6 5" xfId="350" xr:uid="{00000000-0005-0000-0000-00002E050000}"/>
    <cellStyle name="Currency 6 5 2" xfId="1074" xr:uid="{00000000-0005-0000-0000-00002F050000}"/>
    <cellStyle name="Currency 6 6" xfId="698" xr:uid="{00000000-0005-0000-0000-000030050000}"/>
    <cellStyle name="Currency 6 6 2" xfId="1381" xr:uid="{00000000-0005-0000-0000-000031050000}"/>
    <cellStyle name="Currency 6 7" xfId="822" xr:uid="{00000000-0005-0000-0000-000032050000}"/>
    <cellStyle name="Currency 7" xfId="110" xr:uid="{00000000-0005-0000-0000-000033050000}"/>
    <cellStyle name="Currency 7 2" xfId="159" xr:uid="{00000000-0005-0000-0000-000034050000}"/>
    <cellStyle name="Currency 7 2 2" xfId="273" xr:uid="{00000000-0005-0000-0000-000035050000}"/>
    <cellStyle name="Currency 7 2 2 2" xfId="614" xr:uid="{00000000-0005-0000-0000-000036050000}"/>
    <cellStyle name="Currency 7 2 2 2 2" xfId="1300" xr:uid="{00000000-0005-0000-0000-000037050000}"/>
    <cellStyle name="Currency 7 2 2 3" xfId="997" xr:uid="{00000000-0005-0000-0000-000038050000}"/>
    <cellStyle name="Currency 7 2 3" xfId="463" xr:uid="{00000000-0005-0000-0000-000039050000}"/>
    <cellStyle name="Currency 7 2 3 2" xfId="1158" xr:uid="{00000000-0005-0000-0000-00003A050000}"/>
    <cellStyle name="Currency 7 2 4" xfId="760" xr:uid="{00000000-0005-0000-0000-00003B050000}"/>
    <cellStyle name="Currency 7 2 4 2" xfId="1443" xr:uid="{00000000-0005-0000-0000-00003C050000}"/>
    <cellStyle name="Currency 7 2 5" xfId="884" xr:uid="{00000000-0005-0000-0000-00003D050000}"/>
    <cellStyle name="Currency 7 3" xfId="225" xr:uid="{00000000-0005-0000-0000-00003E050000}"/>
    <cellStyle name="Currency 7 3 2" xfId="562" xr:uid="{00000000-0005-0000-0000-00003F050000}"/>
    <cellStyle name="Currency 7 3 2 2" xfId="1250" xr:uid="{00000000-0005-0000-0000-000040050000}"/>
    <cellStyle name="Currency 7 3 3" xfId="409" xr:uid="{00000000-0005-0000-0000-000041050000}"/>
    <cellStyle name="Currency 7 3 3 2" xfId="1108" xr:uid="{00000000-0005-0000-0000-000042050000}"/>
    <cellStyle name="Currency 7 3 4" xfId="949" xr:uid="{00000000-0005-0000-0000-000043050000}"/>
    <cellStyle name="Currency 7 4" xfId="522" xr:uid="{00000000-0005-0000-0000-000044050000}"/>
    <cellStyle name="Currency 7 4 2" xfId="1214" xr:uid="{00000000-0005-0000-0000-000045050000}"/>
    <cellStyle name="Currency 7 5" xfId="348" xr:uid="{00000000-0005-0000-0000-000046050000}"/>
    <cellStyle name="Currency 7 5 2" xfId="1072" xr:uid="{00000000-0005-0000-0000-000047050000}"/>
    <cellStyle name="Currency 7 6" xfId="712" xr:uid="{00000000-0005-0000-0000-000048050000}"/>
    <cellStyle name="Currency 7 6 2" xfId="1395" xr:uid="{00000000-0005-0000-0000-000049050000}"/>
    <cellStyle name="Currency 7 7" xfId="836" xr:uid="{00000000-0005-0000-0000-00004A050000}"/>
    <cellStyle name="Currency 8" xfId="134" xr:uid="{00000000-0005-0000-0000-00004B050000}"/>
    <cellStyle name="Currency 8 2" xfId="249" xr:uid="{00000000-0005-0000-0000-00004C050000}"/>
    <cellStyle name="Currency 8 2 2" xfId="637" xr:uid="{00000000-0005-0000-0000-00004D050000}"/>
    <cellStyle name="Currency 8 2 2 2" xfId="1322" xr:uid="{00000000-0005-0000-0000-00004E050000}"/>
    <cellStyle name="Currency 8 2 3" xfId="973" xr:uid="{00000000-0005-0000-0000-00004F050000}"/>
    <cellStyle name="Currency 8 3" xfId="485" xr:uid="{00000000-0005-0000-0000-000050050000}"/>
    <cellStyle name="Currency 8 3 2" xfId="1180" xr:uid="{00000000-0005-0000-0000-000051050000}"/>
    <cellStyle name="Currency 8 4" xfId="736" xr:uid="{00000000-0005-0000-0000-000052050000}"/>
    <cellStyle name="Currency 8 4 2" xfId="1419" xr:uid="{00000000-0005-0000-0000-000053050000}"/>
    <cellStyle name="Currency 8 5" xfId="860" xr:uid="{00000000-0005-0000-0000-000054050000}"/>
    <cellStyle name="Currency 9" xfId="438" xr:uid="{00000000-0005-0000-0000-000055050000}"/>
    <cellStyle name="Currency 9 2" xfId="589" xr:uid="{00000000-0005-0000-0000-000056050000}"/>
    <cellStyle name="Currency 9 2 2" xfId="1276" xr:uid="{00000000-0005-0000-0000-000057050000}"/>
    <cellStyle name="Currency 9 3" xfId="1134" xr:uid="{00000000-0005-0000-0000-000058050000}"/>
    <cellStyle name="Hyperlink" xfId="1487" builtinId="8"/>
    <cellStyle name="Normal" xfId="0" builtinId="0"/>
    <cellStyle name="Normal 10" xfId="32" xr:uid="{00000000-0005-0000-0000-00005A050000}"/>
    <cellStyle name="Normal 10 2" xfId="50" xr:uid="{00000000-0005-0000-0000-00005B050000}"/>
    <cellStyle name="Normal 10 2 2" xfId="103" xr:uid="{00000000-0005-0000-0000-00005C050000}"/>
    <cellStyle name="Normal 10 2 2 2" xfId="653" xr:uid="{00000000-0005-0000-0000-00005D050000}"/>
    <cellStyle name="Normal 10 3" xfId="97" xr:uid="{00000000-0005-0000-0000-00005E050000}"/>
    <cellStyle name="Normal 11" xfId="20" xr:uid="{00000000-0005-0000-0000-00005F050000}"/>
    <cellStyle name="Normal 11 2" xfId="54" xr:uid="{00000000-0005-0000-0000-000060050000}"/>
    <cellStyle name="Normal 11 3" xfId="88" xr:uid="{00000000-0005-0000-0000-000061050000}"/>
    <cellStyle name="Normal 12" xfId="55" xr:uid="{00000000-0005-0000-0000-000062050000}"/>
    <cellStyle name="Normal 12 2" xfId="98" xr:uid="{00000000-0005-0000-0000-000063050000}"/>
    <cellStyle name="Normal 12 2 2" xfId="496" xr:uid="{00000000-0005-0000-0000-000064050000}"/>
    <cellStyle name="Normal 12 2 2 2" xfId="648" xr:uid="{00000000-0005-0000-0000-000065050000}"/>
    <cellStyle name="Normal 13" xfId="58" xr:uid="{00000000-0005-0000-0000-000066050000}"/>
    <cellStyle name="Normal 13 2" xfId="184" xr:uid="{00000000-0005-0000-0000-000067050000}"/>
    <cellStyle name="Normal 13 2 2" xfId="635" xr:uid="{00000000-0005-0000-0000-000068050000}"/>
    <cellStyle name="Normal 13 3" xfId="389" xr:uid="{00000000-0005-0000-0000-000069050000}"/>
    <cellStyle name="Normal 14" xfId="56" xr:uid="{00000000-0005-0000-0000-00006A050000}"/>
    <cellStyle name="Normal 14 2" xfId="387" xr:uid="{00000000-0005-0000-0000-00006B050000}"/>
    <cellStyle name="Normal 15" xfId="57" xr:uid="{00000000-0005-0000-0000-00006C050000}"/>
    <cellStyle name="Normal 15 2" xfId="388" xr:uid="{00000000-0005-0000-0000-00006D050000}"/>
    <cellStyle name="Normal 16" xfId="47" xr:uid="{00000000-0005-0000-0000-00006E050000}"/>
    <cellStyle name="Normal 16 2" xfId="377" xr:uid="{00000000-0005-0000-0000-00006F050000}"/>
    <cellStyle name="Normal 17" xfId="53" xr:uid="{00000000-0005-0000-0000-000070050000}"/>
    <cellStyle name="Normal 17 2" xfId="386" xr:uid="{00000000-0005-0000-0000-000071050000}"/>
    <cellStyle name="Normal 18" xfId="65" xr:uid="{00000000-0005-0000-0000-000072050000}"/>
    <cellStyle name="Normal 18 2" xfId="396" xr:uid="{00000000-0005-0000-0000-000073050000}"/>
    <cellStyle name="Normal 19" xfId="60" xr:uid="{00000000-0005-0000-0000-000074050000}"/>
    <cellStyle name="Normal 19 2" xfId="391" xr:uid="{00000000-0005-0000-0000-000075050000}"/>
    <cellStyle name="Normal 2" xfId="17" xr:uid="{00000000-0005-0000-0000-000076050000}"/>
    <cellStyle name="Normal 2 2" xfId="76" xr:uid="{00000000-0005-0000-0000-000077050000}"/>
    <cellStyle name="Normal 2 3" xfId="6" xr:uid="{00000000-0005-0000-0000-000078050000}"/>
    <cellStyle name="Normal 2 4" xfId="19" xr:uid="{00000000-0005-0000-0000-000079050000}"/>
    <cellStyle name="Normal 20" xfId="48" xr:uid="{00000000-0005-0000-0000-00007A050000}"/>
    <cellStyle name="Normal 20 2" xfId="379" xr:uid="{00000000-0005-0000-0000-00007B050000}"/>
    <cellStyle name="Normal 21" xfId="64" xr:uid="{00000000-0005-0000-0000-00007C050000}"/>
    <cellStyle name="Normal 21 2" xfId="395" xr:uid="{00000000-0005-0000-0000-00007D050000}"/>
    <cellStyle name="Normal 22" xfId="67" xr:uid="{00000000-0005-0000-0000-00007E050000}"/>
    <cellStyle name="Normal 22 2" xfId="398" xr:uid="{00000000-0005-0000-0000-00007F050000}"/>
    <cellStyle name="Normal 23" xfId="61" xr:uid="{00000000-0005-0000-0000-000080050000}"/>
    <cellStyle name="Normal 23 2" xfId="392" xr:uid="{00000000-0005-0000-0000-000081050000}"/>
    <cellStyle name="Normal 24" xfId="69" xr:uid="{00000000-0005-0000-0000-000082050000}"/>
    <cellStyle name="Normal 24 2" xfId="400" xr:uid="{00000000-0005-0000-0000-000083050000}"/>
    <cellStyle name="Normal 25" xfId="52" xr:uid="{00000000-0005-0000-0000-000084050000}"/>
    <cellStyle name="Normal 25 2" xfId="507" xr:uid="{00000000-0005-0000-0000-000085050000}"/>
    <cellStyle name="Normal 25 3" xfId="385" xr:uid="{00000000-0005-0000-0000-000086050000}"/>
    <cellStyle name="Normal 26" xfId="59" xr:uid="{00000000-0005-0000-0000-000087050000}"/>
    <cellStyle name="Normal 26 2" xfId="390" xr:uid="{00000000-0005-0000-0000-000088050000}"/>
    <cellStyle name="Normal 27" xfId="66" xr:uid="{00000000-0005-0000-0000-000089050000}"/>
    <cellStyle name="Normal 27 2" xfId="397" xr:uid="{00000000-0005-0000-0000-00008A050000}"/>
    <cellStyle name="Normal 28" xfId="63" xr:uid="{00000000-0005-0000-0000-00008B050000}"/>
    <cellStyle name="Normal 28 2" xfId="394" xr:uid="{00000000-0005-0000-0000-00008C050000}"/>
    <cellStyle name="Normal 29" xfId="68" xr:uid="{00000000-0005-0000-0000-00008D050000}"/>
    <cellStyle name="Normal 29 2" xfId="399" xr:uid="{00000000-0005-0000-0000-00008E050000}"/>
    <cellStyle name="Normal 3" xfId="18" xr:uid="{00000000-0005-0000-0000-00008F050000}"/>
    <cellStyle name="Normal 3 2" xfId="35" xr:uid="{00000000-0005-0000-0000-000090050000}"/>
    <cellStyle name="Normal 3 3" xfId="44" xr:uid="{00000000-0005-0000-0000-000091050000}"/>
    <cellStyle name="Normal 3 3 2" xfId="89" xr:uid="{00000000-0005-0000-0000-000092050000}"/>
    <cellStyle name="Normal 3 4" xfId="79" xr:uid="{00000000-0005-0000-0000-000093050000}"/>
    <cellStyle name="Normal 30" xfId="62" xr:uid="{00000000-0005-0000-0000-000094050000}"/>
    <cellStyle name="Normal 30 2" xfId="393" xr:uid="{00000000-0005-0000-0000-000095050000}"/>
    <cellStyle name="Normal 31" xfId="70" xr:uid="{00000000-0005-0000-0000-000096050000}"/>
    <cellStyle name="Normal 31 2" xfId="401" xr:uid="{00000000-0005-0000-0000-000097050000}"/>
    <cellStyle name="Normal 32" xfId="71" xr:uid="{00000000-0005-0000-0000-000098050000}"/>
    <cellStyle name="Normal 32 2" xfId="402" xr:uid="{00000000-0005-0000-0000-000099050000}"/>
    <cellStyle name="Normal 33" xfId="72" xr:uid="{00000000-0005-0000-0000-00009A050000}"/>
    <cellStyle name="Normal 33 2" xfId="403" xr:uid="{00000000-0005-0000-0000-00009B050000}"/>
    <cellStyle name="Normal 34" xfId="73" xr:uid="{00000000-0005-0000-0000-00009C050000}"/>
    <cellStyle name="Normal 34 2" xfId="404" xr:uid="{00000000-0005-0000-0000-00009D050000}"/>
    <cellStyle name="Normal 35" xfId="46" xr:uid="{00000000-0005-0000-0000-00009E050000}"/>
    <cellStyle name="Normal 35 2" xfId="405" xr:uid="{00000000-0005-0000-0000-00009F050000}"/>
    <cellStyle name="Normal 36" xfId="74" xr:uid="{00000000-0005-0000-0000-0000A0050000}"/>
    <cellStyle name="Normal 36 2" xfId="410" xr:uid="{00000000-0005-0000-0000-0000A1050000}"/>
    <cellStyle name="Normal 37" xfId="361" xr:uid="{00000000-0005-0000-0000-0000A2050000}"/>
    <cellStyle name="Normal 37 2" xfId="423" xr:uid="{00000000-0005-0000-0000-0000A3050000}"/>
    <cellStyle name="Normal 38" xfId="434" xr:uid="{00000000-0005-0000-0000-0000A4050000}"/>
    <cellStyle name="Normal 38 2" xfId="585" xr:uid="{00000000-0005-0000-0000-0000A5050000}"/>
    <cellStyle name="Normal 39" xfId="439" xr:uid="{00000000-0005-0000-0000-0000A6050000}"/>
    <cellStyle name="Normal 39 2" xfId="590" xr:uid="{00000000-0005-0000-0000-0000A7050000}"/>
    <cellStyle name="Normal 4" xfId="25" xr:uid="{00000000-0005-0000-0000-0000A8050000}"/>
    <cellStyle name="Normal 4 2" xfId="38" xr:uid="{00000000-0005-0000-0000-0000A9050000}"/>
    <cellStyle name="Normal 4 3" xfId="91" xr:uid="{00000000-0005-0000-0000-0000AA050000}"/>
    <cellStyle name="Normal 4 4" xfId="82" xr:uid="{00000000-0005-0000-0000-0000AB050000}"/>
    <cellStyle name="Normal 40" xfId="372" xr:uid="{00000000-0005-0000-0000-0000AC050000}"/>
    <cellStyle name="Normal 40 2" xfId="546" xr:uid="{00000000-0005-0000-0000-0000AD050000}"/>
    <cellStyle name="Normal 41" xfId="508" xr:uid="{00000000-0005-0000-0000-0000AE050000}"/>
    <cellStyle name="Normal 42" xfId="523" xr:uid="{00000000-0005-0000-0000-0000AF050000}"/>
    <cellStyle name="Normal 43" xfId="558" xr:uid="{00000000-0005-0000-0000-0000B0050000}"/>
    <cellStyle name="Normal 44" xfId="551" xr:uid="{00000000-0005-0000-0000-0000B1050000}"/>
    <cellStyle name="Normal 5" xfId="26" xr:uid="{00000000-0005-0000-0000-0000B2050000}"/>
    <cellStyle name="Normal 5 2" xfId="39" xr:uid="{00000000-0005-0000-0000-0000B3050000}"/>
    <cellStyle name="Normal 5 3" xfId="92" xr:uid="{00000000-0005-0000-0000-0000B4050000}"/>
    <cellStyle name="Normal 5 4" xfId="83" xr:uid="{00000000-0005-0000-0000-0000B5050000}"/>
    <cellStyle name="Normal 6" xfId="27" xr:uid="{00000000-0005-0000-0000-0000B6050000}"/>
    <cellStyle name="Normal 6 2" xfId="40" xr:uid="{00000000-0005-0000-0000-0000B7050000}"/>
    <cellStyle name="Normal 6 3" xfId="93" xr:uid="{00000000-0005-0000-0000-0000B8050000}"/>
    <cellStyle name="Normal 6 4" xfId="84" xr:uid="{00000000-0005-0000-0000-0000B9050000}"/>
    <cellStyle name="Normal 7" xfId="28" xr:uid="{00000000-0005-0000-0000-0000BA050000}"/>
    <cellStyle name="Normal 7 2" xfId="41" xr:uid="{00000000-0005-0000-0000-0000BB050000}"/>
    <cellStyle name="Normal 7 3" xfId="94" xr:uid="{00000000-0005-0000-0000-0000BC050000}"/>
    <cellStyle name="Normal 7 4" xfId="85" xr:uid="{00000000-0005-0000-0000-0000BD050000}"/>
    <cellStyle name="Normal 8" xfId="29" xr:uid="{00000000-0005-0000-0000-0000BE050000}"/>
    <cellStyle name="Normal 8 2" xfId="42" xr:uid="{00000000-0005-0000-0000-0000BF050000}"/>
    <cellStyle name="Normal 8 3" xfId="95" xr:uid="{00000000-0005-0000-0000-0000C0050000}"/>
    <cellStyle name="Normal 8 4" xfId="86" xr:uid="{00000000-0005-0000-0000-0000C1050000}"/>
    <cellStyle name="Normal 9" xfId="30" xr:uid="{00000000-0005-0000-0000-0000C2050000}"/>
    <cellStyle name="Normal 9 2" xfId="43" xr:uid="{00000000-0005-0000-0000-0000C3050000}"/>
    <cellStyle name="Normal 9 3" xfId="96" xr:uid="{00000000-0005-0000-0000-0000C4050000}"/>
    <cellStyle name="Normal 9 4" xfId="87" xr:uid="{00000000-0005-0000-0000-0000C5050000}"/>
    <cellStyle name="Note" xfId="5" builtinId="10"/>
    <cellStyle name="Note 2" xfId="7" xr:uid="{00000000-0005-0000-0000-0000C7050000}"/>
    <cellStyle name="Note 2 2" xfId="51" xr:uid="{00000000-0005-0000-0000-0000C8050000}"/>
    <cellStyle name="Note 3" xfId="31" xr:uid="{00000000-0005-0000-0000-0000C9050000}"/>
    <cellStyle name="Note 4" xfId="45" xr:uid="{00000000-0005-0000-0000-0000CA050000}"/>
    <cellStyle name="Output" xfId="4" builtinId="21"/>
    <cellStyle name="Percent" xfId="3" builtinId="5"/>
    <cellStyle name="Percent 2" xfId="135" xr:uid="{00000000-0005-0000-0000-0000CD050000}"/>
    <cellStyle name="Percent 3" xfId="75" xr:uid="{00000000-0005-0000-0000-0000CE050000}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180" formatCode="_(* #,##0.000_);_(* \(#,##0.000\);_(* &quot;-&quot;??_);_(@_)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180" formatCode="_(* #,##0.000_);_(* \(#,##0.000\);_(* &quot;-&quot;??_);_(@_)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0" formatCode="_(* #,##0.000_);_(* \(#,##0.00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0" formatCode="_(* #,##0.000_);_(* \(#,##0.00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  <color rgb="FFFF66FF"/>
      <color rgb="FFFF00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418040</xdr:colOff>
      <xdr:row>7</xdr:row>
      <xdr:rowOff>111125</xdr:rowOff>
    </xdr:from>
    <xdr:to>
      <xdr:col>8</xdr:col>
      <xdr:colOff>467708</xdr:colOff>
      <xdr:row>22</xdr:row>
      <xdr:rowOff>1075435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09207" y="1370542"/>
          <a:ext cx="2632001" cy="3725721"/>
        </a:xfrm>
        <a:prstGeom prst="rect">
          <a:avLst/>
        </a:prstGeom>
      </xdr:spPr>
    </xdr:pic>
    <xdr:clientData/>
  </xdr:twoCellAnchor>
  <xdr:twoCellAnchor editAs="oneCell">
    <xdr:from>
      <xdr:col>2</xdr:col>
      <xdr:colOff>26896</xdr:colOff>
      <xdr:row>22</xdr:row>
      <xdr:rowOff>277906</xdr:rowOff>
    </xdr:from>
    <xdr:to>
      <xdr:col>2</xdr:col>
      <xdr:colOff>5871884</xdr:colOff>
      <xdr:row>22</xdr:row>
      <xdr:rowOff>522668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44C54E8-4175-4E61-913E-B9C5349D98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5479" b="-1"/>
        <a:stretch/>
      </xdr:blipFill>
      <xdr:spPr>
        <a:xfrm>
          <a:off x="4141696" y="3263153"/>
          <a:ext cx="5844988" cy="24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143435</xdr:colOff>
      <xdr:row>22</xdr:row>
      <xdr:rowOff>735106</xdr:rowOff>
    </xdr:from>
    <xdr:to>
      <xdr:col>2</xdr:col>
      <xdr:colOff>5416932</xdr:colOff>
      <xdr:row>22</xdr:row>
      <xdr:rowOff>1664827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E980BBC-955D-4CAC-9B69-7124593A3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58235" y="3720353"/>
          <a:ext cx="5273497" cy="929721"/>
        </a:xfrm>
        <a:prstGeom prst="rect">
          <a:avLst/>
        </a:prstGeom>
      </xdr:spPr>
    </xdr:pic>
    <xdr:clientData/>
  </xdr:twoCellAnchor>
  <xdr:twoCellAnchor editAs="oneCell">
    <xdr:from>
      <xdr:col>2</xdr:col>
      <xdr:colOff>430305</xdr:colOff>
      <xdr:row>24</xdr:row>
      <xdr:rowOff>62752</xdr:rowOff>
    </xdr:from>
    <xdr:to>
      <xdr:col>2</xdr:col>
      <xdr:colOff>4816500</xdr:colOff>
      <xdr:row>24</xdr:row>
      <xdr:rowOff>681318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08B9CD-03E1-42EC-8E66-B127891FE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45105" y="6651811"/>
          <a:ext cx="4386195" cy="618566"/>
        </a:xfrm>
        <a:prstGeom prst="rect">
          <a:avLst/>
        </a:prstGeom>
      </xdr:spPr>
    </xdr:pic>
    <xdr:clientData/>
  </xdr:twoCellAnchor>
  <xdr:twoCellAnchor editAs="oneCell">
    <xdr:from>
      <xdr:col>2</xdr:col>
      <xdr:colOff>403411</xdr:colOff>
      <xdr:row>23</xdr:row>
      <xdr:rowOff>313766</xdr:rowOff>
    </xdr:from>
    <xdr:to>
      <xdr:col>2</xdr:col>
      <xdr:colOff>5118846</xdr:colOff>
      <xdr:row>23</xdr:row>
      <xdr:rowOff>1248723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EFE310-6636-4611-814C-F4B43DF80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18211" y="5504331"/>
          <a:ext cx="4715435" cy="934957"/>
        </a:xfrm>
        <a:prstGeom prst="rect">
          <a:avLst/>
        </a:prstGeom>
      </xdr:spPr>
    </xdr:pic>
    <xdr:clientData/>
  </xdr:twoCellAnchor>
  <xdr:twoCellAnchor editAs="oneCell">
    <xdr:from>
      <xdr:col>2</xdr:col>
      <xdr:colOff>268942</xdr:colOff>
      <xdr:row>25</xdr:row>
      <xdr:rowOff>170330</xdr:rowOff>
    </xdr:from>
    <xdr:to>
      <xdr:col>2</xdr:col>
      <xdr:colOff>5459506</xdr:colOff>
      <xdr:row>25</xdr:row>
      <xdr:rowOff>2765612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A264C2A-3B78-44BF-8E7C-BADD8D51C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83742" y="7494495"/>
          <a:ext cx="5190564" cy="2595282"/>
        </a:xfrm>
        <a:prstGeom prst="rect">
          <a:avLst/>
        </a:prstGeom>
      </xdr:spPr>
    </xdr:pic>
    <xdr:clientData/>
  </xdr:twoCellAnchor>
  <xdr:twoCellAnchor editAs="oneCell">
    <xdr:from>
      <xdr:col>2</xdr:col>
      <xdr:colOff>510988</xdr:colOff>
      <xdr:row>30</xdr:row>
      <xdr:rowOff>125506</xdr:rowOff>
    </xdr:from>
    <xdr:to>
      <xdr:col>2</xdr:col>
      <xdr:colOff>5207039</xdr:colOff>
      <xdr:row>30</xdr:row>
      <xdr:rowOff>1075766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83FD56-DCB6-4A33-9DB6-973C3E4B2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25788" y="11573435"/>
          <a:ext cx="4696051" cy="950260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391886</xdr:colOff>
      <xdr:row>32</xdr:row>
      <xdr:rowOff>76199</xdr:rowOff>
    </xdr:from>
    <xdr:to>
      <xdr:col>2</xdr:col>
      <xdr:colOff>5421522</xdr:colOff>
      <xdr:row>32</xdr:row>
      <xdr:rowOff>1127850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2DBD7A-E16C-4A23-9856-C66B184F5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06686" y="12888685"/>
          <a:ext cx="5029636" cy="1051651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26</xdr:row>
      <xdr:rowOff>119742</xdr:rowOff>
    </xdr:from>
    <xdr:to>
      <xdr:col>2</xdr:col>
      <xdr:colOff>5105803</xdr:colOff>
      <xdr:row>26</xdr:row>
      <xdr:rowOff>820843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45CE61-9B1E-43B4-B1AF-0C37D9162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72000" y="10482942"/>
          <a:ext cx="4648603" cy="7011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945569</xdr:colOff>
      <xdr:row>0</xdr:row>
      <xdr:rowOff>22946</xdr:rowOff>
    </xdr:from>
    <xdr:to>
      <xdr:col>16</xdr:col>
      <xdr:colOff>704430</xdr:colOff>
      <xdr:row>17</xdr:row>
      <xdr:rowOff>30738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29114" y="22946"/>
          <a:ext cx="2152667" cy="3298247"/>
        </a:xfrm>
        <a:prstGeom prst="rect">
          <a:avLst/>
        </a:prstGeom>
      </xdr:spPr>
    </xdr:pic>
    <xdr:clientData/>
  </xdr:twoCellAnchor>
  <xdr:twoCellAnchor editAs="oneCell">
    <xdr:from>
      <xdr:col>16</xdr:col>
      <xdr:colOff>714807</xdr:colOff>
      <xdr:row>0</xdr:row>
      <xdr:rowOff>0</xdr:rowOff>
    </xdr:from>
    <xdr:to>
      <xdr:col>20</xdr:col>
      <xdr:colOff>2179</xdr:colOff>
      <xdr:row>8</xdr:row>
      <xdr:rowOff>171896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96921" y="0"/>
          <a:ext cx="2133616" cy="1747851"/>
        </a:xfrm>
        <a:prstGeom prst="rect">
          <a:avLst/>
        </a:prstGeom>
      </xdr:spPr>
    </xdr:pic>
    <xdr:clientData/>
  </xdr:twoCellAnchor>
  <xdr:twoCellAnchor editAs="oneCell">
    <xdr:from>
      <xdr:col>16</xdr:col>
      <xdr:colOff>715672</xdr:colOff>
      <xdr:row>12</xdr:row>
      <xdr:rowOff>178810</xdr:rowOff>
    </xdr:from>
    <xdr:to>
      <xdr:col>20</xdr:col>
      <xdr:colOff>39413</xdr:colOff>
      <xdr:row>21</xdr:row>
      <xdr:rowOff>26420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97786" y="1754765"/>
          <a:ext cx="2181241" cy="1562110"/>
        </a:xfrm>
        <a:prstGeom prst="rect">
          <a:avLst/>
        </a:prstGeom>
      </xdr:spPr>
    </xdr:pic>
    <xdr:clientData/>
  </xdr:twoCellAnchor>
  <xdr:twoCellAnchor editAs="oneCell">
    <xdr:from>
      <xdr:col>13</xdr:col>
      <xdr:colOff>48921</xdr:colOff>
      <xdr:row>0</xdr:row>
      <xdr:rowOff>5629</xdr:rowOff>
    </xdr:from>
    <xdr:to>
      <xdr:col>14</xdr:col>
      <xdr:colOff>915711</xdr:colOff>
      <xdr:row>4</xdr:row>
      <xdr:rowOff>48930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89466" y="5629"/>
          <a:ext cx="2009790" cy="857256"/>
        </a:xfrm>
        <a:prstGeom prst="rect">
          <a:avLst/>
        </a:prstGeom>
      </xdr:spPr>
    </xdr:pic>
    <xdr:clientData/>
  </xdr:twoCellAnchor>
  <xdr:twoCellAnchor editAs="oneCell">
    <xdr:from>
      <xdr:col>13</xdr:col>
      <xdr:colOff>31602</xdr:colOff>
      <xdr:row>4</xdr:row>
      <xdr:rowOff>74900</xdr:rowOff>
    </xdr:from>
    <xdr:to>
      <xdr:col>14</xdr:col>
      <xdr:colOff>912679</xdr:colOff>
      <xdr:row>10</xdr:row>
      <xdr:rowOff>122534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72147" y="888855"/>
          <a:ext cx="2019315" cy="1190634"/>
        </a:xfrm>
        <a:prstGeom prst="rect">
          <a:avLst/>
        </a:prstGeom>
      </xdr:spPr>
    </xdr:pic>
    <xdr:clientData/>
  </xdr:twoCellAnchor>
  <xdr:twoCellAnchor editAs="oneCell">
    <xdr:from>
      <xdr:col>13</xdr:col>
      <xdr:colOff>27704</xdr:colOff>
      <xdr:row>14</xdr:row>
      <xdr:rowOff>131616</xdr:rowOff>
    </xdr:from>
    <xdr:to>
      <xdr:col>14</xdr:col>
      <xdr:colOff>913544</xdr:colOff>
      <xdr:row>29</xdr:row>
      <xdr:rowOff>93018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68249" y="2088571"/>
          <a:ext cx="2028840" cy="2862284"/>
        </a:xfrm>
        <a:prstGeom prst="rect">
          <a:avLst/>
        </a:prstGeom>
      </xdr:spPr>
    </xdr:pic>
    <xdr:clientData/>
  </xdr:twoCellAnchor>
  <xdr:twoCellAnchor editAs="oneCell">
    <xdr:from>
      <xdr:col>14</xdr:col>
      <xdr:colOff>974580</xdr:colOff>
      <xdr:row>25</xdr:row>
      <xdr:rowOff>51955</xdr:rowOff>
    </xdr:from>
    <xdr:to>
      <xdr:col>16</xdr:col>
      <xdr:colOff>676289</xdr:colOff>
      <xdr:row>35</xdr:row>
      <xdr:rowOff>31620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58125" y="3342410"/>
          <a:ext cx="2095515" cy="18907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471259</xdr:colOff>
      <xdr:row>138</xdr:row>
      <xdr:rowOff>0</xdr:rowOff>
    </xdr:from>
    <xdr:to>
      <xdr:col>32</xdr:col>
      <xdr:colOff>192538</xdr:colOff>
      <xdr:row>144</xdr:row>
      <xdr:rowOff>185774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6134" y="7810500"/>
          <a:ext cx="3988480" cy="1764887"/>
        </a:xfrm>
        <a:prstGeom prst="rect">
          <a:avLst/>
        </a:prstGeom>
      </xdr:spPr>
    </xdr:pic>
    <xdr:clientData/>
  </xdr:twoCellAnchor>
  <xdr:oneCellAnchor>
    <xdr:from>
      <xdr:col>8</xdr:col>
      <xdr:colOff>1087211</xdr:colOff>
      <xdr:row>33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2272282" y="465908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8</xdr:col>
      <xdr:colOff>1087211</xdr:colOff>
      <xdr:row>33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2260036" y="54238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erva/Downloads/Starbucks%20%2380597%20Bid%20Propos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tes, Assumptions"/>
      <sheetName val="Demolition"/>
      <sheetName val="Exterior and Interceptor"/>
      <sheetName val="First Floor Underslab"/>
      <sheetName val="Fixture+Pipe Pricing"/>
      <sheetName val="Pricing Master Sheet"/>
      <sheetName val="Fixtures + Piping"/>
      <sheetName val="Unit Prices"/>
    </sheetNames>
    <sheetDataSet>
      <sheetData sheetId="0"/>
      <sheetData sheetId="1"/>
      <sheetData sheetId="2"/>
      <sheetData sheetId="3"/>
      <sheetData sheetId="4"/>
      <sheetData sheetId="5">
        <row r="38">
          <cell r="B38" t="str">
            <v>Espresso Machine (19742)</v>
          </cell>
        </row>
        <row r="43">
          <cell r="B43" t="str">
            <v>Brewer (22885)</v>
          </cell>
        </row>
        <row r="49">
          <cell r="B49" t="str">
            <v>Ice Maker (23186)</v>
          </cell>
        </row>
        <row r="51">
          <cell r="B51" t="str">
            <v>Dishwasher (24007)</v>
          </cell>
        </row>
        <row r="82">
          <cell r="B82" t="str">
            <v>Water Closet (22558)</v>
          </cell>
        </row>
        <row r="88">
          <cell r="B88" t="str">
            <v>Sink Restroom (10116)</v>
          </cell>
        </row>
        <row r="90">
          <cell r="B90" t="str">
            <v>Sink Rinse Drop In (10549)</v>
          </cell>
        </row>
        <row r="96">
          <cell r="B96" t="str">
            <v>Sink 3 Comp (13264)</v>
          </cell>
        </row>
        <row r="101">
          <cell r="B101" t="str">
            <v>Sink Hand (14688)</v>
          </cell>
        </row>
        <row r="105">
          <cell r="B105" t="str">
            <v>Sink Water Filling Station (18743)</v>
          </cell>
        </row>
        <row r="107">
          <cell r="B107" t="str">
            <v>Sink Rinse Drop In (22630)</v>
          </cell>
        </row>
        <row r="109">
          <cell r="B109" t="str">
            <v>Sink Countertop Rinser (22768)</v>
          </cell>
        </row>
      </sheetData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B4:E238" totalsRowShown="0" headerRowDxfId="28" dataDxfId="27" tableBorderDxfId="26">
  <autoFilter ref="B4:E238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Material" dataDxfId="25"/>
    <tableColumn id="2" xr3:uid="{00000000-0010-0000-0000-000002000000}" name="Size" dataDxfId="24"/>
    <tableColumn id="3" xr3:uid="{00000000-0010-0000-0000-000003000000}" name="Labor rate" dataDxfId="23" dataCellStyle="Comma"/>
    <tableColumn id="4" xr3:uid="{00000000-0010-0000-0000-000004000000}" name="Material Cost" dataDxfId="22" dataCellStyle="Comma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H4:L255" totalsRowShown="0" headerRowDxfId="21" dataDxfId="20" tableBorderDxfId="19">
  <autoFilter ref="H4:L25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100-000001000000}" name="Material" dataDxfId="18"/>
    <tableColumn id="2" xr3:uid="{00000000-0010-0000-0100-000002000000}" name="Size" dataDxfId="17"/>
    <tableColumn id="4" xr3:uid="{00000000-0010-0000-0100-000004000000}" name="Description" dataDxfId="16"/>
    <tableColumn id="5" xr3:uid="{00000000-0010-0000-0100-000005000000}" name="Labor rate" dataDxfId="15"/>
    <tableColumn id="3" xr3:uid="{00000000-0010-0000-0100-000003000000}" name="Material Cost" dataDxfId="14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N4:Q101" totalsRowShown="0" headerRowDxfId="13" dataDxfId="11" headerRowBorderDxfId="12">
  <autoFilter ref="N4:Q101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Fixture" dataDxfId="10"/>
    <tableColumn id="2" xr3:uid="{00000000-0010-0000-0200-000002000000}" name="Notes" dataDxfId="9"/>
    <tableColumn id="3" xr3:uid="{00000000-0010-0000-0200-000003000000}" name="Labor Rate" dataDxfId="8" dataCellStyle="Comma"/>
    <tableColumn id="4" xr3:uid="{00000000-0010-0000-0200-000004000000}" name="Material Cost" dataDxfId="7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5" displayName="Table25" ref="S4:V111" totalsRowShown="0" headerRowDxfId="6" dataDxfId="4" headerRowBorderDxfId="5">
  <autoFilter ref="S4:V111" xr:uid="{00000000-0009-0000-0100-000004000000}"/>
  <tableColumns count="4">
    <tableColumn id="1" xr3:uid="{00000000-0010-0000-0300-000001000000}" name="Equipment" dataDxfId="3"/>
    <tableColumn id="2" xr3:uid="{00000000-0010-0000-0300-000002000000}" name="Notes" dataDxfId="2"/>
    <tableColumn id="3" xr3:uid="{00000000-0010-0000-0300-000003000000}" name="Labor Rate" dataDxfId="1" dataCellStyle="Comma"/>
    <tableColumn id="4" xr3:uid="{00000000-0010-0000-0300-000004000000}" name="Material Cost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upplyhouse.com/Zurn-12-460XL-1-2-Wilkins-12-460XL-Spill-Resistant-Pressure-Vacuum-Breaker-Assembly-Lead-Fre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W106"/>
  <sheetViews>
    <sheetView tabSelected="1" topLeftCell="A37" zoomScale="85" zoomScaleNormal="85" zoomScaleSheetLayoutView="85" workbookViewId="0">
      <selection activeCell="A71" sqref="A71:XFD71"/>
    </sheetView>
  </sheetViews>
  <sheetFormatPr defaultColWidth="9.140625" defaultRowHeight="15" x14ac:dyDescent="0.25"/>
  <cols>
    <col min="1" max="1" width="3.140625" customWidth="1"/>
    <col min="2" max="2" width="37.85546875" customWidth="1"/>
    <col min="3" max="3" width="99.85546875" customWidth="1"/>
    <col min="4" max="4" width="8.85546875" customWidth="1"/>
    <col min="5" max="5" width="8.140625" customWidth="1"/>
    <col min="6" max="6" width="16" bestFit="1" customWidth="1"/>
    <col min="7" max="7" width="21.85546875" customWidth="1"/>
    <col min="8" max="8" width="32.140625" customWidth="1"/>
    <col min="9" max="9" width="14.5703125" style="185" customWidth="1"/>
    <col min="10" max="10" width="16.140625" bestFit="1" customWidth="1"/>
    <col min="11" max="11" width="14.42578125" bestFit="1" customWidth="1"/>
    <col min="15" max="15" width="30.5703125" customWidth="1"/>
    <col min="16" max="16" width="47.140625" customWidth="1"/>
    <col min="19" max="19" width="16.42578125" customWidth="1"/>
    <col min="20" max="20" width="20.42578125" customWidth="1"/>
    <col min="21" max="21" width="19" customWidth="1"/>
    <col min="22" max="22" width="25.7109375" customWidth="1"/>
    <col min="23" max="23" width="19.140625" customWidth="1"/>
  </cols>
  <sheetData>
    <row r="1" spans="2:23" ht="11.25" customHeight="1" thickBot="1" x14ac:dyDescent="0.3">
      <c r="G1" s="135"/>
      <c r="J1" s="11"/>
      <c r="K1" s="11"/>
    </row>
    <row r="2" spans="2:23" ht="15.75" thickBot="1" x14ac:dyDescent="0.3">
      <c r="B2" s="91" t="s">
        <v>15</v>
      </c>
      <c r="C2" s="92" t="s">
        <v>706</v>
      </c>
      <c r="G2" s="428" t="s">
        <v>76</v>
      </c>
      <c r="H2" s="59">
        <v>2652</v>
      </c>
    </row>
    <row r="3" spans="2:23" ht="15.75" thickBot="1" x14ac:dyDescent="0.3">
      <c r="B3" s="93" t="s">
        <v>16</v>
      </c>
      <c r="C3" s="94" t="s">
        <v>707</v>
      </c>
      <c r="G3" s="428" t="s">
        <v>77</v>
      </c>
      <c r="H3" s="98">
        <v>1</v>
      </c>
    </row>
    <row r="4" spans="2:23" ht="15.75" thickBot="1" x14ac:dyDescent="0.3">
      <c r="B4" s="95" t="s">
        <v>17</v>
      </c>
      <c r="C4" s="311" t="s">
        <v>708</v>
      </c>
      <c r="G4" s="428" t="s">
        <v>0</v>
      </c>
      <c r="H4" s="112">
        <v>172.5</v>
      </c>
      <c r="O4" s="279"/>
    </row>
    <row r="5" spans="2:23" ht="15.75" thickBot="1" x14ac:dyDescent="0.3">
      <c r="B5" s="1"/>
      <c r="C5" s="223"/>
      <c r="G5" s="428" t="s">
        <v>128</v>
      </c>
      <c r="H5" s="229"/>
    </row>
    <row r="6" spans="2:23" ht="15.75" thickBot="1" x14ac:dyDescent="0.3">
      <c r="B6" s="54"/>
      <c r="C6" s="54"/>
      <c r="G6" s="381"/>
      <c r="O6" s="621" t="s">
        <v>479</v>
      </c>
      <c r="P6" s="622"/>
      <c r="Q6" s="622"/>
      <c r="R6" s="622"/>
      <c r="S6" s="622"/>
      <c r="T6" s="622"/>
      <c r="U6" s="622"/>
      <c r="V6" s="622"/>
      <c r="W6" s="623"/>
    </row>
    <row r="7" spans="2:23" s="11" customFormat="1" ht="20.25" customHeight="1" thickBot="1" x14ac:dyDescent="0.3">
      <c r="B7" s="100" t="s">
        <v>4</v>
      </c>
      <c r="C7" s="101" t="s">
        <v>5</v>
      </c>
      <c r="D7" s="101" t="s">
        <v>6</v>
      </c>
      <c r="E7" s="101" t="s">
        <v>7</v>
      </c>
      <c r="F7" s="101" t="s">
        <v>1</v>
      </c>
      <c r="G7" s="427" t="s">
        <v>2</v>
      </c>
      <c r="H7" s="102" t="s">
        <v>3</v>
      </c>
      <c r="I7" s="186"/>
      <c r="O7" s="443" t="s">
        <v>4</v>
      </c>
      <c r="P7" s="442" t="s">
        <v>5</v>
      </c>
      <c r="Q7" s="485" t="s">
        <v>6</v>
      </c>
      <c r="R7" s="442" t="s">
        <v>7</v>
      </c>
      <c r="S7" s="486" t="s">
        <v>1</v>
      </c>
      <c r="T7" s="486" t="s">
        <v>2</v>
      </c>
      <c r="U7" s="485" t="s">
        <v>3</v>
      </c>
      <c r="V7" s="487" t="s">
        <v>529</v>
      </c>
      <c r="W7" s="485" t="s">
        <v>530</v>
      </c>
    </row>
    <row r="8" spans="2:23" x14ac:dyDescent="0.25">
      <c r="B8" s="103" t="s">
        <v>87</v>
      </c>
      <c r="C8" s="16" t="s">
        <v>102</v>
      </c>
      <c r="D8" s="6"/>
      <c r="E8" s="7">
        <f>Demolition!E5</f>
        <v>159.5</v>
      </c>
      <c r="F8" s="411">
        <f>Demolition!G27</f>
        <v>15.318999999999999</v>
      </c>
      <c r="G8" s="426">
        <f>Demolition!K27</f>
        <v>0</v>
      </c>
      <c r="H8" s="104">
        <f t="shared" ref="H8:H16" si="0">G8+(F8*$H$4)</f>
        <v>2642.5274999999997</v>
      </c>
      <c r="I8" s="185">
        <f>Demolition!M27</f>
        <v>2642.5275000000001</v>
      </c>
      <c r="O8" s="491" t="s">
        <v>87</v>
      </c>
      <c r="P8" s="444" t="s">
        <v>102</v>
      </c>
      <c r="Q8" s="492">
        <f>Demolition!D27</f>
        <v>8</v>
      </c>
      <c r="R8" s="493">
        <f>Demolition!E27</f>
        <v>396.3</v>
      </c>
      <c r="S8" s="494">
        <f>Demolition!G27</f>
        <v>15.318999999999999</v>
      </c>
      <c r="T8" s="495">
        <f>Demolition!K27</f>
        <v>0</v>
      </c>
      <c r="U8" s="488">
        <f>T8+S8*$H$4</f>
        <v>2642.5274999999997</v>
      </c>
      <c r="V8" s="504">
        <f>U8+(U8/SUM($U$8:$U$40))*SUM($H$19:$H$21)</f>
        <v>3715.4592319667117</v>
      </c>
      <c r="W8" s="502">
        <f>V8+V8/SUM($V$8:$V$40)*$V$41</f>
        <v>5038.3797268528033</v>
      </c>
    </row>
    <row r="9" spans="2:23" x14ac:dyDescent="0.25">
      <c r="B9" s="103" t="s">
        <v>100</v>
      </c>
      <c r="C9" s="16" t="s">
        <v>101</v>
      </c>
      <c r="D9" s="6"/>
      <c r="E9" s="7">
        <f>'Exterior and Interceptor'!H310</f>
        <v>0</v>
      </c>
      <c r="F9" s="411">
        <f>'Exterior and Interceptor'!J310</f>
        <v>0</v>
      </c>
      <c r="G9" s="426">
        <f>'Exterior and Interceptor'!N310</f>
        <v>0</v>
      </c>
      <c r="H9" s="104">
        <f t="shared" si="0"/>
        <v>0</v>
      </c>
      <c r="I9" s="185">
        <f>'Exterior and Interceptor'!P310</f>
        <v>0</v>
      </c>
      <c r="O9" s="626" t="s">
        <v>592</v>
      </c>
      <c r="P9" s="627"/>
      <c r="Q9" s="6"/>
      <c r="R9" s="7"/>
      <c r="S9" s="411"/>
      <c r="T9" s="426"/>
      <c r="U9" s="489"/>
      <c r="V9" s="507"/>
      <c r="W9" s="500"/>
    </row>
    <row r="10" spans="2:23" x14ac:dyDescent="0.25">
      <c r="B10" s="114" t="s">
        <v>519</v>
      </c>
      <c r="C10" s="112" t="s">
        <v>111</v>
      </c>
      <c r="D10" s="6"/>
      <c r="E10" s="7">
        <f>'First Floor Underslab'!H321</f>
        <v>216.89999999999998</v>
      </c>
      <c r="F10" s="411">
        <f>'First Floor Underslab'!J321</f>
        <v>0</v>
      </c>
      <c r="G10" s="426">
        <f>'First Floor Underslab'!N321</f>
        <v>0</v>
      </c>
      <c r="H10" s="104">
        <f t="shared" si="0"/>
        <v>0</v>
      </c>
      <c r="I10" s="185">
        <f>'First Floor Underslab'!P321</f>
        <v>0</v>
      </c>
      <c r="O10" s="624" t="s">
        <v>464</v>
      </c>
      <c r="P10" s="625"/>
      <c r="Q10" s="6"/>
      <c r="R10" s="7">
        <f>'Exterior and Interceptor'!H109</f>
        <v>0</v>
      </c>
      <c r="S10" s="411">
        <f>'Exterior and Interceptor'!J119</f>
        <v>0</v>
      </c>
      <c r="T10" s="426">
        <f>'Exterior and Interceptor'!N119</f>
        <v>0</v>
      </c>
      <c r="U10" s="489">
        <f t="shared" ref="U10:U15" si="1">T10+S10*$H$4</f>
        <v>0</v>
      </c>
      <c r="V10" s="505">
        <f>U10+(U10/SUM($U$8:$U$40))*SUM($H$19:$H$21)</f>
        <v>0</v>
      </c>
      <c r="W10" s="501">
        <f>V10+V10/SUM($V$8:$V$40)*$V$41</f>
        <v>0</v>
      </c>
    </row>
    <row r="11" spans="2:23" x14ac:dyDescent="0.25">
      <c r="B11" s="103" t="s">
        <v>83</v>
      </c>
      <c r="C11" s="16" t="s">
        <v>103</v>
      </c>
      <c r="D11" s="6">
        <f>'Fixture+Pipe Qty'!F76</f>
        <v>21</v>
      </c>
      <c r="E11" s="7"/>
      <c r="F11" s="411">
        <f>'Fixture+Pipe Qty'!I76</f>
        <v>42.809999999999995</v>
      </c>
      <c r="G11" s="426">
        <f>'Fixture+Pipe Qty'!M76</f>
        <v>0</v>
      </c>
      <c r="H11" s="104">
        <f t="shared" si="0"/>
        <v>7384.7249999999995</v>
      </c>
      <c r="I11" s="185">
        <f>'Fixture+Pipe Qty'!O76</f>
        <v>7384.7249999999995</v>
      </c>
      <c r="J11" s="108"/>
      <c r="O11" s="624" t="s">
        <v>593</v>
      </c>
      <c r="P11" s="625"/>
      <c r="Q11" s="6"/>
      <c r="R11" s="7">
        <f>'Exterior and Interceptor'!H179</f>
        <v>0</v>
      </c>
      <c r="S11" s="411">
        <f>'Exterior and Interceptor'!J188</f>
        <v>0</v>
      </c>
      <c r="T11" s="426">
        <f>'Exterior and Interceptor'!N188</f>
        <v>0</v>
      </c>
      <c r="U11" s="489">
        <f t="shared" si="1"/>
        <v>0</v>
      </c>
      <c r="V11" s="505">
        <f>U11+(U11/SUM($U$8:$U$40))*SUM($H$19:$H$21)</f>
        <v>0</v>
      </c>
      <c r="W11" s="501">
        <f>V11+V11/SUM($V$8:$V$40)*$V$41</f>
        <v>0</v>
      </c>
    </row>
    <row r="12" spans="2:23" x14ac:dyDescent="0.25">
      <c r="B12" s="103" t="s">
        <v>12</v>
      </c>
      <c r="C12" s="16" t="s">
        <v>104</v>
      </c>
      <c r="D12" s="6">
        <f>'Fixture+Pipe Qty'!F141</f>
        <v>27</v>
      </c>
      <c r="E12" s="7"/>
      <c r="F12" s="411">
        <f>'Fixture+Pipe Qty'!I141</f>
        <v>35.25</v>
      </c>
      <c r="G12" s="426">
        <f>'Fixture+Pipe Qty'!M141</f>
        <v>0</v>
      </c>
      <c r="H12" s="104">
        <f t="shared" si="0"/>
        <v>6080.625</v>
      </c>
      <c r="I12" s="185">
        <f>'Fixture+Pipe Qty'!O141</f>
        <v>6080.625</v>
      </c>
      <c r="O12" s="624" t="s">
        <v>466</v>
      </c>
      <c r="P12" s="625"/>
      <c r="Q12" s="6"/>
      <c r="R12" s="7">
        <f>'Exterior and Interceptor'!H239</f>
        <v>0</v>
      </c>
      <c r="S12" s="411">
        <f>'Exterior and Interceptor'!J248</f>
        <v>0</v>
      </c>
      <c r="T12" s="426">
        <f>'Exterior and Interceptor'!N248</f>
        <v>0</v>
      </c>
      <c r="U12" s="489">
        <f t="shared" si="1"/>
        <v>0</v>
      </c>
      <c r="V12" s="489">
        <f>U12+(U12/SUM($U$8:$U$40))*SUM($H$19:$H$21)</f>
        <v>0</v>
      </c>
      <c r="W12" s="503">
        <f>V12+V12/SUM($V$8:$V$40)*$V$41</f>
        <v>0</v>
      </c>
    </row>
    <row r="13" spans="2:23" x14ac:dyDescent="0.25">
      <c r="B13" s="103" t="s">
        <v>47</v>
      </c>
      <c r="C13" s="16"/>
      <c r="D13" s="6">
        <f>'Fixture+Pipe Qty'!F242</f>
        <v>38</v>
      </c>
      <c r="E13" s="7"/>
      <c r="F13" s="411">
        <f>'Fixture+Pipe Qty'!I242</f>
        <v>28.122</v>
      </c>
      <c r="G13" s="426">
        <f>'Fixture+Pipe Qty'!M242</f>
        <v>0</v>
      </c>
      <c r="H13" s="104">
        <f t="shared" si="0"/>
        <v>4851.0450000000001</v>
      </c>
      <c r="I13" s="185">
        <f>'Fixture+Pipe Qty'!O242</f>
        <v>4851.0449999999992</v>
      </c>
      <c r="J13" s="108">
        <f>Demolition!M34+'Exterior and Interceptor'!P363+'First Floor Underslab'!P330+'Fixture+Pipe Qty'!O643</f>
        <v>60822.113100000002</v>
      </c>
      <c r="O13" s="624" t="s">
        <v>467</v>
      </c>
      <c r="P13" s="625"/>
      <c r="Q13" s="6"/>
      <c r="R13" s="7">
        <f>'Exterior and Interceptor'!H297</f>
        <v>0</v>
      </c>
      <c r="S13" s="411">
        <f>'Exterior and Interceptor'!J307</f>
        <v>0</v>
      </c>
      <c r="T13" s="426">
        <f>'Exterior and Interceptor'!N307</f>
        <v>0</v>
      </c>
      <c r="U13" s="489">
        <f t="shared" si="1"/>
        <v>0</v>
      </c>
      <c r="V13" s="506"/>
      <c r="W13" s="72"/>
    </row>
    <row r="14" spans="2:23" x14ac:dyDescent="0.25">
      <c r="B14" s="103" t="s">
        <v>1029</v>
      </c>
      <c r="C14" s="112"/>
      <c r="D14" s="6"/>
      <c r="E14" s="7">
        <f>'Fixture+Pipe Qty'!G558</f>
        <v>1421.8600000000001</v>
      </c>
      <c r="F14" s="616">
        <f>'Fixture+Pipe Qty'!I558+'Fixture+Pipe Qty'!I634</f>
        <v>235.96121000000002</v>
      </c>
      <c r="G14" s="426">
        <f>'Fixture+Pipe Qty'!M558+'Fixture+Pipe Qty'!M634</f>
        <v>0</v>
      </c>
      <c r="H14" s="104">
        <f t="shared" si="0"/>
        <v>40703.308725000003</v>
      </c>
      <c r="I14" s="185">
        <f>'Fixture+Pipe Qty'!O558+'Fixture+Pipe Qty'!O634</f>
        <v>39202.558725000003</v>
      </c>
      <c r="J14" s="3">
        <f>SUM(H8:H16)</f>
        <v>62322.863100000002</v>
      </c>
      <c r="K14" s="108">
        <f>J14-J13</f>
        <v>1500.75</v>
      </c>
      <c r="O14" s="103" t="s">
        <v>83</v>
      </c>
      <c r="P14" s="16" t="s">
        <v>103</v>
      </c>
      <c r="Q14" s="6">
        <f>'Fixtures + Piping computation'!E51</f>
        <v>21</v>
      </c>
      <c r="R14" s="7"/>
      <c r="S14" s="411">
        <f>'Fixture+Pipe Qty'!I76</f>
        <v>42.809999999999995</v>
      </c>
      <c r="T14" s="426">
        <f>'Fixture+Pipe Qty'!M76</f>
        <v>0</v>
      </c>
      <c r="U14" s="489">
        <f t="shared" si="1"/>
        <v>7384.7249999999995</v>
      </c>
      <c r="V14" s="505">
        <f>U14+(U14/SUM($U$8:$U$40))*SUM($H$19:$H$21)</f>
        <v>10383.106581401849</v>
      </c>
      <c r="W14" s="501">
        <f>V14+V14/SUM($V$8:$V$40)*$V$41</f>
        <v>14080.098969029867</v>
      </c>
    </row>
    <row r="15" spans="2:23" x14ac:dyDescent="0.25">
      <c r="B15" s="103" t="s">
        <v>143</v>
      </c>
      <c r="C15" s="112">
        <f>'Exterior and Interceptor'!D342</f>
        <v>0</v>
      </c>
      <c r="D15" s="6">
        <v>0</v>
      </c>
      <c r="E15" s="7"/>
      <c r="F15" s="411">
        <f>'Exterior and Interceptor'!J353</f>
        <v>0</v>
      </c>
      <c r="G15" s="426">
        <f>'Exterior and Interceptor'!N353</f>
        <v>0</v>
      </c>
      <c r="H15" s="104">
        <f t="shared" si="0"/>
        <v>0</v>
      </c>
      <c r="I15" s="185">
        <f>'Exterior and Interceptor'!P353</f>
        <v>0</v>
      </c>
      <c r="J15" s="3"/>
      <c r="K15" s="108"/>
      <c r="O15" s="103" t="s">
        <v>12</v>
      </c>
      <c r="P15" s="16" t="s">
        <v>104</v>
      </c>
      <c r="Q15" s="6">
        <f>'Fixtures + Piping computation'!E28</f>
        <v>27</v>
      </c>
      <c r="R15" s="7"/>
      <c r="S15" s="411">
        <f>'Fixture+Pipe Qty'!I141</f>
        <v>35.25</v>
      </c>
      <c r="T15" s="426">
        <f>'Fixture+Pipe Qty'!M141</f>
        <v>0</v>
      </c>
      <c r="U15" s="489">
        <f t="shared" si="1"/>
        <v>6080.625</v>
      </c>
      <c r="V15" s="489">
        <f>U15+(U15/SUM($U$8:$U$40))*SUM($H$19:$H$21)</f>
        <v>8549.5096237891903</v>
      </c>
      <c r="W15" s="501">
        <f>V15+V15/SUM($V$8:$V$40)*$V$41</f>
        <v>11593.63439986692</v>
      </c>
    </row>
    <row r="16" spans="2:23" x14ac:dyDescent="0.25">
      <c r="B16" s="103" t="s">
        <v>105</v>
      </c>
      <c r="C16" s="112" t="s">
        <v>122</v>
      </c>
      <c r="D16" s="6"/>
      <c r="E16" s="7"/>
      <c r="F16" s="411">
        <f>Demolition!G32+'Exterior and Interceptor'!J361+'First Floor Underslab'!J328+'Fixture+Pipe Qty'!I642</f>
        <v>3.8297499999999998</v>
      </c>
      <c r="G16" s="426">
        <f>Demolition!K32+'Exterior and Interceptor'!N361+'First Floor Underslab'!N328+'Fixture+Pipe Qty'!M642</f>
        <v>0</v>
      </c>
      <c r="H16" s="104">
        <f t="shared" si="0"/>
        <v>660.63187499999992</v>
      </c>
      <c r="I16" s="185">
        <f>Demolition!M32+'Exterior and Interceptor'!P361+'First Floor Underslab'!P328+'Fixture+Pipe Qty'!O642</f>
        <v>660.63187499999992</v>
      </c>
      <c r="O16" s="445" t="s">
        <v>47</v>
      </c>
      <c r="P16" s="112"/>
      <c r="Q16" s="6"/>
      <c r="R16" s="7"/>
      <c r="S16" s="411"/>
      <c r="T16" s="426"/>
      <c r="U16" s="489"/>
      <c r="V16" s="506"/>
      <c r="W16" s="500"/>
    </row>
    <row r="17" spans="2:23" x14ac:dyDescent="0.25">
      <c r="B17" s="103"/>
      <c r="C17" s="16"/>
      <c r="D17" s="6"/>
      <c r="E17" s="7"/>
      <c r="F17" s="28"/>
      <c r="G17" s="429"/>
      <c r="H17" s="104"/>
      <c r="I17" s="185">
        <f>SUM(I8:I16)</f>
        <v>60822.113099999995</v>
      </c>
      <c r="O17" s="617" t="s">
        <v>461</v>
      </c>
      <c r="P17" s="618"/>
      <c r="Q17" s="6">
        <f>'Fixture+Pipe Qty'!F159</f>
        <v>26</v>
      </c>
      <c r="R17" s="7"/>
      <c r="S17" s="411">
        <f>'Fixture+Pipe Qty'!I159</f>
        <v>15.75</v>
      </c>
      <c r="T17" s="426">
        <f>'Fixture+Pipe Qty'!M159</f>
        <v>0</v>
      </c>
      <c r="U17" s="489">
        <f t="shared" ref="U17:U18" si="2">T17+S17*$H$4</f>
        <v>2716.875</v>
      </c>
      <c r="V17" s="505">
        <f t="shared" ref="V17:V24" si="3">U17+(U17/SUM($U$8:$U$40))*SUM($H$19:$H$21)</f>
        <v>3819.9936616930427</v>
      </c>
      <c r="W17" s="501">
        <f>V17+V17/SUM($V$8:$V$40)*$V$41</f>
        <v>5180.1345190894754</v>
      </c>
    </row>
    <row r="18" spans="2:23" x14ac:dyDescent="0.25">
      <c r="B18" s="103" t="s">
        <v>14</v>
      </c>
      <c r="C18" s="16"/>
      <c r="D18" s="8"/>
      <c r="E18" s="7"/>
      <c r="F18" s="28"/>
      <c r="G18" s="429"/>
      <c r="H18" s="104"/>
      <c r="O18" s="617" t="s">
        <v>460</v>
      </c>
      <c r="P18" s="618"/>
      <c r="Q18" s="6">
        <f>'Fixture+Pipe Qty'!F172</f>
        <v>8</v>
      </c>
      <c r="R18" s="7"/>
      <c r="S18" s="411">
        <f>'Fixture+Pipe Qty'!I172</f>
        <v>4</v>
      </c>
      <c r="T18" s="426">
        <f>'Fixture+Pipe Qty'!M172</f>
        <v>0</v>
      </c>
      <c r="U18" s="489">
        <f t="shared" si="2"/>
        <v>690</v>
      </c>
      <c r="V18" s="505">
        <f t="shared" si="3"/>
        <v>970.15712042997893</v>
      </c>
      <c r="W18" s="501">
        <f>V18+V18/SUM($V$8:$V$40)*$V$41</f>
        <v>1315.5897191338347</v>
      </c>
    </row>
    <row r="19" spans="2:23" x14ac:dyDescent="0.25">
      <c r="B19" s="103"/>
      <c r="C19" s="12" t="s">
        <v>75</v>
      </c>
      <c r="D19" s="8"/>
      <c r="E19" s="7"/>
      <c r="F19" s="230"/>
      <c r="G19" s="426"/>
      <c r="H19" s="104">
        <f>G19*F19</f>
        <v>0</v>
      </c>
      <c r="O19" s="624" t="s">
        <v>462</v>
      </c>
      <c r="P19" s="625"/>
      <c r="Q19" s="6">
        <f>'Fixture+Pipe Qty'!F199</f>
        <v>18</v>
      </c>
      <c r="R19" s="7"/>
      <c r="S19" s="411">
        <f>'Fixture+Pipe Qty'!I199</f>
        <v>8.3719999999999999</v>
      </c>
      <c r="T19" s="426">
        <f>'Fixture+Pipe Qty'!M199</f>
        <v>0</v>
      </c>
      <c r="U19" s="489">
        <f>T19+S19*$H$4</f>
        <v>1444.17</v>
      </c>
      <c r="V19" s="505">
        <f t="shared" si="3"/>
        <v>2030.5388530599462</v>
      </c>
      <c r="W19" s="501">
        <f>V19+V19/SUM($V$8:$V$40)*$V$41</f>
        <v>2753.5292821471166</v>
      </c>
    </row>
    <row r="20" spans="2:23" x14ac:dyDescent="0.25">
      <c r="B20" s="103"/>
      <c r="C20" s="12" t="s">
        <v>35</v>
      </c>
      <c r="D20" s="8"/>
      <c r="E20" s="7"/>
      <c r="F20" s="28"/>
      <c r="G20" s="429"/>
      <c r="H20" s="104">
        <f>SUM(H8:H16)*0.005</f>
        <v>311.61431550000003</v>
      </c>
      <c r="O20" s="624" t="s">
        <v>463</v>
      </c>
      <c r="P20" s="625"/>
      <c r="Q20" s="6">
        <f>'Fixture+Pipe Qty'!F209</f>
        <v>0</v>
      </c>
      <c r="R20" s="7"/>
      <c r="S20" s="411">
        <f>'Fixture+Pipe Qty'!I209</f>
        <v>0</v>
      </c>
      <c r="T20" s="426">
        <f>'Fixture+Pipe Qty'!M209</f>
        <v>0</v>
      </c>
      <c r="U20" s="489">
        <f>T20+S20*$H$4</f>
        <v>0</v>
      </c>
      <c r="V20" s="489">
        <f t="shared" si="3"/>
        <v>0</v>
      </c>
      <c r="W20" s="501">
        <f>V20+V20/SUM($V$8:$V$39)*$V$41</f>
        <v>0</v>
      </c>
    </row>
    <row r="21" spans="2:23" x14ac:dyDescent="0.25">
      <c r="B21" s="103"/>
      <c r="C21" s="12" t="s">
        <v>199</v>
      </c>
      <c r="D21" s="8"/>
      <c r="E21" s="7"/>
      <c r="F21" s="411">
        <f>(SUM(F8:F16)/4)</f>
        <v>90.322990000000004</v>
      </c>
      <c r="G21" s="429"/>
      <c r="H21" s="104">
        <f>F21*H4</f>
        <v>15580.715775000001</v>
      </c>
      <c r="O21" s="624" t="s">
        <v>587</v>
      </c>
      <c r="P21" s="625"/>
      <c r="Q21" s="6">
        <f>'Fixture+Pipe Qty'!F219</f>
        <v>0</v>
      </c>
      <c r="R21" s="7"/>
      <c r="S21" s="411">
        <f>'Fixture+Pipe Qty'!I219</f>
        <v>0</v>
      </c>
      <c r="T21" s="426">
        <f>'Fixture+Pipe Qty'!M219</f>
        <v>0</v>
      </c>
      <c r="U21" s="489">
        <f t="shared" ref="U21:U23" si="4">T21+S21*$H$4</f>
        <v>0</v>
      </c>
      <c r="V21" s="489">
        <f t="shared" si="3"/>
        <v>0</v>
      </c>
      <c r="W21" s="501">
        <f>V21+V21/SUM($V$8:$V$39)*$V$41</f>
        <v>0</v>
      </c>
    </row>
    <row r="22" spans="2:23" x14ac:dyDescent="0.25">
      <c r="B22" s="103"/>
      <c r="C22" s="12" t="s">
        <v>901</v>
      </c>
      <c r="D22" s="8"/>
      <c r="E22" s="7"/>
      <c r="F22" s="605">
        <v>0.02</v>
      </c>
      <c r="G22" s="429"/>
      <c r="H22" s="104">
        <f>SUM(H8:H16)*F22</f>
        <v>1246.4572620000001</v>
      </c>
      <c r="O22" s="570"/>
      <c r="P22" s="571"/>
      <c r="Q22" s="6"/>
      <c r="R22" s="7"/>
      <c r="S22" s="411"/>
      <c r="T22" s="426"/>
      <c r="U22" s="489"/>
      <c r="V22" s="489"/>
      <c r="W22" s="501"/>
    </row>
    <row r="23" spans="2:23" x14ac:dyDescent="0.25">
      <c r="B23" s="103"/>
      <c r="C23" s="12" t="s">
        <v>36</v>
      </c>
      <c r="D23" s="8"/>
      <c r="E23" s="7"/>
      <c r="F23" s="28"/>
      <c r="G23" s="430">
        <v>0.3</v>
      </c>
      <c r="H23" s="104">
        <f>SUM(H8:H16)*G23</f>
        <v>18696.858929999999</v>
      </c>
      <c r="O23" s="624" t="s">
        <v>588</v>
      </c>
      <c r="P23" s="625"/>
      <c r="Q23" s="6">
        <f>'Fixture+Pipe Qty'!F229</f>
        <v>0</v>
      </c>
      <c r="R23" s="7"/>
      <c r="S23" s="411">
        <f>'Fixture+Pipe Qty'!I229</f>
        <v>0</v>
      </c>
      <c r="T23" s="426">
        <f>'Fixture+Pipe Qty'!M229</f>
        <v>0</v>
      </c>
      <c r="U23" s="489">
        <f t="shared" si="4"/>
        <v>0</v>
      </c>
      <c r="V23" s="489">
        <f t="shared" si="3"/>
        <v>0</v>
      </c>
      <c r="W23" s="501">
        <f>V23+V23/SUM($V$8:$V$39)*$V$41</f>
        <v>0</v>
      </c>
    </row>
    <row r="24" spans="2:23" ht="15.75" thickBot="1" x14ac:dyDescent="0.3">
      <c r="B24" s="105"/>
      <c r="C24" s="18"/>
      <c r="D24" s="19"/>
      <c r="E24" s="20"/>
      <c r="F24" s="29"/>
      <c r="G24" s="431"/>
      <c r="H24" s="106"/>
      <c r="O24" s="624" t="s">
        <v>589</v>
      </c>
      <c r="P24" s="625"/>
      <c r="Q24" s="6">
        <f>'Fixture+Pipe Qty'!F239</f>
        <v>0</v>
      </c>
      <c r="R24" s="7"/>
      <c r="S24" s="411">
        <f>'Fixture+Pipe Qty'!I239</f>
        <v>0</v>
      </c>
      <c r="T24" s="426">
        <f>'Fixture+Pipe Qty'!M239</f>
        <v>0</v>
      </c>
      <c r="U24" s="489">
        <f t="shared" ref="U24" si="5">T24+S24*$H$4</f>
        <v>0</v>
      </c>
      <c r="V24" s="489">
        <f t="shared" si="3"/>
        <v>0</v>
      </c>
      <c r="W24" s="501">
        <f>V24+V24/SUM($V$8:$V$39)*$V$41</f>
        <v>0</v>
      </c>
    </row>
    <row r="25" spans="2:23" ht="22.15" customHeight="1" thickBot="1" x14ac:dyDescent="0.3">
      <c r="B25" s="25" t="s">
        <v>37</v>
      </c>
      <c r="C25" s="21"/>
      <c r="D25" s="22"/>
      <c r="E25" s="23"/>
      <c r="F25" s="24"/>
      <c r="G25" s="432"/>
      <c r="H25" s="221">
        <f>SUM(H8:H24)</f>
        <v>98158.509382500008</v>
      </c>
      <c r="J25" t="s">
        <v>78</v>
      </c>
      <c r="K25" s="99">
        <f>H25/H2</f>
        <v>37.013012587669685</v>
      </c>
      <c r="O25" s="540" t="s">
        <v>13</v>
      </c>
      <c r="P25" s="541"/>
      <c r="Q25" s="6"/>
      <c r="R25" s="7"/>
      <c r="S25" s="411"/>
      <c r="T25" s="426"/>
      <c r="U25" s="489"/>
      <c r="V25" s="507"/>
      <c r="W25" s="500"/>
    </row>
    <row r="26" spans="2:23" ht="15.75" thickBot="1" x14ac:dyDescent="0.3">
      <c r="C26" s="4"/>
      <c r="G26" s="58"/>
      <c r="J26" t="s">
        <v>79</v>
      </c>
      <c r="K26" s="99">
        <f>H25/H3</f>
        <v>98158.509382500008</v>
      </c>
      <c r="O26" s="624" t="s">
        <v>464</v>
      </c>
      <c r="P26" s="625"/>
      <c r="Q26" s="6"/>
      <c r="R26" s="7">
        <f>'First Floor Underslab'!H48+'Fixture+Pipe Qty'!G387</f>
        <v>358.73</v>
      </c>
      <c r="S26" s="411">
        <f>'First Floor Underslab'!J59+'Fixture+Pipe Qty'!I387</f>
        <v>8.78735</v>
      </c>
      <c r="T26" s="426">
        <f>'First Floor Underslab'!N59+'Fixture+Pipe Qty'!M387</f>
        <v>0</v>
      </c>
      <c r="U26" s="489">
        <f>T26+S26*$H$4</f>
        <v>1515.817875</v>
      </c>
      <c r="V26" s="505">
        <f>U26+(U26/SUM($U$8:$U$40))*SUM($H$19:$H$21)</f>
        <v>2131.277543052594</v>
      </c>
      <c r="W26" s="501">
        <f>V26+V26/SUM($V$8:$V$40)*$V$41</f>
        <v>2890.1368296076757</v>
      </c>
    </row>
    <row r="27" spans="2:23" ht="18.399999999999999" customHeight="1" thickBot="1" x14ac:dyDescent="0.3">
      <c r="B27" s="57" t="s">
        <v>90</v>
      </c>
      <c r="C27" s="323" t="s">
        <v>709</v>
      </c>
      <c r="F27" s="315"/>
      <c r="H27" s="108"/>
      <c r="K27" s="99"/>
      <c r="O27" s="624" t="s">
        <v>465</v>
      </c>
      <c r="P27" s="625"/>
      <c r="Q27" s="6"/>
      <c r="R27" s="7">
        <f>'First Floor Underslab'!H102+'Fixture+Pipe Qty'!G288</f>
        <v>974.12000000000012</v>
      </c>
      <c r="S27" s="411">
        <f>'First Floor Underslab'!J111+'Fixture+Pipe Qty'!I288+'Fixture+Pipe Qty'!I606</f>
        <v>70.779500000000013</v>
      </c>
      <c r="T27" s="426">
        <f>'First Floor Underslab'!N111+'Fixture+Pipe Qty'!M606+'Fixture+Pipe Qty'!M288</f>
        <v>0</v>
      </c>
      <c r="U27" s="489">
        <f>T27+S27*$H$4</f>
        <v>12209.463750000003</v>
      </c>
      <c r="V27" s="505">
        <f>U27+(U27/SUM($U$8:$U$40))*SUM($H$19:$H$21)</f>
        <v>17166.808976368429</v>
      </c>
      <c r="W27" s="501">
        <f>V27+V27/SUM($V$8:$V$40)*$V$41</f>
        <v>23279.195631358321</v>
      </c>
    </row>
    <row r="28" spans="2:23" ht="15.75" thickBot="1" x14ac:dyDescent="0.3">
      <c r="J28">
        <f>(H23+H21)/I17</f>
        <v>0.56357092770918549</v>
      </c>
      <c r="K28" s="99"/>
      <c r="O28" s="624" t="s">
        <v>466</v>
      </c>
      <c r="P28" s="625"/>
      <c r="Q28" s="6"/>
      <c r="R28" s="7">
        <f>'First Floor Underslab'!H206+'Fixture+Pipe Qty'!G443</f>
        <v>96.800000000000011</v>
      </c>
      <c r="S28" s="411">
        <f>'First Floor Underslab'!J215+'Fixture+Pipe Qty'!I443</f>
        <v>11.606100000000001</v>
      </c>
      <c r="T28" s="426">
        <f>'First Floor Underslab'!N215+'Fixture+Pipe Qty'!M443</f>
        <v>0</v>
      </c>
      <c r="U28" s="489">
        <f>T28+S28*$H$4</f>
        <v>2002.0522500000002</v>
      </c>
      <c r="V28" s="489">
        <f>U28+(U28/SUM($U$8:$U$40))*SUM($H$19:$H$21)</f>
        <v>2814.9351388555951</v>
      </c>
      <c r="W28" s="503">
        <f>V28+V28/SUM($V$8:$V$40)*$V$41</f>
        <v>3817.2164598098007</v>
      </c>
    </row>
    <row r="29" spans="2:23" ht="18.399999999999999" customHeight="1" thickBot="1" x14ac:dyDescent="0.4">
      <c r="B29" s="57" t="s">
        <v>8</v>
      </c>
      <c r="H29" s="5"/>
      <c r="J29" s="3"/>
      <c r="O29" s="624" t="s">
        <v>467</v>
      </c>
      <c r="P29" s="625"/>
      <c r="Q29" s="6"/>
      <c r="R29" s="7">
        <f>'First Floor Underslab'!H153+'Fixture+Pipe Qty'!G488</f>
        <v>0</v>
      </c>
      <c r="S29" s="411">
        <f>'First Floor Underslab'!J162+'Fixture+Pipe Qty'!I618+'Fixture+Pipe Qty'!I488</f>
        <v>0</v>
      </c>
      <c r="T29" s="426">
        <f>'First Floor Underslab'!N162+'Fixture+Pipe Qty'!M488+'Fixture+Pipe Qty'!M618</f>
        <v>0</v>
      </c>
      <c r="U29" s="489">
        <f>T29+S29*$H$4</f>
        <v>0</v>
      </c>
      <c r="V29" s="506"/>
      <c r="W29" s="72"/>
    </row>
    <row r="30" spans="2:23" ht="13.15" customHeight="1" x14ac:dyDescent="0.35">
      <c r="B30" s="9"/>
      <c r="H30" s="5"/>
      <c r="J30" s="3"/>
      <c r="O30" s="624" t="s">
        <v>590</v>
      </c>
      <c r="P30" s="625"/>
      <c r="Q30" s="6"/>
      <c r="R30" s="7">
        <f>'First Floor Underslab'!H257+'Fixture+Pipe Qty'!G501</f>
        <v>88</v>
      </c>
      <c r="S30" s="411">
        <f>'First Floor Underslab'!J266+'Fixture+Pipe Qty'!I501+'Fixture+Pipe Qty'!I630</f>
        <v>3.1239999999999997</v>
      </c>
      <c r="T30" s="426">
        <f>'First Floor Underslab'!N266+'Fixture+Pipe Qty'!M630+'Fixture+Pipe Qty'!M501</f>
        <v>0</v>
      </c>
      <c r="U30" s="489">
        <f t="shared" ref="U30:U36" si="6">T30+S30*$H$4</f>
        <v>538.89</v>
      </c>
      <c r="V30" s="506"/>
      <c r="W30" s="72"/>
    </row>
    <row r="31" spans="2:23" ht="13.15" customHeight="1" x14ac:dyDescent="0.35">
      <c r="B31" s="9"/>
      <c r="C31" s="1" t="s">
        <v>894</v>
      </c>
      <c r="H31" s="5"/>
      <c r="J31" s="3"/>
      <c r="O31" s="570"/>
      <c r="P31" s="571"/>
      <c r="Q31" s="6"/>
      <c r="R31" s="7"/>
      <c r="S31" s="411"/>
      <c r="T31" s="426"/>
      <c r="U31" s="489"/>
      <c r="V31" s="506"/>
      <c r="W31" s="72"/>
    </row>
    <row r="32" spans="2:23" ht="21" customHeight="1" x14ac:dyDescent="0.35">
      <c r="B32" s="154" t="s">
        <v>895</v>
      </c>
      <c r="C32" t="s">
        <v>896</v>
      </c>
      <c r="H32" s="5"/>
      <c r="J32" s="3"/>
      <c r="O32" s="570"/>
      <c r="P32" s="571"/>
      <c r="Q32" s="6"/>
      <c r="R32" s="7"/>
      <c r="S32" s="411"/>
      <c r="T32" s="426"/>
      <c r="U32" s="489"/>
      <c r="V32" s="506"/>
      <c r="W32" s="72"/>
    </row>
    <row r="33" spans="2:23" ht="21" customHeight="1" x14ac:dyDescent="0.35">
      <c r="B33" s="154"/>
      <c r="C33" t="s">
        <v>897</v>
      </c>
      <c r="H33" s="5"/>
      <c r="J33" s="3"/>
      <c r="O33" s="570"/>
      <c r="P33" s="571"/>
      <c r="Q33" s="6"/>
      <c r="R33" s="7"/>
      <c r="S33" s="411"/>
      <c r="T33" s="426"/>
      <c r="U33" s="489"/>
      <c r="V33" s="506"/>
      <c r="W33" s="72"/>
    </row>
    <row r="34" spans="2:23" ht="13.15" customHeight="1" x14ac:dyDescent="0.35">
      <c r="B34" s="9"/>
      <c r="H34" s="5"/>
      <c r="J34" s="3"/>
      <c r="O34" s="570"/>
      <c r="P34" s="571"/>
      <c r="Q34" s="6"/>
      <c r="R34" s="7"/>
      <c r="S34" s="411"/>
      <c r="T34" s="426"/>
      <c r="U34" s="489"/>
      <c r="V34" s="506"/>
      <c r="W34" s="72"/>
    </row>
    <row r="35" spans="2:23" ht="21" x14ac:dyDescent="0.35">
      <c r="B35" s="9"/>
      <c r="C35" s="1" t="s">
        <v>663</v>
      </c>
      <c r="H35" s="5"/>
      <c r="J35" s="3"/>
      <c r="O35" s="624" t="s">
        <v>591</v>
      </c>
      <c r="P35" s="625"/>
      <c r="Q35" s="6"/>
      <c r="R35" s="7">
        <f>'Fixture+Pipe Qty'!G530</f>
        <v>0</v>
      </c>
      <c r="S35" s="411">
        <f>'Fixture+Pipe Qty'!I530</f>
        <v>0</v>
      </c>
      <c r="T35" s="426">
        <f>'Fixture+Pipe Qty'!M530</f>
        <v>0</v>
      </c>
      <c r="U35" s="489">
        <f t="shared" si="6"/>
        <v>0</v>
      </c>
      <c r="V35" s="506"/>
      <c r="W35" s="72"/>
    </row>
    <row r="36" spans="2:23" ht="21" x14ac:dyDescent="0.35">
      <c r="B36" s="154" t="s">
        <v>109</v>
      </c>
      <c r="C36" t="str">
        <f>IF('Fixture+Pipe Qty'!C249='Fixture+Pipe Qty'!C260,'Fixture+Pipe Qty'!C249,'Fixture+Pipe Qty'!C249 &amp; 'Fixture+Pipe Qty'!C260) &amp; " cold and hot water pipe from existing point of connection to plumbing fixtures."</f>
        <v>Copper Type L Hard cold and hot water pipe from existing point of connection to plumbing fixtures.</v>
      </c>
      <c r="H36" s="5"/>
      <c r="J36" s="3"/>
      <c r="O36" s="624" t="s">
        <v>578</v>
      </c>
      <c r="P36" s="625"/>
      <c r="Q36" s="6"/>
      <c r="R36" s="7">
        <f>'First Floor Underslab'!H309+'Fixture+Pipe Qty'!G545</f>
        <v>121.11000000000001</v>
      </c>
      <c r="S36" s="411">
        <f>'First Floor Underslab'!J318+'Fixture+Pipe Qty'!I545</f>
        <v>7.2782600000000013</v>
      </c>
      <c r="T36" s="426">
        <f>'First Floor Underslab'!N318+'Fixture+Pipe Qty'!M545</f>
        <v>0</v>
      </c>
      <c r="U36" s="489">
        <f t="shared" si="6"/>
        <v>1255.4998500000002</v>
      </c>
      <c r="V36" s="506"/>
      <c r="W36" s="72"/>
    </row>
    <row r="37" spans="2:23" ht="21" x14ac:dyDescent="0.35">
      <c r="B37" s="154"/>
      <c r="C37" t="s">
        <v>898</v>
      </c>
      <c r="H37" s="5"/>
      <c r="J37" s="3"/>
      <c r="O37" s="570"/>
      <c r="P37" s="571"/>
      <c r="Q37" s="6"/>
      <c r="R37" s="7"/>
      <c r="S37" s="411"/>
      <c r="T37" s="426"/>
      <c r="U37" s="489"/>
      <c r="V37" s="506"/>
      <c r="W37" s="597"/>
    </row>
    <row r="38" spans="2:23" ht="21" x14ac:dyDescent="0.35">
      <c r="B38" s="154"/>
      <c r="C38" t="s">
        <v>885</v>
      </c>
      <c r="H38" s="5"/>
      <c r="J38" s="3"/>
      <c r="O38" s="570"/>
      <c r="P38" s="571"/>
      <c r="Q38" s="6"/>
      <c r="R38" s="7"/>
      <c r="S38" s="411"/>
      <c r="T38" s="426"/>
      <c r="U38" s="489"/>
      <c r="V38" s="506"/>
      <c r="W38" s="597"/>
    </row>
    <row r="39" spans="2:23" ht="21" x14ac:dyDescent="0.35">
      <c r="B39" s="9"/>
      <c r="C39" t="str">
        <f>IF('Fixture+Pipe Qty'!C566='Fixture+Pipe Qty'!C577,'Fixture+Pipe Qty'!C566,'Fixture+Pipe Qty'!C566 &amp; " &amp; " &amp; 'Fixture+Pipe Qty'!C577) &amp; " for domestic cold and hot water, soft water and filtered water"</f>
        <v>1/2" thick Fiberglass Insulation &amp; 1" thick Fiberglass Insulation for domestic cold and hot water, soft water and filtered water</v>
      </c>
      <c r="H39" s="5"/>
      <c r="J39" s="3"/>
      <c r="O39" s="626" t="s">
        <v>143</v>
      </c>
      <c r="P39" s="627"/>
      <c r="Q39" s="6">
        <f>'Exterior and Interceptor'!G342</f>
        <v>0</v>
      </c>
      <c r="R39" s="7"/>
      <c r="S39" s="411">
        <f>'Exterior and Interceptor'!J353</f>
        <v>0</v>
      </c>
      <c r="T39" s="426">
        <f>'Exterior and Interceptor'!N353</f>
        <v>0</v>
      </c>
      <c r="U39" s="489">
        <f>T39+S39*$H$4</f>
        <v>0</v>
      </c>
      <c r="V39" s="505">
        <f>U39+(U39/SUM($U$8:$U$40))*SUM($H$19:$H$21)</f>
        <v>0</v>
      </c>
      <c r="W39" s="503">
        <f>V39+V39/SUM($V$8:$V$40)*$V$41</f>
        <v>0</v>
      </c>
    </row>
    <row r="40" spans="2:23" ht="21" x14ac:dyDescent="0.35">
      <c r="B40" s="9"/>
      <c r="C40" t="s">
        <v>132</v>
      </c>
      <c r="H40" s="5"/>
      <c r="J40" s="3"/>
      <c r="O40" s="626" t="s">
        <v>531</v>
      </c>
      <c r="P40" s="627"/>
      <c r="Q40" s="6"/>
      <c r="R40" s="7"/>
      <c r="S40" s="411">
        <f>F16</f>
        <v>3.8297499999999998</v>
      </c>
      <c r="T40" s="426">
        <f>G16</f>
        <v>0</v>
      </c>
      <c r="U40" s="489">
        <f>H16</f>
        <v>660.63187499999992</v>
      </c>
      <c r="V40" s="489">
        <f>U40+(U40/SUM($U$8:$U$40))*SUM($H$19:$H$21)</f>
        <v>928.86480799167794</v>
      </c>
      <c r="W40" s="501">
        <f>V40+V40/SUM($V$8:$V$40)*$V$41</f>
        <v>1259.5949317132008</v>
      </c>
    </row>
    <row r="41" spans="2:23" ht="21" x14ac:dyDescent="0.35">
      <c r="B41" s="9"/>
      <c r="C41" t="s">
        <v>183</v>
      </c>
      <c r="H41" s="5"/>
      <c r="J41" s="3"/>
      <c r="O41" s="626" t="s">
        <v>36</v>
      </c>
      <c r="P41" s="627"/>
      <c r="Q41" s="6"/>
      <c r="R41" s="7"/>
      <c r="S41" s="411"/>
      <c r="T41" s="426"/>
      <c r="U41" s="489"/>
      <c r="V41" s="490">
        <f>H23</f>
        <v>18696.858929999999</v>
      </c>
      <c r="W41" s="72"/>
    </row>
    <row r="42" spans="2:23" ht="11.25" customHeight="1" thickBot="1" x14ac:dyDescent="0.4">
      <c r="B42" s="9"/>
      <c r="H42" s="5"/>
      <c r="J42" s="3"/>
      <c r="O42" s="496"/>
      <c r="P42" s="76" t="s">
        <v>37</v>
      </c>
      <c r="Q42" s="497"/>
      <c r="R42" s="497"/>
      <c r="S42" s="498"/>
      <c r="T42" s="77"/>
      <c r="U42" s="497"/>
      <c r="V42" s="499">
        <f>SUM(V12:V41)</f>
        <v>67492.051236642306</v>
      </c>
      <c r="W42" s="508">
        <f>SUM(W12:W41)</f>
        <v>66169.130741756206</v>
      </c>
    </row>
    <row r="43" spans="2:23" ht="21" x14ac:dyDescent="0.35">
      <c r="B43" s="154"/>
      <c r="C43" s="1" t="s">
        <v>695</v>
      </c>
      <c r="H43" s="5"/>
      <c r="J43" s="3"/>
    </row>
    <row r="44" spans="2:23" ht="21" x14ac:dyDescent="0.35">
      <c r="B44" s="154" t="s">
        <v>109</v>
      </c>
      <c r="C44" t="s">
        <v>886</v>
      </c>
      <c r="H44" s="5"/>
      <c r="J44" s="3"/>
    </row>
    <row r="45" spans="2:23" ht="21" x14ac:dyDescent="0.35">
      <c r="B45" s="154"/>
      <c r="C45" t="s">
        <v>892</v>
      </c>
      <c r="H45" s="5"/>
      <c r="J45" s="3"/>
    </row>
    <row r="46" spans="2:23" ht="21" x14ac:dyDescent="0.35">
      <c r="B46" s="154"/>
      <c r="C46" t="s">
        <v>696</v>
      </c>
      <c r="H46" s="5"/>
      <c r="J46" s="3"/>
    </row>
    <row r="47" spans="2:23" ht="10.5" customHeight="1" x14ac:dyDescent="0.35">
      <c r="B47" s="154"/>
      <c r="H47" s="5"/>
      <c r="J47" s="3"/>
    </row>
    <row r="48" spans="2:23" ht="21" x14ac:dyDescent="0.35">
      <c r="B48" s="154"/>
      <c r="C48" s="1" t="s">
        <v>664</v>
      </c>
      <c r="H48" s="5"/>
      <c r="J48" s="3"/>
    </row>
    <row r="49" spans="2:10" ht="21" customHeight="1" x14ac:dyDescent="0.35">
      <c r="B49" s="154" t="s">
        <v>109</v>
      </c>
      <c r="C49" t="str">
        <f>IF('Fixture+Pipe Qty'!C431&lt;&gt;"", 'Fixture+Pipe Qty'!C431 &amp; " gas pipes from gas meter to water heater and HVAC equipment.", "")</f>
        <v>Black Steel Sch. 40 gas pipes from gas meter to water heater and HVAC equipment.</v>
      </c>
      <c r="H49" s="5"/>
      <c r="J49" s="3"/>
    </row>
    <row r="50" spans="2:10" ht="21" x14ac:dyDescent="0.35">
      <c r="B50" s="154"/>
      <c r="C50" t="s">
        <v>887</v>
      </c>
      <c r="H50" s="5"/>
      <c r="J50" s="3"/>
    </row>
    <row r="51" spans="2:10" ht="10.5" customHeight="1" x14ac:dyDescent="0.35">
      <c r="B51" s="154"/>
      <c r="H51" s="5"/>
      <c r="J51" s="3"/>
    </row>
    <row r="52" spans="2:10" ht="21" x14ac:dyDescent="0.35">
      <c r="B52" s="154"/>
      <c r="C52" s="1" t="s">
        <v>890</v>
      </c>
      <c r="H52" s="5"/>
      <c r="J52" s="3"/>
    </row>
    <row r="53" spans="2:10" ht="21" customHeight="1" x14ac:dyDescent="0.35">
      <c r="B53" s="154" t="s">
        <v>109</v>
      </c>
      <c r="C53" t="s">
        <v>891</v>
      </c>
      <c r="H53" s="5"/>
      <c r="J53" s="3"/>
    </row>
    <row r="54" spans="2:10" ht="11.45" customHeight="1" x14ac:dyDescent="0.35">
      <c r="B54" s="154"/>
      <c r="H54" s="5"/>
      <c r="J54" s="3"/>
    </row>
    <row r="55" spans="2:10" ht="21" x14ac:dyDescent="0.35">
      <c r="C55" s="1" t="s">
        <v>279</v>
      </c>
      <c r="H55" s="5"/>
      <c r="J55" s="3"/>
    </row>
    <row r="56" spans="2:10" ht="21" x14ac:dyDescent="0.35">
      <c r="B56" s="154" t="s">
        <v>109</v>
      </c>
      <c r="C56" t="s">
        <v>135</v>
      </c>
      <c r="H56" s="5"/>
      <c r="J56" s="3"/>
    </row>
    <row r="57" spans="2:10" ht="21" x14ac:dyDescent="0.35">
      <c r="C57" t="str">
        <f>IF(OR(E9&lt;&gt;"", E10&lt;&gt;""), "Saw cutting,excavation, backfilling and compaction of pipe trenches", "N/A")</f>
        <v>Saw cutting,excavation, backfilling and compaction of pipe trenches</v>
      </c>
      <c r="H57" s="5"/>
      <c r="J57" s="3"/>
    </row>
    <row r="58" spans="2:10" ht="21.75" thickBot="1" x14ac:dyDescent="0.4">
      <c r="H58" s="5"/>
      <c r="J58" s="3"/>
    </row>
    <row r="59" spans="2:10" ht="21" x14ac:dyDescent="0.35">
      <c r="B59" s="305" t="s">
        <v>9</v>
      </c>
      <c r="H59" s="5"/>
      <c r="J59" s="3"/>
    </row>
    <row r="60" spans="2:10" ht="21" x14ac:dyDescent="0.35">
      <c r="B60" s="306" t="s">
        <v>192</v>
      </c>
      <c r="C60" t="str">
        <f>IF('Fixture+Pipe Qty'!C249='Fixture+Pipe Qty'!C260,'Fixture+Pipe Qty'!C249,'Fixture+Pipe Qty'!C249 &amp; 'Fixture+Pipe Qty'!C260) &amp; ", " &amp; IF('Fixture+Pipe Qty'!C566='Fixture+Pipe Qty'!C577,'Fixture+Pipe Qty'!C566,'Fixture+Pipe Qty'!C566 &amp; " &amp; " &amp;'Fixture+Pipe Qty'!C577)</f>
        <v>Copper Type L Hard, 1/2" thick Fiberglass Insulation &amp; 1" thick Fiberglass Insulation</v>
      </c>
      <c r="H60" s="5"/>
      <c r="J60" s="3"/>
    </row>
    <row r="61" spans="2:10" ht="21" x14ac:dyDescent="0.35">
      <c r="B61" s="307" t="s">
        <v>586</v>
      </c>
      <c r="C61" t="str">
        <f>'Fixture+Pipe Qty'!C378</f>
        <v>PVC Sch. 40</v>
      </c>
      <c r="H61" s="5"/>
      <c r="J61" s="3"/>
    </row>
    <row r="62" spans="2:10" ht="21" x14ac:dyDescent="0.35">
      <c r="B62" s="308" t="s">
        <v>91</v>
      </c>
      <c r="C62" t="str">
        <f>'Fixture+Pipe Qty'!C370</f>
        <v>PVC Sch. 40</v>
      </c>
      <c r="H62" s="5"/>
      <c r="J62" s="3"/>
    </row>
    <row r="63" spans="2:10" ht="21" x14ac:dyDescent="0.35">
      <c r="B63" s="603" t="s">
        <v>139</v>
      </c>
      <c r="C63" t="str">
        <f>'Fixture+Pipe Qty'!C431</f>
        <v>Black Steel Sch. 40</v>
      </c>
      <c r="H63" s="5"/>
      <c r="J63" s="3"/>
    </row>
    <row r="64" spans="2:10" ht="21.75" thickBot="1" x14ac:dyDescent="0.4">
      <c r="B64" s="604" t="s">
        <v>207</v>
      </c>
      <c r="C64" t="s">
        <v>893</v>
      </c>
      <c r="H64" s="5"/>
      <c r="J64" s="3"/>
    </row>
    <row r="65" spans="2:8" x14ac:dyDescent="0.25">
      <c r="C65" t="str">
        <f>IF('Fixtures + Piping computation'!C288&lt;&gt;"", "", "")</f>
        <v/>
      </c>
    </row>
    <row r="66" spans="2:8" x14ac:dyDescent="0.25">
      <c r="C66" t="s">
        <v>71</v>
      </c>
      <c r="D66" s="15">
        <f>'Fixtures + Piping computation'!C158</f>
        <v>10</v>
      </c>
      <c r="E66" t="s">
        <v>70</v>
      </c>
    </row>
    <row r="67" spans="2:8" ht="15.75" thickBot="1" x14ac:dyDescent="0.3">
      <c r="H67" t="s">
        <v>145</v>
      </c>
    </row>
    <row r="68" spans="2:8" ht="19.149999999999999" customHeight="1" thickBot="1" x14ac:dyDescent="0.3">
      <c r="B68" s="304" t="s">
        <v>50</v>
      </c>
      <c r="C68" s="619" t="s">
        <v>52</v>
      </c>
      <c r="D68" s="620"/>
      <c r="E68" s="4"/>
    </row>
    <row r="69" spans="2:8" x14ac:dyDescent="0.25">
      <c r="C69" t="s">
        <v>51</v>
      </c>
    </row>
    <row r="70" spans="2:8" x14ac:dyDescent="0.25">
      <c r="C70" t="str">
        <f>'Notes, Assumptions'!B7</f>
        <v>Assumed 1' pipe allowance per fixture</v>
      </c>
    </row>
    <row r="71" spans="2:8" x14ac:dyDescent="0.25">
      <c r="C71" t="s">
        <v>900</v>
      </c>
    </row>
    <row r="72" spans="2:8" x14ac:dyDescent="0.25">
      <c r="C72" t="str">
        <f>'Notes, Assumptions'!B9</f>
        <v>Consider lead-free bronze type ball valves</v>
      </c>
    </row>
    <row r="73" spans="2:8" x14ac:dyDescent="0.25">
      <c r="C73" t="str">
        <f>'Notes, Assumptions'!B10</f>
        <v>Consider 1/2" thick fiberglass insulation for domestic water and 1" thick for hot water</v>
      </c>
    </row>
    <row r="74" spans="2:8" x14ac:dyDescent="0.25">
      <c r="C74" t="str">
        <f>'Notes, Assumptions'!B11</f>
        <v>Consider copper pipe type L hard pipe for domestic water</v>
      </c>
    </row>
    <row r="75" spans="2:8" x14ac:dyDescent="0.25">
      <c r="C75" t="str">
        <f>'Notes, Assumptions'!B12</f>
        <v>Consider PVC sch.40 for sanitary and vent pipes</v>
      </c>
    </row>
    <row r="76" spans="2:8" x14ac:dyDescent="0.25">
      <c r="C76" t="str">
        <f>'Notes, Assumptions'!B13</f>
        <v>Consider copper type M condensate drain of starbucks equipment insulated with 1/2" thick closed-cell insulation</v>
      </c>
    </row>
    <row r="77" spans="2:8" x14ac:dyDescent="0.25">
      <c r="C77" t="str">
        <f>'Notes, Assumptions'!B14</f>
        <v>Consider copper type DWV for indirect waste of plumbing fixtures</v>
      </c>
    </row>
    <row r="78" spans="2:8" x14ac:dyDescent="0.25">
      <c r="C78" t="str">
        <f>'Notes, Assumptions'!B15</f>
        <v>Consider PVC sch.40, 3" gas water heater vent flue</v>
      </c>
    </row>
    <row r="79" spans="2:8" x14ac:dyDescent="0.25">
      <c r="C79" t="str">
        <f>'Notes, Assumptions'!B16</f>
        <v>Assumed that the gas line to be demolished is the same quantity as for the new installation</v>
      </c>
    </row>
    <row r="80" spans="2:8" ht="15.75" thickBot="1" x14ac:dyDescent="0.3"/>
    <row r="81" spans="2:5" ht="19.899999999999999" customHeight="1" thickBot="1" x14ac:dyDescent="0.3">
      <c r="B81" s="155" t="s">
        <v>11</v>
      </c>
      <c r="C81" s="619" t="s">
        <v>53</v>
      </c>
      <c r="D81" s="620"/>
      <c r="E81" s="620"/>
    </row>
    <row r="83" spans="2:5" x14ac:dyDescent="0.25">
      <c r="B83" s="153" t="s">
        <v>186</v>
      </c>
    </row>
    <row r="84" spans="2:5" x14ac:dyDescent="0.25">
      <c r="C84" t="s">
        <v>131</v>
      </c>
    </row>
    <row r="85" spans="2:5" x14ac:dyDescent="0.25">
      <c r="C85" t="s">
        <v>138</v>
      </c>
    </row>
    <row r="86" spans="2:5" x14ac:dyDescent="0.25">
      <c r="C86" t="s">
        <v>201</v>
      </c>
    </row>
    <row r="87" spans="2:5" x14ac:dyDescent="0.25">
      <c r="C87" t="s">
        <v>200</v>
      </c>
    </row>
    <row r="88" spans="2:5" x14ac:dyDescent="0.25">
      <c r="C88" t="s">
        <v>202</v>
      </c>
    </row>
    <row r="89" spans="2:5" x14ac:dyDescent="0.25">
      <c r="C89" t="s">
        <v>203</v>
      </c>
    </row>
    <row r="90" spans="2:5" x14ac:dyDescent="0.25">
      <c r="B90" s="303" t="s">
        <v>106</v>
      </c>
    </row>
    <row r="91" spans="2:5" x14ac:dyDescent="0.25">
      <c r="B91" s="303"/>
      <c r="C91" t="s">
        <v>881</v>
      </c>
    </row>
    <row r="92" spans="2:5" x14ac:dyDescent="0.25">
      <c r="C92" t="s">
        <v>187</v>
      </c>
    </row>
    <row r="93" spans="2:5" x14ac:dyDescent="0.25">
      <c r="C93" t="str">
        <f>IF(ISNUMBER(SEARCH("Renovation", C27)), "Temporary storage during construction of Dismantled Equipment, fixtures, and other items either to be reinstalled or replaced", "")</f>
        <v>Temporary storage during construction of Dismantled Equipment, fixtures, and other items either to be reinstalled or replaced</v>
      </c>
    </row>
    <row r="94" spans="2:5" x14ac:dyDescent="0.25">
      <c r="C94" t="str">
        <f>IF(ISNUMBER(SEARCH("Renovation", C27)), "Removal and restoration of drywall/concrete wall  and ceiling  areas required and resulting from the installation", "")</f>
        <v>Removal and restoration of drywall/concrete wall  and ceiling  areas required and resulting from the installation</v>
      </c>
    </row>
    <row r="95" spans="2:5" x14ac:dyDescent="0.25">
      <c r="C95" t="s">
        <v>879</v>
      </c>
    </row>
    <row r="96" spans="2:5" x14ac:dyDescent="0.25">
      <c r="C96" t="s">
        <v>883</v>
      </c>
    </row>
    <row r="97" spans="2:3" x14ac:dyDescent="0.25">
      <c r="C97" t="s">
        <v>884</v>
      </c>
    </row>
    <row r="98" spans="2:3" x14ac:dyDescent="0.25">
      <c r="C98" t="s">
        <v>880</v>
      </c>
    </row>
    <row r="99" spans="2:3" x14ac:dyDescent="0.25">
      <c r="C99" t="s">
        <v>703</v>
      </c>
    </row>
    <row r="100" spans="2:3" x14ac:dyDescent="0.25">
      <c r="C100" t="s">
        <v>704</v>
      </c>
    </row>
    <row r="106" spans="2:3" x14ac:dyDescent="0.25">
      <c r="B106" s="509" t="s">
        <v>902</v>
      </c>
    </row>
  </sheetData>
  <mergeCells count="25">
    <mergeCell ref="O36:P36"/>
    <mergeCell ref="O39:P39"/>
    <mergeCell ref="O40:P40"/>
    <mergeCell ref="O41:P41"/>
    <mergeCell ref="O27:P27"/>
    <mergeCell ref="O28:P28"/>
    <mergeCell ref="O29:P29"/>
    <mergeCell ref="O30:P30"/>
    <mergeCell ref="O35:P35"/>
    <mergeCell ref="O17:P17"/>
    <mergeCell ref="O18:P18"/>
    <mergeCell ref="C81:E81"/>
    <mergeCell ref="C68:D68"/>
    <mergeCell ref="O6:W6"/>
    <mergeCell ref="O19:P19"/>
    <mergeCell ref="O9:P9"/>
    <mergeCell ref="O10:P10"/>
    <mergeCell ref="O11:P11"/>
    <mergeCell ref="O12:P12"/>
    <mergeCell ref="O13:P13"/>
    <mergeCell ref="O20:P20"/>
    <mergeCell ref="O21:P21"/>
    <mergeCell ref="O23:P23"/>
    <mergeCell ref="O24:P24"/>
    <mergeCell ref="O26:P26"/>
  </mergeCells>
  <pageMargins left="0.7" right="0.7" top="0.75" bottom="0.75" header="0.3" footer="0.3"/>
  <pageSetup scale="3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D119"/>
  <sheetViews>
    <sheetView showZeros="0" topLeftCell="A13" zoomScale="70" zoomScaleNormal="70" workbookViewId="0">
      <selection activeCell="A9" sqref="A9:XFD9"/>
    </sheetView>
  </sheetViews>
  <sheetFormatPr defaultRowHeight="15" x14ac:dyDescent="0.25"/>
  <cols>
    <col min="1" max="1" width="2.85546875" customWidth="1"/>
    <col min="2" max="2" width="57.140625" customWidth="1"/>
    <col min="3" max="3" width="87.140625" customWidth="1"/>
    <col min="4" max="4" width="48.42578125" customWidth="1"/>
  </cols>
  <sheetData>
    <row r="2" spans="2:3" x14ac:dyDescent="0.25">
      <c r="B2" s="1" t="s">
        <v>15</v>
      </c>
      <c r="C2" t="str">
        <f>Summary!C2</f>
        <v>University Park Village Starbucks</v>
      </c>
    </row>
    <row r="3" spans="2:3" x14ac:dyDescent="0.25">
      <c r="B3" s="1" t="s">
        <v>16</v>
      </c>
      <c r="C3" t="str">
        <f>Summary!C3</f>
        <v>1620 S University DR, Fort Worth, TX 76107</v>
      </c>
    </row>
    <row r="4" spans="2:3" x14ac:dyDescent="0.25">
      <c r="B4" s="1" t="s">
        <v>17</v>
      </c>
      <c r="C4" s="310" t="str">
        <f>Summary!C4</f>
        <v>June 17, 2025</v>
      </c>
    </row>
    <row r="6" spans="2:3" x14ac:dyDescent="0.25">
      <c r="B6" s="9" t="s">
        <v>21</v>
      </c>
    </row>
    <row r="7" spans="2:3" x14ac:dyDescent="0.25">
      <c r="B7" t="s">
        <v>665</v>
      </c>
    </row>
    <row r="8" spans="2:3" x14ac:dyDescent="0.25">
      <c r="B8" t="s">
        <v>86</v>
      </c>
    </row>
    <row r="9" spans="2:3" x14ac:dyDescent="0.25">
      <c r="B9" t="s">
        <v>856</v>
      </c>
    </row>
    <row r="10" spans="2:3" x14ac:dyDescent="0.25">
      <c r="B10" t="s">
        <v>857</v>
      </c>
    </row>
    <row r="11" spans="2:3" x14ac:dyDescent="0.25">
      <c r="B11" t="s">
        <v>858</v>
      </c>
    </row>
    <row r="12" spans="2:3" x14ac:dyDescent="0.25">
      <c r="B12" t="s">
        <v>859</v>
      </c>
    </row>
    <row r="13" spans="2:3" x14ac:dyDescent="0.25">
      <c r="B13" t="s">
        <v>860</v>
      </c>
    </row>
    <row r="14" spans="2:3" x14ac:dyDescent="0.25">
      <c r="B14" t="s">
        <v>861</v>
      </c>
    </row>
    <row r="15" spans="2:3" x14ac:dyDescent="0.25">
      <c r="B15" t="s">
        <v>863</v>
      </c>
    </row>
    <row r="16" spans="2:3" x14ac:dyDescent="0.25">
      <c r="B16" t="s">
        <v>899</v>
      </c>
    </row>
    <row r="18" spans="2:4" ht="15.75" thickBot="1" x14ac:dyDescent="0.3"/>
    <row r="19" spans="2:4" ht="15.75" thickBot="1" x14ac:dyDescent="0.3">
      <c r="B19" s="26" t="s">
        <v>18</v>
      </c>
      <c r="C19" s="27" t="s">
        <v>19</v>
      </c>
      <c r="D19" s="232" t="s">
        <v>20</v>
      </c>
    </row>
    <row r="20" spans="2:4" x14ac:dyDescent="0.25">
      <c r="B20" s="233"/>
      <c r="C20" s="233"/>
      <c r="D20" s="234"/>
    </row>
    <row r="21" spans="2:4" ht="19.5" customHeight="1" x14ac:dyDescent="0.25">
      <c r="B21" s="301" t="s">
        <v>185</v>
      </c>
      <c r="C21" s="17"/>
      <c r="D21" s="11"/>
    </row>
    <row r="22" spans="2:4" ht="17.25" customHeight="1" x14ac:dyDescent="0.25">
      <c r="B22" s="1" t="str">
        <f>Summary!C35</f>
        <v>WATER PIPE SYSTEM</v>
      </c>
      <c r="C22" s="43"/>
      <c r="D22" s="11"/>
    </row>
    <row r="23" spans="2:4" ht="173.45" customHeight="1" x14ac:dyDescent="0.25">
      <c r="B23" s="228" t="str">
        <f>IF('Fixture+Pipe Qty'!C249='Fixture+Pipe Qty'!C260,'Fixture+Pipe Qty'!C249,'Fixture+Pipe Qty'!C249 &amp; 'Fixture+Pipe Qty'!C260) &amp; " Cold and hot water pipe"</f>
        <v>Copper Type L Hard Cold and hot water pipe</v>
      </c>
      <c r="C23" s="43"/>
      <c r="D23" s="573" t="s">
        <v>711</v>
      </c>
    </row>
    <row r="24" spans="2:4" s="543" customFormat="1" ht="110.45" customHeight="1" x14ac:dyDescent="0.25">
      <c r="B24" s="574" t="str">
        <f>IF('Fixture+Pipe Qty'!C566='Fixture+Pipe Qty'!C577,'Fixture+Pipe Qty'!C566,'Fixture+Pipe Qty'!C566 &amp; " &amp; " &amp; 'Fixture+Pipe Qty'!C577) &amp; " for domestic cold and hot water."</f>
        <v>1/2" thick Fiberglass Insulation &amp; 1" thick Fiberglass Insulation for domestic cold and hot water.</v>
      </c>
      <c r="C24" s="575" t="s">
        <v>710</v>
      </c>
      <c r="D24" s="572" t="s">
        <v>712</v>
      </c>
    </row>
    <row r="25" spans="2:4" ht="57.75" customHeight="1" x14ac:dyDescent="0.25">
      <c r="B25" s="228" t="s">
        <v>713</v>
      </c>
      <c r="C25" s="11"/>
      <c r="D25" s="572" t="s">
        <v>712</v>
      </c>
    </row>
    <row r="26" spans="2:4" ht="233.45" customHeight="1" x14ac:dyDescent="0.25">
      <c r="B26" s="228"/>
      <c r="C26" s="11"/>
      <c r="D26" s="572" t="s">
        <v>712</v>
      </c>
    </row>
    <row r="27" spans="2:4" ht="83.45" customHeight="1" x14ac:dyDescent="0.25">
      <c r="B27" s="228" t="s">
        <v>852</v>
      </c>
      <c r="C27" s="11"/>
      <c r="D27" s="572" t="s">
        <v>848</v>
      </c>
    </row>
    <row r="28" spans="2:4" ht="14.25" customHeight="1" x14ac:dyDescent="0.25">
      <c r="B28" s="228"/>
      <c r="C28" s="17"/>
      <c r="D28" s="11"/>
    </row>
    <row r="29" spans="2:4" ht="15" customHeight="1" x14ac:dyDescent="0.25">
      <c r="B29" s="302" t="e">
        <f>Summary!#REF!</f>
        <v>#REF!</v>
      </c>
      <c r="C29" s="17"/>
      <c r="D29" s="11"/>
    </row>
    <row r="30" spans="2:4" s="43" customFormat="1" ht="61.9" customHeight="1" x14ac:dyDescent="0.25">
      <c r="B30" s="566" t="str">
        <f>IF('Fixture+Pipe Qty'!C362='Fixture+Pipe Qty'!C370,'Fixture+Pipe Qty'!C362,'Fixture+Pipe Qty'!C362 &amp; 'Fixture+Pipe Qty'!C370) &amp;" sewer and vent pipes "</f>
        <v xml:space="preserve">PVC Sch. 40 sewer and vent pipes </v>
      </c>
      <c r="C30" s="11" t="s">
        <v>710</v>
      </c>
      <c r="D30" s="11"/>
    </row>
    <row r="31" spans="2:4" ht="102" customHeight="1" x14ac:dyDescent="0.25">
      <c r="B31" s="566" t="s">
        <v>808</v>
      </c>
      <c r="C31" s="543"/>
      <c r="D31" s="572" t="s">
        <v>807</v>
      </c>
    </row>
    <row r="32" spans="2:4" ht="23.45" customHeight="1" x14ac:dyDescent="0.25">
      <c r="B32" s="566"/>
      <c r="C32" s="543"/>
      <c r="D32" s="572"/>
    </row>
    <row r="33" spans="2:4" ht="102" customHeight="1" x14ac:dyDescent="0.25">
      <c r="B33" s="566" t="s">
        <v>849</v>
      </c>
      <c r="C33" s="543"/>
      <c r="D33" s="572" t="s">
        <v>848</v>
      </c>
    </row>
    <row r="34" spans="2:4" ht="17.45" customHeight="1" x14ac:dyDescent="0.25">
      <c r="B34" s="590" t="str">
        <f>Summary!C48</f>
        <v>GAS SYSTEM</v>
      </c>
      <c r="C34" s="543"/>
      <c r="D34" s="572"/>
    </row>
    <row r="35" spans="2:4" ht="45.6" customHeight="1" x14ac:dyDescent="0.25">
      <c r="B35" s="566" t="s">
        <v>809</v>
      </c>
      <c r="C35" s="11" t="s">
        <v>710</v>
      </c>
      <c r="D35" s="572"/>
    </row>
    <row r="36" spans="2:4" x14ac:dyDescent="0.25">
      <c r="B36" s="1"/>
      <c r="D36" s="11"/>
    </row>
    <row r="37" spans="2:4" x14ac:dyDescent="0.25">
      <c r="B37" s="235"/>
      <c r="C37" s="543"/>
      <c r="D37" s="11"/>
    </row>
    <row r="38" spans="2:4" ht="19.5" customHeight="1" x14ac:dyDescent="0.25">
      <c r="B38" s="1" t="s">
        <v>106</v>
      </c>
      <c r="D38" s="64"/>
    </row>
    <row r="39" spans="2:4" x14ac:dyDescent="0.25">
      <c r="B39" s="1"/>
      <c r="D39" s="11"/>
    </row>
    <row r="40" spans="2:4" x14ac:dyDescent="0.25">
      <c r="B40" s="109"/>
      <c r="C40" s="628"/>
      <c r="D40" s="11"/>
    </row>
    <row r="41" spans="2:4" x14ac:dyDescent="0.25">
      <c r="C41" s="628"/>
    </row>
    <row r="42" spans="2:4" x14ac:dyDescent="0.25">
      <c r="D42" s="64"/>
    </row>
    <row r="49" spans="2:4" x14ac:dyDescent="0.25">
      <c r="D49" s="64"/>
    </row>
    <row r="51" spans="2:4" x14ac:dyDescent="0.25">
      <c r="D51" s="11"/>
    </row>
    <row r="61" spans="2:4" ht="36" customHeight="1" x14ac:dyDescent="0.25">
      <c r="B61" s="109"/>
      <c r="D61" s="64"/>
    </row>
    <row r="81" spans="2:4" x14ac:dyDescent="0.25">
      <c r="B81" s="109"/>
      <c r="D81" s="64"/>
    </row>
    <row r="86" spans="2:4" x14ac:dyDescent="0.25">
      <c r="D86" s="11"/>
    </row>
    <row r="87" spans="2:4" x14ac:dyDescent="0.25">
      <c r="B87" s="113"/>
      <c r="D87" s="11"/>
    </row>
    <row r="88" spans="2:4" x14ac:dyDescent="0.25">
      <c r="B88" s="15"/>
    </row>
    <row r="89" spans="2:4" x14ac:dyDescent="0.25">
      <c r="B89" s="15"/>
    </row>
    <row r="90" spans="2:4" x14ac:dyDescent="0.25">
      <c r="B90" s="113"/>
      <c r="C90" s="11"/>
      <c r="D90" s="11"/>
    </row>
    <row r="91" spans="2:4" x14ac:dyDescent="0.25">
      <c r="B91" s="15"/>
      <c r="C91" s="11"/>
      <c r="D91" s="11"/>
    </row>
    <row r="92" spans="2:4" x14ac:dyDescent="0.25">
      <c r="B92" s="15"/>
      <c r="D92" s="9"/>
    </row>
    <row r="93" spans="2:4" x14ac:dyDescent="0.25">
      <c r="B93" s="49"/>
      <c r="C93" s="11"/>
      <c r="D93" s="11"/>
    </row>
    <row r="94" spans="2:4" x14ac:dyDescent="0.25">
      <c r="B94" s="15"/>
    </row>
    <row r="95" spans="2:4" x14ac:dyDescent="0.25">
      <c r="B95" s="15"/>
    </row>
    <row r="96" spans="2:4" x14ac:dyDescent="0.25">
      <c r="B96" s="15"/>
    </row>
    <row r="97" spans="2:4" x14ac:dyDescent="0.25">
      <c r="B97" s="15"/>
    </row>
    <row r="98" spans="2:4" x14ac:dyDescent="0.25">
      <c r="B98" s="15"/>
    </row>
    <row r="99" spans="2:4" x14ac:dyDescent="0.25">
      <c r="B99" s="15"/>
    </row>
    <row r="100" spans="2:4" x14ac:dyDescent="0.25">
      <c r="B100" s="15"/>
    </row>
    <row r="101" spans="2:4" x14ac:dyDescent="0.25">
      <c r="B101" s="113"/>
      <c r="D101" s="64"/>
    </row>
    <row r="102" spans="2:4" x14ac:dyDescent="0.25">
      <c r="B102" s="15"/>
    </row>
    <row r="103" spans="2:4" x14ac:dyDescent="0.25">
      <c r="B103" s="15"/>
    </row>
    <row r="104" spans="2:4" x14ac:dyDescent="0.25">
      <c r="B104" s="15"/>
    </row>
    <row r="105" spans="2:4" x14ac:dyDescent="0.25">
      <c r="B105" s="15"/>
    </row>
    <row r="106" spans="2:4" x14ac:dyDescent="0.25">
      <c r="B106" s="15"/>
    </row>
    <row r="107" spans="2:4" x14ac:dyDescent="0.25">
      <c r="B107" s="15"/>
    </row>
    <row r="108" spans="2:4" x14ac:dyDescent="0.25">
      <c r="B108" s="15"/>
      <c r="D108" s="64"/>
    </row>
    <row r="109" spans="2:4" x14ac:dyDescent="0.25">
      <c r="B109" s="15"/>
    </row>
    <row r="110" spans="2:4" x14ac:dyDescent="0.25">
      <c r="B110" s="15"/>
    </row>
    <row r="111" spans="2:4" x14ac:dyDescent="0.25">
      <c r="B111" s="15"/>
    </row>
    <row r="112" spans="2:4" x14ac:dyDescent="0.25">
      <c r="B112" s="15"/>
    </row>
    <row r="113" spans="2:2" x14ac:dyDescent="0.25">
      <c r="B113" s="15"/>
    </row>
    <row r="114" spans="2:2" x14ac:dyDescent="0.25">
      <c r="B114" s="113"/>
    </row>
    <row r="115" spans="2:2" x14ac:dyDescent="0.25">
      <c r="B115" s="15"/>
    </row>
    <row r="116" spans="2:2" x14ac:dyDescent="0.25">
      <c r="B116" s="15"/>
    </row>
    <row r="117" spans="2:2" x14ac:dyDescent="0.25">
      <c r="B117" s="15"/>
    </row>
    <row r="118" spans="2:2" x14ac:dyDescent="0.25">
      <c r="B118" s="15"/>
    </row>
    <row r="119" spans="2:2" x14ac:dyDescent="0.25">
      <c r="B119" s="15"/>
    </row>
  </sheetData>
  <mergeCells count="1">
    <mergeCell ref="C40:C41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O34"/>
  <sheetViews>
    <sheetView showZeros="0" zoomScale="70" zoomScaleNormal="70" zoomScaleSheetLayoutView="100" workbookViewId="0">
      <selection activeCell="I18" sqref="I18"/>
    </sheetView>
  </sheetViews>
  <sheetFormatPr defaultRowHeight="15" x14ac:dyDescent="0.25"/>
  <cols>
    <col min="1" max="1" width="3.42578125" customWidth="1"/>
    <col min="2" max="2" width="18" customWidth="1"/>
    <col min="3" max="3" width="48.5703125" customWidth="1"/>
    <col min="4" max="4" width="11.140625" customWidth="1"/>
    <col min="5" max="5" width="14.85546875" customWidth="1"/>
    <col min="6" max="6" width="11.140625" customWidth="1"/>
    <col min="7" max="7" width="15.140625" customWidth="1"/>
    <col min="8" max="8" width="14.140625" customWidth="1"/>
    <col min="9" max="9" width="18" customWidth="1"/>
    <col min="10" max="10" width="20.85546875" customWidth="1"/>
    <col min="11" max="11" width="19.140625" customWidth="1"/>
    <col min="12" max="12" width="13" customWidth="1"/>
    <col min="13" max="13" width="19.85546875" customWidth="1"/>
    <col min="14" max="14" width="16" customWidth="1"/>
    <col min="15" max="15" width="18" customWidth="1"/>
    <col min="16" max="16" width="15.42578125" customWidth="1"/>
    <col min="17" max="17" width="12.5703125" customWidth="1"/>
  </cols>
  <sheetData>
    <row r="1" spans="2:13" ht="6.75" customHeight="1" x14ac:dyDescent="0.25"/>
    <row r="2" spans="2:13" s="11" customFormat="1" ht="21.75" thickBot="1" x14ac:dyDescent="0.3">
      <c r="B2" s="13"/>
      <c r="C2" s="2" t="s">
        <v>5</v>
      </c>
      <c r="D2" s="2" t="s">
        <v>6</v>
      </c>
      <c r="E2" s="2" t="s">
        <v>7</v>
      </c>
      <c r="F2" s="2" t="s">
        <v>31</v>
      </c>
      <c r="G2" s="2" t="s">
        <v>1</v>
      </c>
      <c r="H2" s="2" t="s">
        <v>34</v>
      </c>
      <c r="I2" s="2" t="s">
        <v>32</v>
      </c>
      <c r="J2" s="2" t="s">
        <v>28</v>
      </c>
      <c r="K2" s="2" t="s">
        <v>33</v>
      </c>
      <c r="L2" s="2" t="s">
        <v>3</v>
      </c>
    </row>
    <row r="3" spans="2:13" x14ac:dyDescent="0.25">
      <c r="B3" s="79"/>
      <c r="C3" s="58"/>
      <c r="D3" s="58"/>
      <c r="E3" s="58"/>
      <c r="F3" s="58"/>
      <c r="G3" s="58"/>
      <c r="H3" s="58"/>
      <c r="I3" s="58"/>
      <c r="J3" s="58"/>
      <c r="K3" s="58"/>
      <c r="L3" s="59"/>
    </row>
    <row r="4" spans="2:13" ht="21" x14ac:dyDescent="0.25">
      <c r="B4" s="144" t="s">
        <v>87</v>
      </c>
      <c r="C4" s="43"/>
      <c r="L4" s="87"/>
    </row>
    <row r="5" spans="2:13" ht="15" customHeight="1" x14ac:dyDescent="0.25">
      <c r="B5" s="86"/>
      <c r="C5" t="s">
        <v>88</v>
      </c>
      <c r="D5" s="56"/>
      <c r="E5">
        <f>23.8+57.5+78.2</f>
        <v>159.5</v>
      </c>
      <c r="F5" s="56"/>
      <c r="G5" s="82">
        <f>F5*E5</f>
        <v>0</v>
      </c>
      <c r="H5" s="83">
        <f>G5*Summary!$H$4</f>
        <v>0</v>
      </c>
      <c r="I5" s="52"/>
      <c r="J5" s="56"/>
      <c r="K5" s="84"/>
      <c r="L5" s="88">
        <f>K5+H5</f>
        <v>0</v>
      </c>
      <c r="M5" s="14"/>
    </row>
    <row r="6" spans="2:13" ht="15" customHeight="1" x14ac:dyDescent="0.25">
      <c r="B6" s="86"/>
      <c r="L6" s="87"/>
    </row>
    <row r="7" spans="2:13" ht="15" customHeight="1" x14ac:dyDescent="0.25">
      <c r="B7" s="142" t="s">
        <v>41</v>
      </c>
      <c r="D7" s="56"/>
      <c r="F7" s="56"/>
      <c r="G7" s="82"/>
      <c r="H7" s="51"/>
      <c r="I7" s="52"/>
      <c r="J7" s="56"/>
      <c r="K7" s="84"/>
      <c r="L7" s="88"/>
      <c r="M7" s="14"/>
    </row>
    <row r="8" spans="2:13" ht="15" customHeight="1" x14ac:dyDescent="0.25">
      <c r="B8" s="142"/>
      <c r="C8" t="s">
        <v>875</v>
      </c>
      <c r="D8" s="56"/>
      <c r="E8" s="177">
        <f>'Fixture+Pipe Qty'!G434+'Fixture+Pipe Qty'!G435</f>
        <v>54.780000000000008</v>
      </c>
      <c r="F8" s="56">
        <v>3.7999999999999999E-2</v>
      </c>
      <c r="G8" s="82">
        <f t="shared" ref="G8:G9" si="0">(D8+E8)*F8</f>
        <v>2.0816400000000002</v>
      </c>
      <c r="H8" s="170">
        <f>G8*Summary!$H$4</f>
        <v>359.08290000000005</v>
      </c>
      <c r="I8" s="52"/>
      <c r="J8" s="56"/>
      <c r="K8" s="84">
        <f t="shared" ref="K8:K9" si="1">((D8+E8)*I8)+((D8+E8)*J8)</f>
        <v>0</v>
      </c>
      <c r="L8" s="167">
        <f t="shared" ref="L8:L9" si="2">K8+H8</f>
        <v>359.08290000000005</v>
      </c>
      <c r="M8" s="14"/>
    </row>
    <row r="9" spans="2:13" ht="15" customHeight="1" x14ac:dyDescent="0.25">
      <c r="B9" s="142"/>
      <c r="C9" t="s">
        <v>876</v>
      </c>
      <c r="D9" s="56"/>
      <c r="E9" s="177">
        <f>'Fixture+Pipe Qty'!G436+'Fixture+Pipe Qty'!G437</f>
        <v>42.02</v>
      </c>
      <c r="F9" s="56">
        <v>6.8000000000000005E-2</v>
      </c>
      <c r="G9" s="82">
        <f t="shared" si="0"/>
        <v>2.8573600000000003</v>
      </c>
      <c r="H9" s="170">
        <f>G9*Summary!$H$4</f>
        <v>492.89460000000008</v>
      </c>
      <c r="I9" s="52"/>
      <c r="J9" s="56"/>
      <c r="K9" s="84">
        <f t="shared" si="1"/>
        <v>0</v>
      </c>
      <c r="L9" s="167">
        <f t="shared" si="2"/>
        <v>492.89460000000008</v>
      </c>
      <c r="M9" s="14"/>
    </row>
    <row r="10" spans="2:13" ht="15" customHeight="1" x14ac:dyDescent="0.25">
      <c r="B10" s="142"/>
      <c r="C10" t="s">
        <v>877</v>
      </c>
      <c r="D10" s="56"/>
      <c r="E10" s="177">
        <f>10+(10*2*4)</f>
        <v>90</v>
      </c>
      <c r="F10" s="56">
        <v>2.1999999999999999E-2</v>
      </c>
      <c r="G10" s="82">
        <f t="shared" ref="G10:G11" si="3">(D10+E10)*F10</f>
        <v>1.98</v>
      </c>
      <c r="H10" s="170">
        <f>G10*Summary!$H$4</f>
        <v>341.55</v>
      </c>
      <c r="I10" s="52"/>
      <c r="J10" s="56"/>
      <c r="K10" s="84">
        <f t="shared" ref="K10:K11" si="4">((D10+E10)*I10)+((D10+E10)*J10)</f>
        <v>0</v>
      </c>
      <c r="L10" s="167">
        <f t="shared" ref="L10:L11" si="5">K10+H10</f>
        <v>341.55</v>
      </c>
      <c r="M10" s="14"/>
    </row>
    <row r="11" spans="2:13" ht="15" customHeight="1" x14ac:dyDescent="0.25">
      <c r="B11" s="142"/>
      <c r="C11" t="s">
        <v>878</v>
      </c>
      <c r="D11" s="56"/>
      <c r="E11" s="177">
        <f>10*5</f>
        <v>50</v>
      </c>
      <c r="F11" s="56">
        <v>3.7999999999999999E-2</v>
      </c>
      <c r="G11" s="82">
        <f t="shared" si="3"/>
        <v>1.9</v>
      </c>
      <c r="H11" s="170">
        <f>G11*Summary!$H$4</f>
        <v>327.75</v>
      </c>
      <c r="I11" s="52"/>
      <c r="J11" s="56"/>
      <c r="K11" s="84">
        <f t="shared" si="4"/>
        <v>0</v>
      </c>
      <c r="L11" s="167">
        <f t="shared" si="5"/>
        <v>327.75</v>
      </c>
      <c r="M11" s="14"/>
    </row>
    <row r="12" spans="2:13" ht="15" customHeight="1" x14ac:dyDescent="0.25">
      <c r="B12" s="142"/>
      <c r="D12" s="56"/>
      <c r="F12" s="56"/>
      <c r="G12" s="82"/>
      <c r="H12" s="51"/>
      <c r="I12" s="52"/>
      <c r="J12" s="56"/>
      <c r="K12" s="84"/>
      <c r="L12" s="88"/>
      <c r="M12" s="14"/>
    </row>
    <row r="13" spans="2:13" ht="15" customHeight="1" x14ac:dyDescent="0.25">
      <c r="B13" s="142"/>
      <c r="D13" s="56"/>
      <c r="F13" s="56"/>
      <c r="G13" s="82"/>
      <c r="H13" s="51"/>
      <c r="I13" s="52"/>
      <c r="J13" s="56"/>
      <c r="K13" s="84"/>
      <c r="L13" s="88"/>
      <c r="M13" s="14"/>
    </row>
    <row r="14" spans="2:13" ht="15" customHeight="1" x14ac:dyDescent="0.25">
      <c r="B14" s="142" t="s">
        <v>121</v>
      </c>
      <c r="D14" s="56"/>
      <c r="F14" s="56"/>
      <c r="G14" s="82"/>
      <c r="H14" s="51"/>
      <c r="I14" s="52"/>
      <c r="J14" s="56"/>
      <c r="K14" s="84"/>
      <c r="L14" s="88"/>
      <c r="M14" s="14"/>
    </row>
    <row r="15" spans="2:13" ht="15" customHeight="1" x14ac:dyDescent="0.25">
      <c r="B15" s="142"/>
      <c r="D15" s="56"/>
      <c r="F15" s="56"/>
      <c r="G15" s="82"/>
      <c r="H15" s="51"/>
      <c r="I15" s="52"/>
      <c r="J15" s="56"/>
      <c r="K15" s="84"/>
      <c r="L15" s="88"/>
      <c r="M15" s="14"/>
    </row>
    <row r="16" spans="2:13" ht="15" customHeight="1" x14ac:dyDescent="0.25">
      <c r="B16" s="142"/>
      <c r="D16" s="56"/>
      <c r="F16" s="56"/>
      <c r="G16" s="82"/>
      <c r="H16" s="51"/>
      <c r="I16" s="52"/>
      <c r="J16" s="56"/>
      <c r="K16" s="84"/>
      <c r="L16" s="88"/>
      <c r="M16" s="14"/>
    </row>
    <row r="17" spans="2:15" ht="15" customHeight="1" x14ac:dyDescent="0.25">
      <c r="B17" s="142" t="s">
        <v>120</v>
      </c>
      <c r="D17" s="56"/>
      <c r="F17" s="56"/>
      <c r="G17" s="82"/>
      <c r="H17" s="51"/>
      <c r="I17" s="52"/>
      <c r="J17" s="56"/>
      <c r="K17" s="84"/>
      <c r="L17" s="88"/>
      <c r="M17" s="14"/>
    </row>
    <row r="18" spans="2:15" ht="15" customHeight="1" x14ac:dyDescent="0.25">
      <c r="B18" s="142"/>
      <c r="C18" t="s">
        <v>870</v>
      </c>
      <c r="D18" s="56">
        <v>1</v>
      </c>
      <c r="F18" s="56">
        <v>0.95</v>
      </c>
      <c r="G18" s="159">
        <f t="shared" ref="G18:G23" si="6">(D18+E18)*F18</f>
        <v>0.95</v>
      </c>
      <c r="H18" s="160">
        <f>G18*Summary!$H$4</f>
        <v>163.875</v>
      </c>
      <c r="I18" s="52"/>
      <c r="J18" s="56"/>
      <c r="K18" s="162">
        <f t="shared" ref="K18:K22" si="7">((D18+E18)*I18)+((D18+E18)*J18)</f>
        <v>0</v>
      </c>
      <c r="L18" s="163">
        <f t="shared" ref="L18:L22" si="8">K18+H18</f>
        <v>163.875</v>
      </c>
      <c r="M18" s="14"/>
    </row>
    <row r="19" spans="2:15" ht="15" customHeight="1" x14ac:dyDescent="0.25">
      <c r="B19" s="142"/>
      <c r="C19" t="s">
        <v>871</v>
      </c>
      <c r="D19" s="56">
        <v>1</v>
      </c>
      <c r="F19" s="56">
        <v>0.85</v>
      </c>
      <c r="G19" s="159">
        <f t="shared" si="6"/>
        <v>0.85</v>
      </c>
      <c r="H19" s="160">
        <f>G19*Summary!$H$4</f>
        <v>146.625</v>
      </c>
      <c r="I19" s="52"/>
      <c r="J19" s="56"/>
      <c r="K19" s="162">
        <f t="shared" si="7"/>
        <v>0</v>
      </c>
      <c r="L19" s="163">
        <f t="shared" si="8"/>
        <v>146.625</v>
      </c>
      <c r="M19" s="14"/>
    </row>
    <row r="20" spans="2:15" ht="15" customHeight="1" x14ac:dyDescent="0.25">
      <c r="B20" s="142"/>
      <c r="C20" t="s">
        <v>872</v>
      </c>
      <c r="D20" s="56">
        <v>1</v>
      </c>
      <c r="F20" s="56">
        <v>0.85</v>
      </c>
      <c r="G20" s="159">
        <f t="shared" si="6"/>
        <v>0.85</v>
      </c>
      <c r="H20" s="160">
        <f>G20*Summary!$H$4</f>
        <v>146.625</v>
      </c>
      <c r="I20" s="52"/>
      <c r="J20" s="56"/>
      <c r="K20" s="162">
        <f t="shared" si="7"/>
        <v>0</v>
      </c>
      <c r="L20" s="163">
        <f t="shared" si="8"/>
        <v>146.625</v>
      </c>
      <c r="M20" s="14"/>
    </row>
    <row r="21" spans="2:15" ht="15" customHeight="1" x14ac:dyDescent="0.25">
      <c r="B21" s="142"/>
      <c r="C21" t="s">
        <v>873</v>
      </c>
      <c r="D21" s="56">
        <v>1</v>
      </c>
      <c r="F21" s="56">
        <v>0.85</v>
      </c>
      <c r="G21" s="159">
        <f t="shared" si="6"/>
        <v>0.85</v>
      </c>
      <c r="H21" s="160">
        <f>G21*Summary!$H$4</f>
        <v>146.625</v>
      </c>
      <c r="I21" s="52"/>
      <c r="J21" s="56"/>
      <c r="K21" s="162">
        <f t="shared" si="7"/>
        <v>0</v>
      </c>
      <c r="L21" s="163">
        <f t="shared" si="8"/>
        <v>146.625</v>
      </c>
      <c r="M21" s="14"/>
    </row>
    <row r="22" spans="2:15" ht="15" customHeight="1" x14ac:dyDescent="0.25">
      <c r="B22" s="142"/>
      <c r="C22" t="s">
        <v>874</v>
      </c>
      <c r="D22" s="56">
        <v>3</v>
      </c>
      <c r="F22" s="56">
        <v>0.5</v>
      </c>
      <c r="G22" s="159">
        <f t="shared" si="6"/>
        <v>1.5</v>
      </c>
      <c r="H22" s="160">
        <f>G22*Summary!$H$4</f>
        <v>258.75</v>
      </c>
      <c r="I22" s="52"/>
      <c r="J22" s="56"/>
      <c r="K22" s="162">
        <f t="shared" si="7"/>
        <v>0</v>
      </c>
      <c r="L22" s="163">
        <f t="shared" si="8"/>
        <v>258.75</v>
      </c>
      <c r="M22" s="14"/>
    </row>
    <row r="23" spans="2:15" ht="15" customHeight="1" x14ac:dyDescent="0.25">
      <c r="B23" s="142"/>
      <c r="C23" t="s">
        <v>882</v>
      </c>
      <c r="D23" s="56">
        <v>1</v>
      </c>
      <c r="F23" s="56">
        <v>1.5</v>
      </c>
      <c r="G23" s="82">
        <f t="shared" si="6"/>
        <v>1.5</v>
      </c>
      <c r="H23" s="160">
        <f>G23*Summary!$H$4</f>
        <v>258.75</v>
      </c>
      <c r="I23" s="52"/>
      <c r="J23" s="56"/>
      <c r="K23" s="162">
        <f t="shared" ref="K23" si="9">((D23+E23)*I23)+((D23+E23)*J23)</f>
        <v>0</v>
      </c>
      <c r="L23" s="163">
        <f t="shared" ref="L23" si="10">K23+H23</f>
        <v>258.75</v>
      </c>
      <c r="M23" s="14"/>
    </row>
    <row r="24" spans="2:15" ht="15" customHeight="1" x14ac:dyDescent="0.25">
      <c r="B24" s="142" t="s">
        <v>81</v>
      </c>
      <c r="D24" s="56"/>
      <c r="F24" s="56"/>
      <c r="G24" s="82"/>
      <c r="H24" s="51"/>
      <c r="I24" s="52"/>
      <c r="J24" s="56"/>
      <c r="K24" s="84"/>
      <c r="L24" s="88"/>
      <c r="M24" s="14"/>
    </row>
    <row r="25" spans="2:15" ht="15" customHeight="1" x14ac:dyDescent="0.25">
      <c r="B25" s="142"/>
      <c r="D25" s="56"/>
      <c r="F25" s="56"/>
      <c r="G25" s="82"/>
      <c r="H25" s="51"/>
      <c r="I25" s="52"/>
      <c r="J25" s="56"/>
      <c r="K25" s="84"/>
      <c r="L25" s="88"/>
      <c r="M25" s="14"/>
    </row>
    <row r="26" spans="2:15" ht="15" customHeight="1" thickBot="1" x14ac:dyDescent="0.3">
      <c r="B26" s="142"/>
      <c r="D26" s="56"/>
      <c r="F26" s="56"/>
      <c r="G26" s="82"/>
      <c r="H26" s="51"/>
      <c r="I26" s="52"/>
      <c r="J26" s="56"/>
      <c r="K26" s="84"/>
      <c r="L26" s="88"/>
      <c r="M26" s="14"/>
    </row>
    <row r="27" spans="2:15" s="1" customFormat="1" ht="15" customHeight="1" thickBot="1" x14ac:dyDescent="0.3">
      <c r="B27" s="211"/>
      <c r="C27" s="212" t="s">
        <v>89</v>
      </c>
      <c r="D27" s="212">
        <f>SUM(D4:D26)</f>
        <v>8</v>
      </c>
      <c r="E27" s="212">
        <f>SUM(E4:E26)</f>
        <v>396.3</v>
      </c>
      <c r="F27" s="212"/>
      <c r="G27" s="184">
        <f>SUM(G5:G26)</f>
        <v>15.318999999999999</v>
      </c>
      <c r="H27" s="141">
        <f>SUM(H3:H6)</f>
        <v>0</v>
      </c>
      <c r="I27" s="141"/>
      <c r="J27" s="141"/>
      <c r="K27" s="141">
        <f>SUM(K3:K26)</f>
        <v>0</v>
      </c>
      <c r="L27" s="140">
        <f>SUM(L3:L26)</f>
        <v>2642.5275000000001</v>
      </c>
      <c r="M27" s="151">
        <f>SUM(L4:L26)</f>
        <v>2642.5275000000001</v>
      </c>
    </row>
    <row r="28" spans="2:15" s="1" customFormat="1" ht="15" customHeight="1" x14ac:dyDescent="0.25">
      <c r="B28" s="142"/>
      <c r="C28" s="198"/>
      <c r="G28" s="368"/>
      <c r="L28" s="137"/>
      <c r="M28" s="151"/>
    </row>
    <row r="29" spans="2:15" ht="18.75" x14ac:dyDescent="0.3">
      <c r="B29" s="369" t="s">
        <v>107</v>
      </c>
      <c r="C29" s="11"/>
      <c r="D29" s="11"/>
      <c r="E29" s="11"/>
      <c r="F29" s="11"/>
      <c r="G29" s="143"/>
      <c r="H29" s="147"/>
      <c r="I29" s="82"/>
      <c r="J29" s="51"/>
      <c r="K29" s="148"/>
      <c r="L29" s="201"/>
      <c r="M29" s="14"/>
      <c r="N29" s="14"/>
      <c r="O29" s="14"/>
    </row>
    <row r="30" spans="2:15" x14ac:dyDescent="0.25">
      <c r="B30" s="86" t="s">
        <v>122</v>
      </c>
      <c r="C30" t="s">
        <v>115</v>
      </c>
      <c r="D30" s="11" t="s">
        <v>119</v>
      </c>
      <c r="E30" s="11"/>
      <c r="F30" s="11"/>
      <c r="G30" s="143">
        <f>G27*0.25</f>
        <v>3.8297499999999998</v>
      </c>
      <c r="H30" s="51">
        <f>G30*Summary!$H$4</f>
        <v>660.63187499999992</v>
      </c>
      <c r="I30" s="52"/>
      <c r="J30" s="56"/>
      <c r="K30" s="84"/>
      <c r="L30" s="88">
        <f t="shared" ref="L30" si="11">K30+H30</f>
        <v>660.63187499999992</v>
      </c>
      <c r="M30" s="14"/>
      <c r="N30" s="14"/>
      <c r="O30" s="14"/>
    </row>
    <row r="31" spans="2:15" ht="15.75" thickBot="1" x14ac:dyDescent="0.3">
      <c r="B31" s="96"/>
      <c r="C31" s="135"/>
      <c r="D31" s="149"/>
      <c r="E31" s="149"/>
      <c r="F31" s="149"/>
      <c r="G31" s="150"/>
      <c r="H31" s="135"/>
      <c r="I31" s="135"/>
      <c r="J31" s="135"/>
      <c r="K31" s="135"/>
      <c r="L31" s="97"/>
      <c r="M31" s="14"/>
      <c r="N31" s="14"/>
      <c r="O31" s="14"/>
    </row>
    <row r="32" spans="2:15" s="1" customFormat="1" ht="15.75" thickBot="1" x14ac:dyDescent="0.3">
      <c r="B32" s="179"/>
      <c r="C32" s="180"/>
      <c r="D32" s="191"/>
      <c r="E32" s="191"/>
      <c r="F32" s="191"/>
      <c r="G32" s="192">
        <f>G30</f>
        <v>3.8297499999999998</v>
      </c>
      <c r="H32" s="202">
        <f>H30</f>
        <v>660.63187499999992</v>
      </c>
      <c r="I32" s="193">
        <f>SUM(I30:I31)</f>
        <v>0</v>
      </c>
      <c r="J32" s="194">
        <f>SUM(J30:J31)</f>
        <v>0</v>
      </c>
      <c r="K32" s="191"/>
      <c r="L32" s="203"/>
      <c r="M32" s="151">
        <f>SUM(L29:L31)</f>
        <v>660.63187499999992</v>
      </c>
      <c r="N32" s="151"/>
      <c r="O32" s="151"/>
    </row>
    <row r="34" spans="13:13" x14ac:dyDescent="0.25">
      <c r="M34" s="151">
        <f>SUM(M4:M33)</f>
        <v>3303.1593750000002</v>
      </c>
    </row>
  </sheetData>
  <pageMargins left="0.7" right="0.7" top="0.75" bottom="0.75" header="0.3" footer="0.3"/>
  <pageSetup paperSize="9" scale="3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U391"/>
  <sheetViews>
    <sheetView showZeros="0" zoomScale="85" zoomScaleNormal="85" zoomScaleSheetLayoutView="70" workbookViewId="0">
      <pane ySplit="2" topLeftCell="A352" activePane="bottomLeft" state="frozen"/>
      <selection pane="bottomLeft" activeCell="L105" sqref="L105"/>
    </sheetView>
  </sheetViews>
  <sheetFormatPr defaultRowHeight="15" outlineLevelRow="1" x14ac:dyDescent="0.25"/>
  <cols>
    <col min="1" max="1" width="1.140625" style="511" customWidth="1"/>
    <col min="2" max="2" width="2.140625" customWidth="1"/>
    <col min="3" max="3" width="33.7109375" customWidth="1"/>
    <col min="4" max="4" width="49.140625" customWidth="1"/>
    <col min="5" max="5" width="12.140625" style="11" customWidth="1"/>
    <col min="6" max="6" width="15.28515625" style="11" customWidth="1"/>
    <col min="7" max="7" width="11.140625" customWidth="1"/>
    <col min="8" max="8" width="12.85546875" customWidth="1"/>
    <col min="9" max="9" width="20.85546875" customWidth="1"/>
    <col min="10" max="11" width="24.85546875" customWidth="1"/>
    <col min="12" max="14" width="23.42578125" customWidth="1"/>
    <col min="15" max="15" width="17.42578125" customWidth="1"/>
    <col min="16" max="16" width="17.140625" customWidth="1"/>
    <col min="18" max="19" width="9.5703125" bestFit="1" customWidth="1"/>
    <col min="20" max="20" width="15.7109375" customWidth="1"/>
    <col min="21" max="26" width="9.85546875" customWidth="1"/>
  </cols>
  <sheetData>
    <row r="1" spans="1:26" ht="6.75" customHeight="1" x14ac:dyDescent="0.25"/>
    <row r="2" spans="1:26" s="11" customFormat="1" ht="21" x14ac:dyDescent="0.25">
      <c r="A2" s="510"/>
      <c r="C2" s="13"/>
      <c r="D2" s="2" t="s">
        <v>5</v>
      </c>
      <c r="E2" s="2" t="s">
        <v>29</v>
      </c>
      <c r="F2" s="2" t="s">
        <v>30</v>
      </c>
      <c r="G2" s="2" t="s">
        <v>6</v>
      </c>
      <c r="H2" s="2" t="s">
        <v>55</v>
      </c>
      <c r="I2" s="2" t="s">
        <v>31</v>
      </c>
      <c r="J2" s="2" t="s">
        <v>1</v>
      </c>
      <c r="K2" s="2" t="s">
        <v>113</v>
      </c>
      <c r="L2" s="2" t="s">
        <v>32</v>
      </c>
      <c r="M2" s="2" t="s">
        <v>28</v>
      </c>
      <c r="N2" s="2" t="s">
        <v>114</v>
      </c>
      <c r="O2" s="2" t="s">
        <v>112</v>
      </c>
    </row>
    <row r="3" spans="1:26" ht="21.75" thickBot="1" x14ac:dyDescent="0.3">
      <c r="C3" s="467"/>
    </row>
    <row r="4" spans="1:26" x14ac:dyDescent="0.25">
      <c r="C4" s="446"/>
      <c r="D4" s="447"/>
      <c r="E4" s="448"/>
      <c r="F4" s="448"/>
      <c r="G4" s="447"/>
      <c r="H4" s="447"/>
      <c r="I4" s="447"/>
      <c r="J4" s="449"/>
      <c r="K4" s="450"/>
      <c r="L4" s="447"/>
      <c r="M4" s="447"/>
      <c r="N4" s="451"/>
      <c r="O4" s="452"/>
      <c r="P4" s="14"/>
      <c r="R4" s="348"/>
      <c r="S4" s="348"/>
    </row>
    <row r="5" spans="1:26" ht="21" x14ac:dyDescent="0.25">
      <c r="C5" s="453" t="s">
        <v>481</v>
      </c>
      <c r="D5" s="454"/>
      <c r="E5" s="455"/>
      <c r="F5" s="455"/>
      <c r="G5" s="454"/>
      <c r="H5" s="454"/>
      <c r="I5" s="454"/>
      <c r="J5" s="456"/>
      <c r="K5" s="457"/>
      <c r="L5" s="454"/>
      <c r="M5" s="454"/>
      <c r="N5" s="458"/>
      <c r="O5" s="459"/>
      <c r="P5" s="14"/>
      <c r="R5" s="348"/>
      <c r="S5" s="348"/>
    </row>
    <row r="6" spans="1:26" ht="15.75" thickBot="1" x14ac:dyDescent="0.3">
      <c r="C6" s="460"/>
      <c r="D6" s="461"/>
      <c r="E6" s="462"/>
      <c r="F6" s="462"/>
      <c r="G6" s="461"/>
      <c r="H6" s="461"/>
      <c r="I6" s="461"/>
      <c r="J6" s="463"/>
      <c r="K6" s="464"/>
      <c r="L6" s="461"/>
      <c r="M6" s="461"/>
      <c r="N6" s="465"/>
      <c r="O6" s="466"/>
      <c r="P6" s="14"/>
      <c r="R6" s="348"/>
      <c r="S6" s="348"/>
    </row>
    <row r="7" spans="1:26" ht="21.75" thickBot="1" x14ac:dyDescent="0.3">
      <c r="C7" s="468"/>
      <c r="D7" s="381"/>
      <c r="E7" s="396"/>
      <c r="F7" s="396"/>
      <c r="G7" s="381"/>
      <c r="H7" s="381"/>
      <c r="I7" s="381"/>
      <c r="J7" s="381"/>
      <c r="K7" s="381"/>
      <c r="L7" s="381"/>
      <c r="M7" s="381"/>
      <c r="N7" s="381"/>
      <c r="O7" s="381"/>
      <c r="U7" s="631" t="s">
        <v>141</v>
      </c>
      <c r="V7" s="631"/>
      <c r="W7" s="631"/>
      <c r="X7" s="631"/>
      <c r="Y7" s="631"/>
      <c r="Z7" s="631"/>
    </row>
    <row r="8" spans="1:26" ht="15.75" customHeight="1" thickBot="1" x14ac:dyDescent="0.3">
      <c r="C8" s="469"/>
      <c r="D8" s="390"/>
      <c r="E8" s="391"/>
      <c r="F8" s="391"/>
      <c r="G8" s="390"/>
      <c r="H8" s="390"/>
      <c r="I8" s="390"/>
      <c r="J8" s="390"/>
      <c r="K8" s="390"/>
      <c r="L8" s="390"/>
      <c r="M8" s="390"/>
      <c r="N8" s="390"/>
      <c r="O8" s="404"/>
      <c r="T8" t="s">
        <v>606</v>
      </c>
      <c r="U8" s="548">
        <v>6</v>
      </c>
      <c r="V8" s="548">
        <v>8</v>
      </c>
      <c r="W8" s="548">
        <v>10</v>
      </c>
      <c r="X8" s="548">
        <v>12</v>
      </c>
      <c r="Y8" s="548">
        <v>14</v>
      </c>
      <c r="Z8" s="548">
        <v>16</v>
      </c>
    </row>
    <row r="9" spans="1:26" ht="22.5" thickTop="1" thickBot="1" x14ac:dyDescent="0.4">
      <c r="C9" s="413" t="s">
        <v>482</v>
      </c>
      <c r="D9" s="414"/>
      <c r="E9" s="415"/>
      <c r="F9" s="415"/>
      <c r="G9" s="416"/>
      <c r="H9" s="417"/>
      <c r="I9" s="416"/>
      <c r="J9" s="418"/>
      <c r="K9" s="419"/>
      <c r="L9" s="416"/>
      <c r="M9" s="416"/>
      <c r="N9" s="420"/>
      <c r="O9" s="421"/>
      <c r="P9" s="14"/>
      <c r="R9" s="349">
        <f t="shared" ref="R9" si="0">IF(F9="X", IF(G9&lt;&gt;"", IF(OR(I9&lt;&gt;"",L9&lt;&gt;""), "✔", "ERROR"),"ERROR"),0)</f>
        <v>0</v>
      </c>
      <c r="S9" s="348"/>
      <c r="T9" s="10" t="s">
        <v>623</v>
      </c>
      <c r="U9" s="38">
        <v>450</v>
      </c>
      <c r="V9" s="38">
        <v>383</v>
      </c>
      <c r="W9" s="36">
        <v>338</v>
      </c>
      <c r="X9" s="36">
        <v>270</v>
      </c>
      <c r="Y9" s="36">
        <v>225</v>
      </c>
      <c r="Z9" s="36">
        <v>180</v>
      </c>
    </row>
    <row r="10" spans="1:26" ht="21.75" hidden="1" outlineLevel="1" thickTop="1" x14ac:dyDescent="0.35">
      <c r="C10" s="470"/>
      <c r="D10" s="222"/>
      <c r="G10" s="52"/>
      <c r="I10" s="52"/>
      <c r="J10" s="82"/>
      <c r="K10" s="51"/>
      <c r="L10" s="52"/>
      <c r="M10" s="52"/>
      <c r="N10" s="170"/>
      <c r="O10" s="174"/>
      <c r="P10" s="14"/>
      <c r="R10" s="349"/>
      <c r="S10" s="348"/>
      <c r="U10" s="43"/>
    </row>
    <row r="11" spans="1:26" ht="15.75" hidden="1" outlineLevel="1" x14ac:dyDescent="0.25">
      <c r="C11" s="471" t="s">
        <v>484</v>
      </c>
      <c r="D11" s="1" t="s">
        <v>609</v>
      </c>
      <c r="O11" s="87"/>
    </row>
    <row r="12" spans="1:26" hidden="1" outlineLevel="1" x14ac:dyDescent="0.25">
      <c r="C12" s="86"/>
      <c r="D12" s="279" t="s">
        <v>607</v>
      </c>
      <c r="E12" s="56"/>
      <c r="G12" s="56"/>
      <c r="H12" s="316">
        <v>6</v>
      </c>
      <c r="I12">
        <f>IFERROR(INDEX($U$28:$AF$79,MATCH(D30,$T$28:$T$79,0),MATCH(E30,$U$24:$AF$24,0)),0)</f>
        <v>0</v>
      </c>
      <c r="O12" s="87"/>
    </row>
    <row r="13" spans="1:26" hidden="1" outlineLevel="1" x14ac:dyDescent="0.25">
      <c r="C13" s="86"/>
      <c r="D13" s="279" t="s">
        <v>610</v>
      </c>
      <c r="F13"/>
      <c r="G13" s="313"/>
      <c r="H13" s="549">
        <v>0</v>
      </c>
      <c r="I13" s="83"/>
      <c r="O13" s="87"/>
    </row>
    <row r="14" spans="1:26" ht="15" hidden="1" customHeight="1" outlineLevel="1" x14ac:dyDescent="0.25">
      <c r="C14" s="86"/>
      <c r="D14" s="279" t="s">
        <v>611</v>
      </c>
      <c r="F14"/>
      <c r="G14" s="314">
        <f>I30</f>
        <v>0</v>
      </c>
      <c r="H14" s="549">
        <v>0</v>
      </c>
      <c r="I14" s="83"/>
      <c r="O14" s="87"/>
    </row>
    <row r="15" spans="1:26" hidden="1" outlineLevel="1" x14ac:dyDescent="0.25">
      <c r="C15" s="86"/>
      <c r="D15" s="1" t="s">
        <v>612</v>
      </c>
      <c r="E15" s="56"/>
      <c r="F15"/>
      <c r="G15" s="56"/>
      <c r="H15" s="82"/>
      <c r="I15" s="83"/>
      <c r="J15" s="52"/>
      <c r="K15" s="51"/>
      <c r="L15" s="84"/>
      <c r="M15" s="85"/>
      <c r="O15" s="136"/>
      <c r="P15" s="14"/>
    </row>
    <row r="16" spans="1:26" hidden="1" outlineLevel="1" x14ac:dyDescent="0.25">
      <c r="C16" s="86"/>
      <c r="D16" s="279" t="s">
        <v>613</v>
      </c>
      <c r="E16" s="11" t="s">
        <v>46</v>
      </c>
      <c r="F16" s="11" t="s">
        <v>46</v>
      </c>
      <c r="G16" s="56"/>
      <c r="H16" s="82">
        <f>SUM(H13:H14)</f>
        <v>0</v>
      </c>
      <c r="I16" s="52">
        <f>8/500*(120/65)</f>
        <v>2.9538461538461541E-2</v>
      </c>
      <c r="J16" s="82">
        <f>(G16+H16)*I16</f>
        <v>0</v>
      </c>
      <c r="K16" s="51">
        <f>J16*Summary!$H$4</f>
        <v>0</v>
      </c>
      <c r="L16" s="84"/>
      <c r="M16" s="85"/>
      <c r="O16" s="136">
        <f>N16+K16</f>
        <v>0</v>
      </c>
      <c r="P16" s="14"/>
    </row>
    <row r="17" spans="3:16" hidden="1" outlineLevel="1" x14ac:dyDescent="0.25">
      <c r="C17" s="86"/>
      <c r="D17" s="279" t="s">
        <v>620</v>
      </c>
      <c r="E17" s="11" t="s">
        <v>46</v>
      </c>
      <c r="F17" s="11" t="s">
        <v>46</v>
      </c>
      <c r="G17" s="56"/>
      <c r="H17" s="82">
        <f>SUM(H13:H14)</f>
        <v>0</v>
      </c>
      <c r="I17" s="52">
        <f>IF(H12&gt;0,8/IFERROR(INDEX($U$9:$Z$9,MATCH(H12,$U$8:$Z$8,0)),U9)*300/65*2,0)</f>
        <v>0.1641025641025641</v>
      </c>
      <c r="J17" s="82">
        <f>(G17+H17)*I17</f>
        <v>0</v>
      </c>
      <c r="K17" s="51">
        <f>J17*Summary!$H$4</f>
        <v>0</v>
      </c>
      <c r="L17" s="84"/>
      <c r="M17" s="85"/>
      <c r="O17" s="136">
        <f>N17+K17</f>
        <v>0</v>
      </c>
      <c r="P17" s="14"/>
    </row>
    <row r="18" spans="3:16" hidden="1" outlineLevel="1" x14ac:dyDescent="0.25">
      <c r="C18" s="86"/>
      <c r="D18" s="279" t="s">
        <v>619</v>
      </c>
      <c r="E18" s="11" t="s">
        <v>46</v>
      </c>
      <c r="F18" s="11" t="s">
        <v>46</v>
      </c>
      <c r="G18" s="56"/>
      <c r="H18" s="82">
        <f>G30*1.1</f>
        <v>0</v>
      </c>
      <c r="I18" s="52"/>
      <c r="J18" s="82"/>
      <c r="K18" s="51"/>
      <c r="L18" s="52">
        <v>30</v>
      </c>
      <c r="M18" s="85"/>
      <c r="N18" s="84">
        <f>L18*(H18+G18)</f>
        <v>0</v>
      </c>
      <c r="O18" s="136">
        <f>N18+K18</f>
        <v>0</v>
      </c>
      <c r="P18" s="14"/>
    </row>
    <row r="19" spans="3:16" hidden="1" outlineLevel="1" x14ac:dyDescent="0.25">
      <c r="C19" s="86"/>
      <c r="D19" s="279" t="s">
        <v>614</v>
      </c>
      <c r="E19" s="11" t="s">
        <v>46</v>
      </c>
      <c r="F19" s="11" t="s">
        <v>46</v>
      </c>
      <c r="G19" s="56"/>
      <c r="H19" s="82">
        <f>SUM(H13:H14)</f>
        <v>0</v>
      </c>
      <c r="I19" s="52">
        <f>8/500*(100/65)</f>
        <v>2.4615384615384619E-2</v>
      </c>
      <c r="J19" s="82">
        <f>(G19+H19)*I19</f>
        <v>0</v>
      </c>
      <c r="K19" s="51">
        <f>J19*Summary!$H$4</f>
        <v>0</v>
      </c>
      <c r="L19" s="52"/>
      <c r="M19" s="85"/>
      <c r="O19" s="136">
        <f>N19+K19</f>
        <v>0</v>
      </c>
      <c r="P19" s="14"/>
    </row>
    <row r="20" spans="3:16" hidden="1" outlineLevel="1" x14ac:dyDescent="0.25">
      <c r="C20" s="86"/>
      <c r="D20" s="1" t="s">
        <v>608</v>
      </c>
      <c r="G20" s="56"/>
      <c r="H20" s="82"/>
      <c r="I20" s="52"/>
      <c r="J20" s="82"/>
      <c r="K20" s="51"/>
      <c r="L20" s="52"/>
      <c r="M20" s="85"/>
      <c r="O20" s="136"/>
      <c r="P20" s="14"/>
    </row>
    <row r="21" spans="3:16" hidden="1" outlineLevel="1" x14ac:dyDescent="0.25">
      <c r="C21" s="86"/>
      <c r="D21" s="279" t="s">
        <v>615</v>
      </c>
      <c r="E21" s="11" t="s">
        <v>46</v>
      </c>
      <c r="F21" s="11" t="s">
        <v>46</v>
      </c>
      <c r="G21" s="56"/>
      <c r="H21" s="82">
        <f>(((H13+H14)*D30*E30))/27*1.4*1.4/25</f>
        <v>0</v>
      </c>
      <c r="I21" s="52">
        <f>8/50*(128/65)</f>
        <v>0.31507692307692309</v>
      </c>
      <c r="J21" s="82">
        <f>(G21+H21)*I21</f>
        <v>0</v>
      </c>
      <c r="K21" s="51">
        <f>J21*Summary!$H$4</f>
        <v>0</v>
      </c>
      <c r="L21" s="52"/>
      <c r="M21" s="85"/>
      <c r="O21" s="136">
        <f t="shared" ref="O21:O22" si="1">N21+K21</f>
        <v>0</v>
      </c>
      <c r="P21" s="14"/>
    </row>
    <row r="22" spans="3:16" hidden="1" outlineLevel="1" x14ac:dyDescent="0.25">
      <c r="C22" s="86"/>
      <c r="D22" s="279" t="s">
        <v>616</v>
      </c>
      <c r="E22" s="11" t="s">
        <v>46</v>
      </c>
      <c r="F22" s="11" t="s">
        <v>46</v>
      </c>
      <c r="G22" s="56"/>
      <c r="H22" s="82">
        <f>(H14*E30*H12)/27*1.4*1.4</f>
        <v>0</v>
      </c>
      <c r="I22" s="52">
        <f>8/50*(128/65)</f>
        <v>0.31507692307692309</v>
      </c>
      <c r="J22" s="82">
        <f>(G22+H22)*I22</f>
        <v>0</v>
      </c>
      <c r="K22" s="51">
        <f>J22*Summary!$H$4</f>
        <v>0</v>
      </c>
      <c r="L22" s="52"/>
      <c r="M22" s="85"/>
      <c r="O22" s="136">
        <f t="shared" si="1"/>
        <v>0</v>
      </c>
      <c r="P22" s="14"/>
    </row>
    <row r="23" spans="3:16" ht="15" hidden="1" customHeight="1" outlineLevel="1" x14ac:dyDescent="0.25">
      <c r="C23" s="86"/>
      <c r="D23" s="279" t="s">
        <v>617</v>
      </c>
      <c r="E23" s="11" t="s">
        <v>46</v>
      </c>
      <c r="F23" s="11" t="s">
        <v>46</v>
      </c>
      <c r="G23" s="56"/>
      <c r="H23" s="82">
        <f>SUM(H21:H22)</f>
        <v>0</v>
      </c>
      <c r="I23" s="52"/>
      <c r="J23" s="82"/>
      <c r="K23" s="51"/>
      <c r="L23" s="52">
        <v>450</v>
      </c>
      <c r="M23" s="85"/>
      <c r="N23" s="84">
        <f>L23*ROUNDUP((H23+G23)/25,0)</f>
        <v>0</v>
      </c>
      <c r="O23" s="136">
        <f>N23+K23</f>
        <v>0</v>
      </c>
      <c r="P23" s="14"/>
    </row>
    <row r="24" spans="3:16" ht="15" hidden="1" customHeight="1" outlineLevel="1" x14ac:dyDescent="0.25">
      <c r="C24" s="86"/>
      <c r="D24" s="1" t="s">
        <v>279</v>
      </c>
      <c r="E24"/>
      <c r="F24"/>
      <c r="K24" s="1"/>
      <c r="O24" s="137"/>
      <c r="P24" s="315"/>
    </row>
    <row r="25" spans="3:16" ht="15" hidden="1" customHeight="1" outlineLevel="1" x14ac:dyDescent="0.25">
      <c r="C25" s="551" t="s">
        <v>653</v>
      </c>
      <c r="D25" s="279" t="s">
        <v>654</v>
      </c>
      <c r="E25" s="11" t="s">
        <v>46</v>
      </c>
      <c r="F25" s="11" t="s">
        <v>46</v>
      </c>
      <c r="G25">
        <f>IF(C25="YES",ROUNDUP(J17,0),0)</f>
        <v>0</v>
      </c>
      <c r="K25" s="1"/>
      <c r="L25" s="52">
        <f>1500/8</f>
        <v>187.5</v>
      </c>
      <c r="M25" s="85"/>
      <c r="N25" s="84">
        <f>IF(G25&gt;0,L25*(H25+G25)+3000,0)</f>
        <v>0</v>
      </c>
      <c r="O25" s="136">
        <f t="shared" ref="O25" si="2">N25+K25</f>
        <v>0</v>
      </c>
      <c r="P25" s="315"/>
    </row>
    <row r="26" spans="3:16" ht="15" hidden="1" customHeight="1" outlineLevel="1" x14ac:dyDescent="0.25">
      <c r="C26" s="86"/>
      <c r="D26" s="279" t="s">
        <v>655</v>
      </c>
      <c r="E26" s="11" t="s">
        <v>46</v>
      </c>
      <c r="F26" s="11" t="s">
        <v>46</v>
      </c>
      <c r="G26">
        <f>IF(H12&gt;5,ROUNDUP(J17,0),0)</f>
        <v>0</v>
      </c>
      <c r="K26" s="1"/>
      <c r="L26" s="52">
        <v>30</v>
      </c>
      <c r="M26" s="85"/>
      <c r="N26" s="84">
        <f t="shared" ref="N26" si="3">L26*(H26+G26)</f>
        <v>0</v>
      </c>
      <c r="O26" s="136">
        <f>N26+K26</f>
        <v>0</v>
      </c>
      <c r="P26" s="315"/>
    </row>
    <row r="27" spans="3:16" ht="15" hidden="1" customHeight="1" outlineLevel="1" thickBot="1" x14ac:dyDescent="0.3">
      <c r="C27" s="86"/>
      <c r="E27"/>
      <c r="F27"/>
      <c r="K27" s="1"/>
      <c r="O27" s="137"/>
      <c r="P27" s="315"/>
    </row>
    <row r="28" spans="3:16" ht="15.75" hidden="1" customHeight="1" outlineLevel="1" thickBot="1" x14ac:dyDescent="0.3">
      <c r="C28" s="65" t="s">
        <v>54</v>
      </c>
      <c r="D28" s="428"/>
      <c r="E28" s="381"/>
      <c r="F28" s="381"/>
      <c r="G28" s="544"/>
      <c r="H28" s="1"/>
      <c r="J28" s="1"/>
      <c r="K28" s="1"/>
      <c r="O28" s="137"/>
    </row>
    <row r="29" spans="3:16" hidden="1" outlineLevel="1" x14ac:dyDescent="0.25">
      <c r="C29" s="196" t="s">
        <v>601</v>
      </c>
      <c r="D29" s="197" t="s">
        <v>602</v>
      </c>
      <c r="E29" s="197" t="s">
        <v>603</v>
      </c>
      <c r="F29" s="250" t="s">
        <v>605</v>
      </c>
      <c r="G29" s="318" t="s">
        <v>604</v>
      </c>
      <c r="H29" s="1"/>
      <c r="J29" s="1"/>
      <c r="K29" s="108"/>
      <c r="L29" s="108"/>
      <c r="M29" s="108"/>
      <c r="O29" s="137"/>
    </row>
    <row r="30" spans="3:16" ht="15.75" hidden="1" outlineLevel="1" thickBot="1" x14ac:dyDescent="0.3">
      <c r="C30" s="547">
        <v>6</v>
      </c>
      <c r="D30" s="546">
        <f>1.5+C30/12</f>
        <v>2</v>
      </c>
      <c r="E30" s="546">
        <f>2+C30/12</f>
        <v>2.5</v>
      </c>
      <c r="F30" s="545">
        <f>(((H13+H14)*D30*E30)+(H14*E30*(H12-D30)))/27</f>
        <v>0</v>
      </c>
      <c r="G30" s="319">
        <f>ROUNDUP(F30*1.3,0)</f>
        <v>0</v>
      </c>
      <c r="H30" s="1"/>
      <c r="J30" s="1"/>
      <c r="K30" s="108"/>
      <c r="L30" s="108"/>
      <c r="M30" s="108"/>
      <c r="O30" s="137"/>
    </row>
    <row r="31" spans="3:16" hidden="1" outlineLevel="1" x14ac:dyDescent="0.25">
      <c r="C31" s="86"/>
      <c r="D31" s="317" t="s">
        <v>600</v>
      </c>
      <c r="K31" s="1"/>
      <c r="O31" s="137"/>
    </row>
    <row r="32" spans="3:16" hidden="1" outlineLevel="1" x14ac:dyDescent="0.25">
      <c r="C32" s="86"/>
      <c r="D32" s="317" t="s">
        <v>599</v>
      </c>
      <c r="K32" s="1"/>
      <c r="O32" s="137"/>
    </row>
    <row r="33" spans="3:16" hidden="1" outlineLevel="1" x14ac:dyDescent="0.25">
      <c r="C33" s="86"/>
      <c r="K33" s="1"/>
      <c r="O33" s="137"/>
    </row>
    <row r="34" spans="3:16" hidden="1" outlineLevel="1" x14ac:dyDescent="0.25">
      <c r="C34" s="86"/>
      <c r="D34" s="1" t="s">
        <v>609</v>
      </c>
      <c r="O34" s="87"/>
    </row>
    <row r="35" spans="3:16" hidden="1" outlineLevel="1" x14ac:dyDescent="0.25">
      <c r="C35" s="86"/>
      <c r="D35" s="279" t="s">
        <v>607</v>
      </c>
      <c r="E35" s="56"/>
      <c r="G35" s="56"/>
      <c r="H35" s="549">
        <v>0</v>
      </c>
      <c r="I35">
        <f>IFERROR(INDEX($U$28:$AF$79,MATCH(D53,$T$28:$T$79,0),MATCH(E53,$U$24:$AF$24,0)),0)</f>
        <v>0</v>
      </c>
      <c r="O35" s="87"/>
    </row>
    <row r="36" spans="3:16" hidden="1" outlineLevel="1" x14ac:dyDescent="0.25">
      <c r="C36" s="86"/>
      <c r="D36" s="279" t="s">
        <v>610</v>
      </c>
      <c r="F36"/>
      <c r="G36" s="313"/>
      <c r="H36" s="549">
        <v>0</v>
      </c>
      <c r="I36" s="83"/>
      <c r="O36" s="87"/>
    </row>
    <row r="37" spans="3:16" ht="15" hidden="1" customHeight="1" outlineLevel="1" x14ac:dyDescent="0.25">
      <c r="C37" s="86"/>
      <c r="D37" s="279" t="s">
        <v>611</v>
      </c>
      <c r="F37"/>
      <c r="G37" s="314">
        <f>I53</f>
        <v>0</v>
      </c>
      <c r="H37" s="549">
        <v>0</v>
      </c>
      <c r="I37" s="83"/>
      <c r="O37" s="87"/>
    </row>
    <row r="38" spans="3:16" hidden="1" outlineLevel="1" x14ac:dyDescent="0.25">
      <c r="C38" s="86"/>
      <c r="D38" s="1" t="s">
        <v>612</v>
      </c>
      <c r="E38" s="56"/>
      <c r="F38"/>
      <c r="G38" s="56"/>
      <c r="H38" s="82"/>
      <c r="I38" s="83"/>
      <c r="J38" s="52"/>
      <c r="K38" s="51"/>
      <c r="L38" s="84"/>
      <c r="M38" s="85"/>
      <c r="O38" s="136"/>
      <c r="P38" s="14"/>
    </row>
    <row r="39" spans="3:16" hidden="1" outlineLevel="1" x14ac:dyDescent="0.25">
      <c r="C39" s="86"/>
      <c r="D39" s="279" t="s">
        <v>613</v>
      </c>
      <c r="E39" s="11" t="s">
        <v>46</v>
      </c>
      <c r="F39" s="11" t="s">
        <v>46</v>
      </c>
      <c r="G39" s="56"/>
      <c r="H39" s="82">
        <f>SUM(H36:H37)</f>
        <v>0</v>
      </c>
      <c r="I39" s="52">
        <f>8/500*(120/65)</f>
        <v>2.9538461538461541E-2</v>
      </c>
      <c r="J39" s="82">
        <f>(G39+H39)*I39</f>
        <v>0</v>
      </c>
      <c r="K39" s="51">
        <f>J39*Summary!$H$4</f>
        <v>0</v>
      </c>
      <c r="L39" s="84"/>
      <c r="M39" s="85"/>
      <c r="O39" s="136">
        <f>N39+K39</f>
        <v>0</v>
      </c>
      <c r="P39" s="14"/>
    </row>
    <row r="40" spans="3:16" hidden="1" outlineLevel="1" x14ac:dyDescent="0.25">
      <c r="C40" s="86"/>
      <c r="D40" s="279" t="s">
        <v>620</v>
      </c>
      <c r="E40" s="11" t="s">
        <v>46</v>
      </c>
      <c r="F40" s="11" t="s">
        <v>46</v>
      </c>
      <c r="G40" s="56"/>
      <c r="H40" s="82">
        <f>SUM(H36:H37)</f>
        <v>0</v>
      </c>
      <c r="I40" s="52">
        <f>IF(H35&gt;0,8/IFERROR(INDEX($U$9:$Z$9,MATCH(H35,$U$8:$Z$8,0)),U32)*300/65*2,0)</f>
        <v>0</v>
      </c>
      <c r="J40" s="82">
        <f>(G40+H40)*I40</f>
        <v>0</v>
      </c>
      <c r="K40" s="51">
        <f>J40*Summary!$H$4</f>
        <v>0</v>
      </c>
      <c r="L40" s="84"/>
      <c r="M40" s="85"/>
      <c r="O40" s="136">
        <f>N40+K40</f>
        <v>0</v>
      </c>
      <c r="P40" s="14"/>
    </row>
    <row r="41" spans="3:16" hidden="1" outlineLevel="1" x14ac:dyDescent="0.25">
      <c r="C41" s="86"/>
      <c r="D41" s="279" t="s">
        <v>619</v>
      </c>
      <c r="E41" s="11" t="s">
        <v>46</v>
      </c>
      <c r="F41" s="11" t="s">
        <v>46</v>
      </c>
      <c r="G41" s="56"/>
      <c r="H41" s="82">
        <f>G53*1.1</f>
        <v>0</v>
      </c>
      <c r="I41" s="52"/>
      <c r="J41" s="82"/>
      <c r="K41" s="51"/>
      <c r="L41" s="52">
        <v>30</v>
      </c>
      <c r="M41" s="85"/>
      <c r="N41" s="84">
        <f>L41*(H41+G41)</f>
        <v>0</v>
      </c>
      <c r="O41" s="136">
        <f>N41+K41</f>
        <v>0</v>
      </c>
      <c r="P41" s="14"/>
    </row>
    <row r="42" spans="3:16" hidden="1" outlineLevel="1" x14ac:dyDescent="0.25">
      <c r="C42" s="86"/>
      <c r="D42" s="279" t="s">
        <v>614</v>
      </c>
      <c r="E42" s="11" t="s">
        <v>46</v>
      </c>
      <c r="F42" s="11" t="s">
        <v>46</v>
      </c>
      <c r="G42" s="56"/>
      <c r="H42" s="82">
        <f>SUM(H36:H37)</f>
        <v>0</v>
      </c>
      <c r="I42" s="52">
        <f>8/500*(100/65)</f>
        <v>2.4615384615384619E-2</v>
      </c>
      <c r="J42" s="82">
        <f>(G42+H42)*I42</f>
        <v>0</v>
      </c>
      <c r="K42" s="51">
        <f>J42*Summary!$H$4</f>
        <v>0</v>
      </c>
      <c r="L42" s="52"/>
      <c r="M42" s="85"/>
      <c r="O42" s="136">
        <f>N42+K42</f>
        <v>0</v>
      </c>
      <c r="P42" s="14"/>
    </row>
    <row r="43" spans="3:16" hidden="1" outlineLevel="1" x14ac:dyDescent="0.25">
      <c r="C43" s="86"/>
      <c r="D43" s="1" t="s">
        <v>608</v>
      </c>
      <c r="G43" s="56"/>
      <c r="H43" s="82"/>
      <c r="I43" s="52"/>
      <c r="J43" s="82"/>
      <c r="K43" s="51"/>
      <c r="L43" s="52"/>
      <c r="M43" s="85"/>
      <c r="O43" s="136"/>
      <c r="P43" s="14"/>
    </row>
    <row r="44" spans="3:16" hidden="1" outlineLevel="1" x14ac:dyDescent="0.25">
      <c r="C44" s="86"/>
      <c r="D44" s="279" t="s">
        <v>615</v>
      </c>
      <c r="E44" s="11" t="s">
        <v>46</v>
      </c>
      <c r="F44" s="11" t="s">
        <v>46</v>
      </c>
      <c r="G44" s="56"/>
      <c r="H44" s="82">
        <f>(((H36+H37)*D53*E53))/27*1.4*1.4/25</f>
        <v>0</v>
      </c>
      <c r="I44" s="52">
        <f>8/50*(128/65)</f>
        <v>0.31507692307692309</v>
      </c>
      <c r="J44" s="82">
        <f>(G44+H44)*I44</f>
        <v>0</v>
      </c>
      <c r="K44" s="51">
        <f>J44*Summary!$H$4</f>
        <v>0</v>
      </c>
      <c r="L44" s="52"/>
      <c r="M44" s="85"/>
      <c r="O44" s="136">
        <f t="shared" ref="O44:O45" si="4">N44+K44</f>
        <v>0</v>
      </c>
      <c r="P44" s="14"/>
    </row>
    <row r="45" spans="3:16" hidden="1" outlineLevel="1" x14ac:dyDescent="0.25">
      <c r="C45" s="86"/>
      <c r="D45" s="279" t="s">
        <v>616</v>
      </c>
      <c r="E45" s="11" t="s">
        <v>46</v>
      </c>
      <c r="F45" s="11" t="s">
        <v>46</v>
      </c>
      <c r="G45" s="56"/>
      <c r="H45" s="82">
        <f>(H37*E53*H35)/27*1.4*1.4</f>
        <v>0</v>
      </c>
      <c r="I45" s="52">
        <f>8/50*(128/65)</f>
        <v>0.31507692307692309</v>
      </c>
      <c r="J45" s="82">
        <f>(G45+H45)*I45</f>
        <v>0</v>
      </c>
      <c r="K45" s="51">
        <f>J45*Summary!$H$4</f>
        <v>0</v>
      </c>
      <c r="L45" s="52"/>
      <c r="M45" s="85"/>
      <c r="O45" s="136">
        <f t="shared" si="4"/>
        <v>0</v>
      </c>
      <c r="P45" s="14"/>
    </row>
    <row r="46" spans="3:16" ht="15" hidden="1" customHeight="1" outlineLevel="1" x14ac:dyDescent="0.25">
      <c r="C46" s="86"/>
      <c r="D46" s="279" t="s">
        <v>617</v>
      </c>
      <c r="E46" s="11" t="s">
        <v>46</v>
      </c>
      <c r="F46" s="11" t="s">
        <v>46</v>
      </c>
      <c r="G46" s="56"/>
      <c r="H46" s="82">
        <f>SUM(H44:H45)</f>
        <v>0</v>
      </c>
      <c r="I46" s="52"/>
      <c r="J46" s="82"/>
      <c r="K46" s="51"/>
      <c r="L46" s="52">
        <v>450</v>
      </c>
      <c r="M46" s="85"/>
      <c r="N46" s="84">
        <f>L46*ROUNDUP((H46+G46)/25,0)</f>
        <v>0</v>
      </c>
      <c r="O46" s="136">
        <f>N46+K46</f>
        <v>0</v>
      </c>
      <c r="P46" s="14"/>
    </row>
    <row r="47" spans="3:16" ht="15" hidden="1" customHeight="1" outlineLevel="1" x14ac:dyDescent="0.25">
      <c r="C47" s="86"/>
      <c r="D47" s="1" t="s">
        <v>279</v>
      </c>
      <c r="E47"/>
      <c r="F47"/>
      <c r="K47" s="1"/>
      <c r="O47" s="137"/>
      <c r="P47" s="315"/>
    </row>
    <row r="48" spans="3:16" ht="15" hidden="1" customHeight="1" outlineLevel="1" x14ac:dyDescent="0.25">
      <c r="C48" s="551">
        <v>0</v>
      </c>
      <c r="D48" s="279" t="s">
        <v>654</v>
      </c>
      <c r="E48" s="11" t="s">
        <v>46</v>
      </c>
      <c r="F48" s="11" t="s">
        <v>46</v>
      </c>
      <c r="G48">
        <f>IF(C48="YES",ROUNDUP(J40,0),0)</f>
        <v>0</v>
      </c>
      <c r="K48" s="1"/>
      <c r="L48" s="52">
        <f>1500/8</f>
        <v>187.5</v>
      </c>
      <c r="M48" s="85"/>
      <c r="N48" s="84">
        <f>IF(G48&gt;0,L48*(H48+G48)+3000,0)</f>
        <v>0</v>
      </c>
      <c r="O48" s="136">
        <f t="shared" ref="O48" si="5">N48+K48</f>
        <v>0</v>
      </c>
      <c r="P48" s="315"/>
    </row>
    <row r="49" spans="3:16" ht="15" hidden="1" customHeight="1" outlineLevel="1" x14ac:dyDescent="0.25">
      <c r="C49" s="86"/>
      <c r="D49" s="279" t="s">
        <v>655</v>
      </c>
      <c r="E49" s="11" t="s">
        <v>46</v>
      </c>
      <c r="F49" s="11" t="s">
        <v>46</v>
      </c>
      <c r="G49">
        <f>IF(H35&gt;5,ROUNDUP(J40,0),0)</f>
        <v>0</v>
      </c>
      <c r="K49" s="1"/>
      <c r="L49" s="52">
        <v>30</v>
      </c>
      <c r="M49" s="85"/>
      <c r="N49" s="84">
        <f t="shared" ref="N49" si="6">L49*(H49+G49)</f>
        <v>0</v>
      </c>
      <c r="O49" s="136">
        <f>N49+K49</f>
        <v>0</v>
      </c>
      <c r="P49" s="315"/>
    </row>
    <row r="50" spans="3:16" ht="15" hidden="1" customHeight="1" outlineLevel="1" thickBot="1" x14ac:dyDescent="0.3">
      <c r="C50" s="86"/>
      <c r="E50"/>
      <c r="F50"/>
      <c r="K50" s="1"/>
      <c r="O50" s="137"/>
      <c r="P50" s="315"/>
    </row>
    <row r="51" spans="3:16" ht="15.75" hidden="1" customHeight="1" outlineLevel="1" thickBot="1" x14ac:dyDescent="0.3">
      <c r="C51" s="65" t="s">
        <v>54</v>
      </c>
      <c r="D51" s="428"/>
      <c r="E51" s="381"/>
      <c r="F51" s="381"/>
      <c r="G51" s="544"/>
      <c r="H51" s="1"/>
      <c r="J51" s="1"/>
      <c r="K51" s="1"/>
      <c r="O51" s="137"/>
    </row>
    <row r="52" spans="3:16" hidden="1" outlineLevel="1" x14ac:dyDescent="0.25">
      <c r="C52" s="196" t="s">
        <v>601</v>
      </c>
      <c r="D52" s="197" t="s">
        <v>602</v>
      </c>
      <c r="E52" s="197" t="s">
        <v>603</v>
      </c>
      <c r="F52" s="250" t="s">
        <v>605</v>
      </c>
      <c r="G52" s="318" t="s">
        <v>604</v>
      </c>
      <c r="H52" s="1"/>
      <c r="J52" s="1"/>
      <c r="K52" s="108"/>
      <c r="L52" s="108"/>
      <c r="M52" s="108"/>
      <c r="O52" s="137"/>
    </row>
    <row r="53" spans="3:16" ht="15.75" hidden="1" outlineLevel="1" thickBot="1" x14ac:dyDescent="0.3">
      <c r="C53" s="547">
        <v>8</v>
      </c>
      <c r="D53" s="546">
        <f>1.5+C53/12</f>
        <v>2.1666666666666665</v>
      </c>
      <c r="E53" s="546">
        <f>2+C53/12</f>
        <v>2.6666666666666665</v>
      </c>
      <c r="F53" s="545">
        <f>(((H36+H37)*D53*E53)+(H37*E53*(H35-D53)))/27</f>
        <v>0</v>
      </c>
      <c r="G53" s="319">
        <f>ROUNDUP(F53*1.3,0)</f>
        <v>0</v>
      </c>
      <c r="H53" s="1"/>
      <c r="J53" s="1"/>
      <c r="K53" s="108"/>
      <c r="L53" s="108"/>
      <c r="M53" s="108"/>
      <c r="O53" s="137"/>
    </row>
    <row r="54" spans="3:16" hidden="1" outlineLevel="1" x14ac:dyDescent="0.25">
      <c r="C54" s="86"/>
      <c r="D54" s="317" t="s">
        <v>600</v>
      </c>
      <c r="K54" s="1"/>
      <c r="O54" s="137"/>
    </row>
    <row r="55" spans="3:16" hidden="1" outlineLevel="1" x14ac:dyDescent="0.25">
      <c r="C55" s="86"/>
      <c r="D55" s="317" t="s">
        <v>599</v>
      </c>
      <c r="K55" s="1"/>
      <c r="O55" s="137"/>
    </row>
    <row r="56" spans="3:16" hidden="1" outlineLevel="1" x14ac:dyDescent="0.25">
      <c r="C56" s="86"/>
      <c r="K56" s="1"/>
      <c r="O56" s="137"/>
    </row>
    <row r="57" spans="3:16" hidden="1" outlineLevel="1" x14ac:dyDescent="0.25">
      <c r="C57" s="86"/>
      <c r="D57" s="1" t="s">
        <v>609</v>
      </c>
      <c r="O57" s="87"/>
    </row>
    <row r="58" spans="3:16" hidden="1" outlineLevel="1" x14ac:dyDescent="0.25">
      <c r="C58" s="86"/>
      <c r="D58" s="279" t="s">
        <v>607</v>
      </c>
      <c r="E58" s="56"/>
      <c r="G58" s="56"/>
      <c r="H58" s="549">
        <v>0</v>
      </c>
      <c r="I58">
        <f>IFERROR(INDEX($U$28:$AF$79,MATCH(D76,$T$28:$T$79,0),MATCH(E76,$U$24:$AF$24,0)),0)</f>
        <v>0</v>
      </c>
      <c r="O58" s="87"/>
    </row>
    <row r="59" spans="3:16" hidden="1" outlineLevel="1" x14ac:dyDescent="0.25">
      <c r="C59" s="86"/>
      <c r="D59" s="279" t="s">
        <v>610</v>
      </c>
      <c r="F59"/>
      <c r="G59" s="313"/>
      <c r="H59" s="549">
        <v>0</v>
      </c>
      <c r="I59" s="83"/>
      <c r="O59" s="87"/>
    </row>
    <row r="60" spans="3:16" ht="15" hidden="1" customHeight="1" outlineLevel="1" x14ac:dyDescent="0.25">
      <c r="C60" s="86"/>
      <c r="D60" s="279" t="s">
        <v>611</v>
      </c>
      <c r="F60"/>
      <c r="G60" s="314">
        <f>I76</f>
        <v>0</v>
      </c>
      <c r="H60" s="549">
        <v>0</v>
      </c>
      <c r="I60" s="83"/>
      <c r="O60" s="87"/>
    </row>
    <row r="61" spans="3:16" hidden="1" outlineLevel="1" x14ac:dyDescent="0.25">
      <c r="C61" s="86"/>
      <c r="D61" s="1" t="s">
        <v>612</v>
      </c>
      <c r="E61" s="56"/>
      <c r="F61"/>
      <c r="G61" s="56"/>
      <c r="H61" s="82"/>
      <c r="I61" s="83"/>
      <c r="J61" s="52"/>
      <c r="K61" s="51"/>
      <c r="L61" s="84"/>
      <c r="M61" s="85"/>
      <c r="O61" s="136"/>
      <c r="P61" s="14"/>
    </row>
    <row r="62" spans="3:16" hidden="1" outlineLevel="1" x14ac:dyDescent="0.25">
      <c r="C62" s="86"/>
      <c r="D62" s="279" t="s">
        <v>613</v>
      </c>
      <c r="E62" s="11" t="s">
        <v>46</v>
      </c>
      <c r="F62" s="11" t="s">
        <v>46</v>
      </c>
      <c r="G62" s="56"/>
      <c r="H62" s="82">
        <f>SUM(H59:H60)</f>
        <v>0</v>
      </c>
      <c r="I62" s="52">
        <f>8/500*(120/65)</f>
        <v>2.9538461538461541E-2</v>
      </c>
      <c r="J62" s="82">
        <f>(G62+H62)*I62</f>
        <v>0</v>
      </c>
      <c r="K62" s="51">
        <f>J62*Summary!$H$4</f>
        <v>0</v>
      </c>
      <c r="L62" s="84"/>
      <c r="M62" s="85"/>
      <c r="O62" s="136">
        <f>N62+K62</f>
        <v>0</v>
      </c>
      <c r="P62" s="14"/>
    </row>
    <row r="63" spans="3:16" hidden="1" outlineLevel="1" x14ac:dyDescent="0.25">
      <c r="C63" s="86"/>
      <c r="D63" s="279" t="s">
        <v>620</v>
      </c>
      <c r="E63" s="11" t="s">
        <v>46</v>
      </c>
      <c r="F63" s="11" t="s">
        <v>46</v>
      </c>
      <c r="G63" s="56"/>
      <c r="H63" s="82">
        <f>SUM(H59:H60)</f>
        <v>0</v>
      </c>
      <c r="I63" s="52">
        <f>IF(H58&gt;0,8/IFERROR(INDEX($U$9:$Z$9,MATCH(H58,$U$8:$Z$8,0)),U55)*300/65*2,0)</f>
        <v>0</v>
      </c>
      <c r="J63" s="82">
        <f>(G63+H63)*I63</f>
        <v>0</v>
      </c>
      <c r="K63" s="51">
        <f>J63*Summary!$H$4</f>
        <v>0</v>
      </c>
      <c r="L63" s="84"/>
      <c r="M63" s="85"/>
      <c r="O63" s="136">
        <f>N63+K63</f>
        <v>0</v>
      </c>
      <c r="P63" s="14"/>
    </row>
    <row r="64" spans="3:16" hidden="1" outlineLevel="1" x14ac:dyDescent="0.25">
      <c r="C64" s="86"/>
      <c r="D64" s="279" t="s">
        <v>619</v>
      </c>
      <c r="E64" s="11" t="s">
        <v>46</v>
      </c>
      <c r="F64" s="11" t="s">
        <v>46</v>
      </c>
      <c r="G64" s="56"/>
      <c r="H64" s="82">
        <f>G76*1.1</f>
        <v>0</v>
      </c>
      <c r="I64" s="52"/>
      <c r="J64" s="82"/>
      <c r="K64" s="51"/>
      <c r="L64" s="52">
        <v>30</v>
      </c>
      <c r="M64" s="85"/>
      <c r="N64" s="84">
        <f>L64*(H64+G64)</f>
        <v>0</v>
      </c>
      <c r="O64" s="136">
        <f>N64+K64</f>
        <v>0</v>
      </c>
      <c r="P64" s="14"/>
    </row>
    <row r="65" spans="3:16" hidden="1" outlineLevel="1" x14ac:dyDescent="0.25">
      <c r="C65" s="86"/>
      <c r="D65" s="279" t="s">
        <v>614</v>
      </c>
      <c r="E65" s="11" t="s">
        <v>46</v>
      </c>
      <c r="F65" s="11" t="s">
        <v>46</v>
      </c>
      <c r="G65" s="56"/>
      <c r="H65" s="82">
        <f>SUM(H59:H60)</f>
        <v>0</v>
      </c>
      <c r="I65" s="52">
        <f>8/500*(100/65)</f>
        <v>2.4615384615384619E-2</v>
      </c>
      <c r="J65" s="82">
        <f>(G65+H65)*I65</f>
        <v>0</v>
      </c>
      <c r="K65" s="51">
        <f>J65*Summary!$H$4</f>
        <v>0</v>
      </c>
      <c r="L65" s="52"/>
      <c r="M65" s="85"/>
      <c r="O65" s="136">
        <f>N65+K65</f>
        <v>0</v>
      </c>
      <c r="P65" s="14"/>
    </row>
    <row r="66" spans="3:16" hidden="1" outlineLevel="1" x14ac:dyDescent="0.25">
      <c r="C66" s="86"/>
      <c r="D66" s="1" t="s">
        <v>608</v>
      </c>
      <c r="G66" s="56"/>
      <c r="H66" s="82"/>
      <c r="I66" s="52"/>
      <c r="J66" s="82"/>
      <c r="K66" s="51"/>
      <c r="L66" s="52"/>
      <c r="M66" s="85"/>
      <c r="O66" s="136"/>
      <c r="P66" s="14"/>
    </row>
    <row r="67" spans="3:16" hidden="1" outlineLevel="1" x14ac:dyDescent="0.25">
      <c r="C67" s="86"/>
      <c r="D67" s="279" t="s">
        <v>615</v>
      </c>
      <c r="E67" s="11" t="s">
        <v>46</v>
      </c>
      <c r="F67" s="11" t="s">
        <v>46</v>
      </c>
      <c r="G67" s="56"/>
      <c r="H67" s="82">
        <f>(((H59+H60)*D76*E76))/27*1.4*1.4/25</f>
        <v>0</v>
      </c>
      <c r="I67" s="52">
        <f>8/50*(128/65)</f>
        <v>0.31507692307692309</v>
      </c>
      <c r="J67" s="82">
        <f>(G67+H67)*I67</f>
        <v>0</v>
      </c>
      <c r="K67" s="51">
        <f>J67*Summary!$H$4</f>
        <v>0</v>
      </c>
      <c r="L67" s="52"/>
      <c r="M67" s="85"/>
      <c r="O67" s="136">
        <f t="shared" ref="O67:O68" si="7">N67+K67</f>
        <v>0</v>
      </c>
      <c r="P67" s="14"/>
    </row>
    <row r="68" spans="3:16" hidden="1" outlineLevel="1" x14ac:dyDescent="0.25">
      <c r="C68" s="86"/>
      <c r="D68" s="279" t="s">
        <v>616</v>
      </c>
      <c r="E68" s="11" t="s">
        <v>46</v>
      </c>
      <c r="F68" s="11" t="s">
        <v>46</v>
      </c>
      <c r="G68" s="56"/>
      <c r="H68" s="82">
        <f>(H60*E76*H58)/27*1.4*1.4</f>
        <v>0</v>
      </c>
      <c r="I68" s="52">
        <f>8/50*(128/65)</f>
        <v>0.31507692307692309</v>
      </c>
      <c r="J68" s="82">
        <f>(G68+H68)*I68</f>
        <v>0</v>
      </c>
      <c r="K68" s="51">
        <f>J68*Summary!$H$4</f>
        <v>0</v>
      </c>
      <c r="L68" s="52"/>
      <c r="M68" s="85"/>
      <c r="O68" s="136">
        <f t="shared" si="7"/>
        <v>0</v>
      </c>
      <c r="P68" s="14"/>
    </row>
    <row r="69" spans="3:16" ht="15" hidden="1" customHeight="1" outlineLevel="1" x14ac:dyDescent="0.25">
      <c r="C69" s="86"/>
      <c r="D69" s="279" t="s">
        <v>617</v>
      </c>
      <c r="E69" s="11" t="s">
        <v>46</v>
      </c>
      <c r="F69" s="11" t="s">
        <v>46</v>
      </c>
      <c r="G69" s="56"/>
      <c r="H69" s="82">
        <f>SUM(H67:H68)</f>
        <v>0</v>
      </c>
      <c r="I69" s="52"/>
      <c r="J69" s="82"/>
      <c r="K69" s="51"/>
      <c r="L69" s="52">
        <v>450</v>
      </c>
      <c r="M69" s="85"/>
      <c r="N69" s="84">
        <f>L69*ROUNDUP((H69+G69)/25,0)</f>
        <v>0</v>
      </c>
      <c r="O69" s="136">
        <f>N69+K69</f>
        <v>0</v>
      </c>
      <c r="P69" s="14"/>
    </row>
    <row r="70" spans="3:16" ht="15" hidden="1" customHeight="1" outlineLevel="1" x14ac:dyDescent="0.25">
      <c r="C70" s="86"/>
      <c r="D70" s="1" t="s">
        <v>279</v>
      </c>
      <c r="E70"/>
      <c r="F70"/>
      <c r="K70" s="1"/>
      <c r="O70" s="137"/>
      <c r="P70" s="315"/>
    </row>
    <row r="71" spans="3:16" ht="15" hidden="1" customHeight="1" outlineLevel="1" x14ac:dyDescent="0.25">
      <c r="C71" s="551">
        <v>0</v>
      </c>
      <c r="D71" s="279" t="s">
        <v>654</v>
      </c>
      <c r="E71" s="11" t="s">
        <v>46</v>
      </c>
      <c r="F71" s="11" t="s">
        <v>46</v>
      </c>
      <c r="G71">
        <f>IF(C71="YES",ROUNDUP(J63,0),0)</f>
        <v>0</v>
      </c>
      <c r="K71" s="1"/>
      <c r="L71" s="52">
        <f>1500/8</f>
        <v>187.5</v>
      </c>
      <c r="M71" s="85"/>
      <c r="N71" s="84">
        <f>IF(G71&gt;0,L71*(H71+G71)+3000,0)</f>
        <v>0</v>
      </c>
      <c r="O71" s="136">
        <f t="shared" ref="O71" si="8">N71+K71</f>
        <v>0</v>
      </c>
      <c r="P71" s="315"/>
    </row>
    <row r="72" spans="3:16" ht="15" hidden="1" customHeight="1" outlineLevel="1" x14ac:dyDescent="0.25">
      <c r="C72" s="86"/>
      <c r="D72" s="279" t="s">
        <v>655</v>
      </c>
      <c r="E72" s="11" t="s">
        <v>46</v>
      </c>
      <c r="F72" s="11" t="s">
        <v>46</v>
      </c>
      <c r="G72">
        <f>IF(H58&gt;5,ROUNDUP(J63,0),0)</f>
        <v>0</v>
      </c>
      <c r="K72" s="1"/>
      <c r="L72" s="52">
        <v>30</v>
      </c>
      <c r="M72" s="85"/>
      <c r="N72" s="84">
        <f t="shared" ref="N72" si="9">L72*(H72+G72)</f>
        <v>0</v>
      </c>
      <c r="O72" s="136">
        <f>N72+K72</f>
        <v>0</v>
      </c>
      <c r="P72" s="315"/>
    </row>
    <row r="73" spans="3:16" ht="15" hidden="1" customHeight="1" outlineLevel="1" thickBot="1" x14ac:dyDescent="0.3">
      <c r="C73" s="86"/>
      <c r="E73"/>
      <c r="F73"/>
      <c r="K73" s="1"/>
      <c r="O73" s="137"/>
      <c r="P73" s="315"/>
    </row>
    <row r="74" spans="3:16" ht="15.75" hidden="1" customHeight="1" outlineLevel="1" thickBot="1" x14ac:dyDescent="0.3">
      <c r="C74" s="65" t="s">
        <v>54</v>
      </c>
      <c r="D74" s="428"/>
      <c r="E74" s="381"/>
      <c r="F74" s="381"/>
      <c r="G74" s="544"/>
      <c r="H74" s="1"/>
      <c r="J74" s="1"/>
      <c r="K74" s="1"/>
      <c r="O74" s="137"/>
    </row>
    <row r="75" spans="3:16" hidden="1" outlineLevel="1" x14ac:dyDescent="0.25">
      <c r="C75" s="196" t="s">
        <v>601</v>
      </c>
      <c r="D75" s="197" t="s">
        <v>602</v>
      </c>
      <c r="E75" s="197" t="s">
        <v>603</v>
      </c>
      <c r="F75" s="250" t="s">
        <v>605</v>
      </c>
      <c r="G75" s="318" t="s">
        <v>604</v>
      </c>
      <c r="H75" s="1"/>
      <c r="J75" s="1"/>
      <c r="K75" s="108"/>
      <c r="L75" s="108"/>
      <c r="M75" s="108"/>
      <c r="O75" s="137"/>
    </row>
    <row r="76" spans="3:16" ht="15.75" hidden="1" outlineLevel="1" thickBot="1" x14ac:dyDescent="0.3">
      <c r="C76" s="547">
        <v>8</v>
      </c>
      <c r="D76" s="546">
        <f>1.5+C76/12</f>
        <v>2.1666666666666665</v>
      </c>
      <c r="E76" s="546">
        <f>2+C76/12</f>
        <v>2.6666666666666665</v>
      </c>
      <c r="F76" s="545">
        <f>(((H59+H60)*D76*E76)+(H60*E76*(H58-D76)))/27</f>
        <v>0</v>
      </c>
      <c r="G76" s="319">
        <f>ROUNDUP(F76*1.3,0)</f>
        <v>0</v>
      </c>
      <c r="H76" s="1"/>
      <c r="J76" s="1"/>
      <c r="K76" s="108"/>
      <c r="L76" s="108"/>
      <c r="M76" s="108"/>
      <c r="O76" s="137"/>
    </row>
    <row r="77" spans="3:16" hidden="1" outlineLevel="1" x14ac:dyDescent="0.25">
      <c r="C77" s="86"/>
      <c r="D77" s="317" t="s">
        <v>600</v>
      </c>
      <c r="K77" s="1"/>
      <c r="O77" s="137"/>
    </row>
    <row r="78" spans="3:16" hidden="1" outlineLevel="1" x14ac:dyDescent="0.25">
      <c r="C78" s="86"/>
      <c r="D78" s="317" t="s">
        <v>599</v>
      </c>
      <c r="K78" s="1"/>
      <c r="O78" s="137"/>
    </row>
    <row r="79" spans="3:16" hidden="1" outlineLevel="1" x14ac:dyDescent="0.25">
      <c r="C79" s="86"/>
      <c r="D79" s="11"/>
      <c r="K79" s="1"/>
      <c r="O79" s="137"/>
    </row>
    <row r="80" spans="3:16" ht="15.75" hidden="1" outlineLevel="1" thickBot="1" x14ac:dyDescent="0.3">
      <c r="C80" s="86"/>
      <c r="K80" s="1"/>
      <c r="O80" s="137"/>
    </row>
    <row r="81" spans="3:18" hidden="1" outlineLevel="1" x14ac:dyDescent="0.25">
      <c r="C81" s="405"/>
      <c r="D81" s="406" t="s">
        <v>485</v>
      </c>
      <c r="E81" s="407"/>
      <c r="F81" s="407"/>
      <c r="G81" s="408"/>
      <c r="H81" s="408">
        <f>SUM(H10:H80)</f>
        <v>6</v>
      </c>
      <c r="I81" s="408"/>
      <c r="J81" s="408">
        <f>SUM(J10:J80)</f>
        <v>0</v>
      </c>
      <c r="K81" s="409">
        <f>SUM(K10:K80)</f>
        <v>0</v>
      </c>
      <c r="L81" s="408"/>
      <c r="M81" s="408"/>
      <c r="N81" s="409">
        <f>SUM(N10:N80)</f>
        <v>0</v>
      </c>
      <c r="O81" s="410"/>
      <c r="R81" s="349"/>
    </row>
    <row r="82" spans="3:18" hidden="1" outlineLevel="1" x14ac:dyDescent="0.25">
      <c r="C82" s="86"/>
      <c r="G82" s="11"/>
      <c r="H82" s="41"/>
      <c r="I82" s="161"/>
      <c r="J82" s="159"/>
      <c r="K82" s="51"/>
      <c r="L82" s="161"/>
      <c r="M82" s="110"/>
      <c r="N82" s="162"/>
      <c r="O82" s="163"/>
      <c r="P82" s="14"/>
    </row>
    <row r="83" spans="3:18" ht="15.75" hidden="1" outlineLevel="1" x14ac:dyDescent="0.25">
      <c r="C83" s="629" t="s">
        <v>483</v>
      </c>
      <c r="D83" s="630"/>
      <c r="O83" s="87"/>
    </row>
    <row r="84" spans="3:18" hidden="1" outlineLevel="1" x14ac:dyDescent="0.25">
      <c r="C84" s="86"/>
      <c r="G84" s="11"/>
      <c r="H84" s="41"/>
      <c r="I84" s="161"/>
      <c r="J84" s="159"/>
      <c r="K84" s="51"/>
      <c r="L84" s="161"/>
      <c r="M84" s="110"/>
      <c r="N84" s="162"/>
      <c r="O84" s="163"/>
      <c r="P84" s="14"/>
    </row>
    <row r="85" spans="3:18" hidden="1" outlineLevel="1" x14ac:dyDescent="0.25">
      <c r="C85" s="86" t="s">
        <v>496</v>
      </c>
      <c r="E85" s="11" t="s">
        <v>46</v>
      </c>
      <c r="F85" s="11" t="s">
        <v>46</v>
      </c>
      <c r="G85" s="11"/>
      <c r="H85" s="41"/>
      <c r="I85" s="161"/>
      <c r="J85" s="159"/>
      <c r="K85" s="51"/>
      <c r="L85" s="550"/>
      <c r="M85" s="56">
        <v>0</v>
      </c>
      <c r="N85" s="84">
        <f t="shared" ref="N85:N86" si="10">((G85+H85)*L85)+((G85+H85)*M85)</f>
        <v>0</v>
      </c>
      <c r="O85" s="167">
        <f t="shared" ref="O85:O86" si="11">N85+K85</f>
        <v>0</v>
      </c>
      <c r="P85" s="14"/>
    </row>
    <row r="86" spans="3:18" hidden="1" outlineLevel="1" x14ac:dyDescent="0.25">
      <c r="C86" s="86"/>
      <c r="E86" s="11" t="s">
        <v>46</v>
      </c>
      <c r="F86" s="11" t="s">
        <v>46</v>
      </c>
      <c r="G86" s="11"/>
      <c r="H86" s="41"/>
      <c r="I86" s="161"/>
      <c r="J86" s="159"/>
      <c r="K86" s="51"/>
      <c r="L86" s="550"/>
      <c r="M86" s="56">
        <v>0</v>
      </c>
      <c r="N86" s="84">
        <f t="shared" si="10"/>
        <v>0</v>
      </c>
      <c r="O86" s="167">
        <f t="shared" si="11"/>
        <v>0</v>
      </c>
      <c r="P86" s="14"/>
    </row>
    <row r="87" spans="3:18" hidden="1" outlineLevel="1" x14ac:dyDescent="0.25">
      <c r="C87" s="86"/>
      <c r="D87" s="279" t="s">
        <v>618</v>
      </c>
      <c r="E87" s="11" t="s">
        <v>46</v>
      </c>
      <c r="F87" s="11" t="s">
        <v>46</v>
      </c>
      <c r="G87" s="550">
        <v>0</v>
      </c>
      <c r="H87" s="82"/>
      <c r="I87" s="52">
        <f>0.1*300/65</f>
        <v>0.46153846153846156</v>
      </c>
      <c r="J87" s="82">
        <f>(G87+H87)*I87</f>
        <v>0</v>
      </c>
      <c r="K87" s="51">
        <f>J87*Summary!$H$4</f>
        <v>0</v>
      </c>
      <c r="L87" s="52"/>
      <c r="M87" s="85"/>
      <c r="O87" s="136">
        <f>N87+K87</f>
        <v>0</v>
      </c>
      <c r="P87" s="14"/>
    </row>
    <row r="88" spans="3:18" ht="15.75" hidden="1" outlineLevel="1" thickBot="1" x14ac:dyDescent="0.3">
      <c r="C88" s="86"/>
      <c r="G88" s="11"/>
      <c r="I88" s="161"/>
      <c r="J88" s="159"/>
      <c r="K88" s="51"/>
      <c r="M88" s="161"/>
      <c r="N88" s="162"/>
      <c r="O88" s="163"/>
      <c r="P88" s="14"/>
    </row>
    <row r="89" spans="3:18" hidden="1" outlineLevel="1" x14ac:dyDescent="0.25">
      <c r="C89" s="405"/>
      <c r="D89" s="406" t="s">
        <v>492</v>
      </c>
      <c r="E89" s="407"/>
      <c r="F89" s="407"/>
      <c r="G89" s="408">
        <f>SUM(G82:G88)</f>
        <v>0</v>
      </c>
      <c r="H89" s="408"/>
      <c r="I89" s="408"/>
      <c r="J89" s="408">
        <f>SUM(J82:J88)</f>
        <v>0</v>
      </c>
      <c r="K89" s="409">
        <f>SUM(K82:K88)</f>
        <v>0</v>
      </c>
      <c r="L89" s="408"/>
      <c r="M89" s="408"/>
      <c r="N89" s="409">
        <f>SUM(N82:N88)</f>
        <v>0</v>
      </c>
      <c r="O89" s="410"/>
      <c r="R89" s="349"/>
    </row>
    <row r="90" spans="3:18" hidden="1" outlineLevel="1" x14ac:dyDescent="0.25">
      <c r="C90" s="86"/>
      <c r="G90" s="11"/>
      <c r="I90" s="161"/>
      <c r="J90" s="159"/>
      <c r="K90" s="51"/>
      <c r="M90" s="161"/>
      <c r="N90" s="162"/>
      <c r="O90" s="163"/>
      <c r="P90" s="14"/>
    </row>
    <row r="91" spans="3:18" ht="15.75" hidden="1" outlineLevel="1" x14ac:dyDescent="0.25">
      <c r="C91" s="629" t="s">
        <v>486</v>
      </c>
      <c r="D91" s="630"/>
      <c r="G91" s="11"/>
      <c r="I91" s="161"/>
      <c r="J91" s="159"/>
      <c r="K91" s="51"/>
      <c r="M91" s="161"/>
      <c r="N91" s="162"/>
      <c r="O91" s="163"/>
      <c r="P91" s="14"/>
    </row>
    <row r="92" spans="3:18" hidden="1" outlineLevel="1" x14ac:dyDescent="0.25">
      <c r="C92" s="86"/>
      <c r="G92" s="11"/>
      <c r="I92" s="161"/>
      <c r="J92" s="159"/>
      <c r="K92" s="51"/>
      <c r="M92" s="161"/>
      <c r="N92" s="162"/>
      <c r="O92" s="163"/>
      <c r="P92" s="14"/>
    </row>
    <row r="93" spans="3:18" hidden="1" outlineLevel="1" x14ac:dyDescent="0.25">
      <c r="C93" s="126" t="s">
        <v>193</v>
      </c>
      <c r="D93" s="537" t="s">
        <v>98</v>
      </c>
      <c r="G93" s="11"/>
      <c r="I93" s="161"/>
      <c r="L93" s="148"/>
      <c r="O93" s="87"/>
      <c r="P93" s="14"/>
    </row>
    <row r="94" spans="3:18" hidden="1" outlineLevel="1" x14ac:dyDescent="0.25">
      <c r="C94" s="133"/>
      <c r="D94" s="15" t="s">
        <v>26</v>
      </c>
      <c r="E94" s="11" t="s">
        <v>46</v>
      </c>
      <c r="F94" s="11" t="s">
        <v>46</v>
      </c>
      <c r="G94" s="11"/>
      <c r="I94" s="161"/>
      <c r="L94" s="321" cm="1">
        <f t="array" ref="L94">IFERROR(INDEX(Table3[Material Cost], MATCH(1, (Table3[Material]=$D$93) * (Table3[Size]=D94), 0)),0)</f>
        <v>1.474</v>
      </c>
      <c r="M94" s="56">
        <v>0</v>
      </c>
      <c r="N94" s="84">
        <f t="shared" ref="N94" si="12">((G94+H94)*L94)+((G94+H94)*M94)</f>
        <v>0</v>
      </c>
      <c r="O94" s="167">
        <f t="shared" ref="O94" si="13">N94+K94</f>
        <v>0</v>
      </c>
      <c r="P94" s="14"/>
    </row>
    <row r="95" spans="3:18" hidden="1" outlineLevel="1" x14ac:dyDescent="0.25">
      <c r="C95" s="133"/>
      <c r="D95" s="15" t="s">
        <v>129</v>
      </c>
      <c r="E95" s="11" t="s">
        <v>46</v>
      </c>
      <c r="F95" s="11" t="s">
        <v>46</v>
      </c>
      <c r="G95" s="11"/>
      <c r="I95" s="161"/>
      <c r="L95" s="321" cm="1">
        <f t="array" ref="L95">IFERROR(INDEX(Table3[Material Cost], MATCH(1, (Table3[Material]=$D$93) * (Table3[Size]=D95), 0)),0)</f>
        <v>2.2080000000000002</v>
      </c>
      <c r="M95" s="56">
        <v>0</v>
      </c>
      <c r="N95" s="84">
        <f t="shared" ref="N95:N97" si="14">((G95+H95)*L95)+((G95+H95)*M95)</f>
        <v>0</v>
      </c>
      <c r="O95" s="167">
        <f t="shared" ref="O95:O97" si="15">N95+K95</f>
        <v>0</v>
      </c>
      <c r="P95" s="14"/>
    </row>
    <row r="96" spans="3:18" hidden="1" outlineLevel="1" x14ac:dyDescent="0.25">
      <c r="C96" s="133"/>
      <c r="D96" s="15" t="s">
        <v>27</v>
      </c>
      <c r="E96" s="11" t="s">
        <v>46</v>
      </c>
      <c r="F96" s="11" t="s">
        <v>46</v>
      </c>
      <c r="G96" s="11"/>
      <c r="I96" s="161"/>
      <c r="L96" s="321" cm="1">
        <f t="array" ref="L96">IFERROR(INDEX(Table3[Material Cost], MATCH(1, (Table3[Material]=$D$93) * (Table3[Size]=D96), 0)),0)</f>
        <v>3.0019999999999998</v>
      </c>
      <c r="M96" s="56">
        <v>0</v>
      </c>
      <c r="N96" s="84">
        <f t="shared" si="14"/>
        <v>0</v>
      </c>
      <c r="O96" s="167">
        <f t="shared" si="15"/>
        <v>0</v>
      </c>
      <c r="P96" s="14"/>
    </row>
    <row r="97" spans="3:19" hidden="1" outlineLevel="1" x14ac:dyDescent="0.25">
      <c r="C97" s="133"/>
      <c r="D97" s="15" t="s">
        <v>154</v>
      </c>
      <c r="E97" s="11" t="s">
        <v>46</v>
      </c>
      <c r="F97" s="11" t="s">
        <v>46</v>
      </c>
      <c r="G97" s="11"/>
      <c r="I97" s="161"/>
      <c r="L97" s="321" cm="1">
        <f t="array" ref="L97">IFERROR(INDEX(Table3[Material Cost], MATCH(1, (Table3[Material]=$D$93) * (Table3[Size]=D97), 0)),0)</f>
        <v>6.35</v>
      </c>
      <c r="M97" s="56">
        <v>0</v>
      </c>
      <c r="N97" s="84">
        <f t="shared" si="14"/>
        <v>0</v>
      </c>
      <c r="O97" s="167">
        <f t="shared" si="15"/>
        <v>0</v>
      </c>
      <c r="P97" s="14"/>
    </row>
    <row r="98" spans="3:19" hidden="1" outlineLevel="1" x14ac:dyDescent="0.25">
      <c r="C98" s="133"/>
      <c r="D98" s="15"/>
      <c r="G98" s="11"/>
      <c r="I98" s="161"/>
      <c r="L98" s="52"/>
      <c r="M98" s="52"/>
      <c r="N98" s="170"/>
      <c r="O98" s="172"/>
      <c r="P98" s="14"/>
    </row>
    <row r="99" spans="3:19" hidden="1" outlineLevel="1" x14ac:dyDescent="0.25">
      <c r="C99" s="126" t="s">
        <v>586</v>
      </c>
      <c r="D99" s="537" t="s">
        <v>98</v>
      </c>
      <c r="G99" s="11"/>
      <c r="I99" s="161"/>
      <c r="L99" s="41"/>
      <c r="M99" s="56"/>
      <c r="N99" s="84"/>
      <c r="O99" s="167"/>
    </row>
    <row r="100" spans="3:19" hidden="1" outlineLevel="1" x14ac:dyDescent="0.25">
      <c r="C100" s="133"/>
      <c r="D100" s="15" t="s">
        <v>27</v>
      </c>
      <c r="E100" s="11" t="s">
        <v>46</v>
      </c>
      <c r="F100" s="11" t="s">
        <v>46</v>
      </c>
      <c r="G100" s="11"/>
      <c r="I100" s="161"/>
      <c r="L100" s="321" cm="1">
        <f t="array" ref="L100">IFERROR(INDEX(Table3[Material Cost], MATCH(1, (Table3[Material]=$D$99) * (Table3[Size]=D100), 0)),0)</f>
        <v>3.0019999999999998</v>
      </c>
      <c r="M100" s="56">
        <v>0</v>
      </c>
      <c r="N100" s="84">
        <f t="shared" ref="N100:N101" si="16">((G100+H100)*L100)+((G100+H100)*M100)</f>
        <v>0</v>
      </c>
      <c r="O100" s="167">
        <f t="shared" ref="O100:O101" si="17">N100+K100</f>
        <v>0</v>
      </c>
      <c r="P100" s="14"/>
    </row>
    <row r="101" spans="3:19" hidden="1" outlineLevel="1" x14ac:dyDescent="0.25">
      <c r="C101" s="133"/>
      <c r="D101" s="15" t="s">
        <v>154</v>
      </c>
      <c r="E101" s="11" t="s">
        <v>46</v>
      </c>
      <c r="F101" s="11" t="s">
        <v>46</v>
      </c>
      <c r="G101" s="11"/>
      <c r="I101" s="161"/>
      <c r="L101" s="321" cm="1">
        <f t="array" ref="L101">IFERROR(INDEX(Table3[Material Cost], MATCH(1, (Table3[Material]=$D$99) * (Table3[Size]=D101), 0)),0)</f>
        <v>6.35</v>
      </c>
      <c r="M101" s="56">
        <v>0</v>
      </c>
      <c r="N101" s="84">
        <f t="shared" si="16"/>
        <v>0</v>
      </c>
      <c r="O101" s="167">
        <f t="shared" si="17"/>
        <v>0</v>
      </c>
      <c r="P101" s="14"/>
    </row>
    <row r="102" spans="3:19" hidden="1" outlineLevel="1" x14ac:dyDescent="0.25">
      <c r="C102" s="133"/>
      <c r="D102" s="15" t="s">
        <v>155</v>
      </c>
      <c r="E102" s="11" t="s">
        <v>46</v>
      </c>
      <c r="F102" s="11" t="s">
        <v>46</v>
      </c>
      <c r="G102" s="11"/>
      <c r="I102" s="161"/>
      <c r="L102" s="321" cm="1">
        <f t="array" ref="L102">IFERROR(INDEX(Table3[Material Cost], MATCH(1, (Table3[Material]=$D$99) * (Table3[Size]=D102), 0)),0)</f>
        <v>7.6509999999999998</v>
      </c>
      <c r="M102" s="41"/>
      <c r="N102" s="84"/>
      <c r="O102" s="167"/>
      <c r="P102" s="14"/>
    </row>
    <row r="103" spans="3:19" hidden="1" outlineLevel="1" x14ac:dyDescent="0.25">
      <c r="C103" s="133"/>
      <c r="D103" s="15"/>
      <c r="G103" s="11"/>
      <c r="I103" s="161"/>
      <c r="L103" s="41"/>
      <c r="M103" s="41"/>
      <c r="N103" s="84"/>
      <c r="O103" s="167"/>
      <c r="P103" s="14"/>
    </row>
    <row r="104" spans="3:19" hidden="1" outlineLevel="1" x14ac:dyDescent="0.25">
      <c r="C104" s="126" t="s">
        <v>487</v>
      </c>
      <c r="D104" s="537" t="s">
        <v>98</v>
      </c>
      <c r="G104" s="11"/>
      <c r="I104" s="161"/>
      <c r="L104" s="41"/>
      <c r="M104" s="56"/>
      <c r="N104" s="84"/>
      <c r="O104" s="167"/>
      <c r="P104" s="14"/>
    </row>
    <row r="105" spans="3:19" hidden="1" outlineLevel="1" x14ac:dyDescent="0.25">
      <c r="C105" s="133"/>
      <c r="D105" s="15" t="s">
        <v>26</v>
      </c>
      <c r="E105" s="11" t="s">
        <v>46</v>
      </c>
      <c r="F105" s="11" t="s">
        <v>46</v>
      </c>
      <c r="G105" s="11"/>
      <c r="I105" s="161"/>
      <c r="L105" s="321" cm="1">
        <f t="array" ref="L105">IFERROR(INDEX(Table3[Material Cost], MATCH(1, (Table3[Material]=$D$104) * (Table3[Size]=D105), 0)),0)</f>
        <v>1.474</v>
      </c>
      <c r="M105" s="56">
        <v>0</v>
      </c>
      <c r="N105" s="84">
        <f t="shared" ref="N105" si="18">((G105+H105)*L105)+((G105+H105)*M105)</f>
        <v>0</v>
      </c>
      <c r="O105" s="167">
        <f t="shared" ref="O105" si="19">N105+K105</f>
        <v>0</v>
      </c>
      <c r="P105" s="14"/>
    </row>
    <row r="106" spans="3:19" hidden="1" outlineLevel="1" x14ac:dyDescent="0.25">
      <c r="C106" s="133"/>
      <c r="G106" s="11"/>
      <c r="H106" s="143"/>
      <c r="I106" s="52"/>
      <c r="J106" s="82"/>
      <c r="K106" s="51"/>
      <c r="L106" s="132"/>
      <c r="M106" s="56"/>
      <c r="N106" s="84"/>
      <c r="O106" s="88"/>
      <c r="P106" s="14"/>
    </row>
    <row r="107" spans="3:19" hidden="1" outlineLevel="1" x14ac:dyDescent="0.25">
      <c r="C107" s="133"/>
      <c r="G107" s="11"/>
      <c r="H107" s="143"/>
      <c r="I107" s="52"/>
      <c r="J107" s="82"/>
      <c r="K107" s="51"/>
      <c r="L107" s="132"/>
      <c r="M107" s="56"/>
      <c r="N107" s="84"/>
      <c r="O107" s="88"/>
      <c r="P107" s="14"/>
    </row>
    <row r="108" spans="3:19" ht="15.75" hidden="1" outlineLevel="1" thickBot="1" x14ac:dyDescent="0.3">
      <c r="C108" s="208" t="s">
        <v>532</v>
      </c>
      <c r="D108" s="10"/>
      <c r="G108" s="209">
        <v>0.1</v>
      </c>
      <c r="H108" s="169"/>
      <c r="I108" s="52"/>
      <c r="J108" s="207">
        <f>SUM(J90:J107)*G108</f>
        <v>0</v>
      </c>
      <c r="K108" s="138">
        <f>SUM(K90:K107)*G108</f>
        <v>0</v>
      </c>
      <c r="N108" s="138">
        <f>SUM(N90:N107)*G108</f>
        <v>0</v>
      </c>
      <c r="O108" s="167">
        <f t="shared" ref="O108" si="20">N108+K108</f>
        <v>0</v>
      </c>
      <c r="R108" s="349"/>
      <c r="S108" s="349"/>
    </row>
    <row r="109" spans="3:19" hidden="1" outlineLevel="1" x14ac:dyDescent="0.25">
      <c r="C109" s="405"/>
      <c r="D109" s="406" t="s">
        <v>489</v>
      </c>
      <c r="E109" s="407"/>
      <c r="F109" s="407"/>
      <c r="G109" s="408"/>
      <c r="H109" s="408">
        <f>SUM(H90:H107)</f>
        <v>0</v>
      </c>
      <c r="I109" s="408"/>
      <c r="J109" s="408">
        <f>SUM(J90:J108)</f>
        <v>0</v>
      </c>
      <c r="K109" s="409">
        <f>SUM(K90:K108)</f>
        <v>0</v>
      </c>
      <c r="L109" s="408"/>
      <c r="M109" s="408"/>
      <c r="N109" s="409">
        <f>SUM(N90:N108)</f>
        <v>0</v>
      </c>
      <c r="O109" s="410"/>
      <c r="R109" s="349"/>
      <c r="S109" s="349"/>
    </row>
    <row r="110" spans="3:19" hidden="1" outlineLevel="1" x14ac:dyDescent="0.25">
      <c r="C110" s="86"/>
      <c r="E110"/>
      <c r="F110"/>
      <c r="K110" s="1"/>
      <c r="O110" s="137"/>
      <c r="P110" s="14"/>
    </row>
    <row r="111" spans="3:19" ht="15.75" hidden="1" outlineLevel="1" x14ac:dyDescent="0.25">
      <c r="C111" s="629" t="s">
        <v>490</v>
      </c>
      <c r="D111" s="630"/>
      <c r="G111" s="11"/>
      <c r="I111" s="161"/>
      <c r="J111" s="159"/>
      <c r="K111" s="51"/>
      <c r="M111" s="161"/>
      <c r="N111" s="162"/>
      <c r="O111" s="163"/>
      <c r="P111" s="14"/>
    </row>
    <row r="112" spans="3:19" ht="15" hidden="1" customHeight="1" outlineLevel="1" x14ac:dyDescent="0.25">
      <c r="C112" s="241"/>
      <c r="G112" s="11"/>
      <c r="H112" s="146"/>
      <c r="I112" s="134"/>
      <c r="J112" s="82"/>
      <c r="K112" s="51"/>
      <c r="L112" s="56"/>
      <c r="M112" s="56"/>
      <c r="N112" s="84"/>
      <c r="O112" s="88"/>
    </row>
    <row r="113" spans="1:73" hidden="1" outlineLevel="1" x14ac:dyDescent="0.25">
      <c r="C113" s="86" t="s">
        <v>92</v>
      </c>
      <c r="D113" t="s">
        <v>621</v>
      </c>
      <c r="E113" s="11" t="s">
        <v>46</v>
      </c>
      <c r="F113" s="11" t="s">
        <v>46</v>
      </c>
      <c r="G113" s="11"/>
      <c r="H113" s="143"/>
      <c r="I113" s="56">
        <f>6*300/65</f>
        <v>27.692307692307693</v>
      </c>
      <c r="J113" s="82">
        <f>(G113+H113)*I113</f>
        <v>0</v>
      </c>
      <c r="K113" s="51">
        <f>J113*Summary!$H$4</f>
        <v>0</v>
      </c>
      <c r="L113" s="53">
        <v>1631.4</v>
      </c>
      <c r="M113" s="56">
        <v>0</v>
      </c>
      <c r="N113" s="84">
        <f>((G113+H113)*L113)+((G113+H113)*M113)</f>
        <v>0</v>
      </c>
      <c r="O113" s="88">
        <f t="shared" ref="O113" si="21">N113+K113</f>
        <v>0</v>
      </c>
    </row>
    <row r="114" spans="1:73" hidden="1" outlineLevel="1" x14ac:dyDescent="0.25">
      <c r="C114" s="86" t="s">
        <v>92</v>
      </c>
      <c r="D114" t="s">
        <v>622</v>
      </c>
      <c r="E114" s="11" t="s">
        <v>46</v>
      </c>
      <c r="F114" s="11" t="s">
        <v>46</v>
      </c>
      <c r="G114" s="11"/>
      <c r="H114" s="143"/>
      <c r="I114" s="56">
        <f>2*300/65</f>
        <v>9.2307692307692299</v>
      </c>
      <c r="J114" s="82">
        <f>(G114+H114)*I114</f>
        <v>0</v>
      </c>
      <c r="K114" s="51">
        <f>J114*Summary!$H$4</f>
        <v>0</v>
      </c>
      <c r="L114" s="53">
        <v>0</v>
      </c>
      <c r="M114" s="56">
        <v>0</v>
      </c>
      <c r="N114" s="84">
        <f>((G114+H114)*L114)+((G114+H114)*M114)</f>
        <v>0</v>
      </c>
      <c r="O114" s="88">
        <f t="shared" ref="O114" si="22">N114+K114</f>
        <v>0</v>
      </c>
    </row>
    <row r="115" spans="1:73" ht="15.75" hidden="1" outlineLevel="1" thickBot="1" x14ac:dyDescent="0.3">
      <c r="C115" s="86"/>
      <c r="G115" s="11"/>
      <c r="H115" s="143"/>
      <c r="I115" s="56"/>
      <c r="J115" s="82"/>
      <c r="K115" s="51"/>
      <c r="L115" s="53"/>
      <c r="M115" s="56"/>
      <c r="N115" s="84"/>
      <c r="O115" s="88"/>
    </row>
    <row r="116" spans="1:73" hidden="1" outlineLevel="1" x14ac:dyDescent="0.25">
      <c r="C116" s="405"/>
      <c r="D116" s="406" t="s">
        <v>491</v>
      </c>
      <c r="E116" s="407"/>
      <c r="F116" s="407"/>
      <c r="G116" s="408">
        <f>SUM(G110:G115)</f>
        <v>0</v>
      </c>
      <c r="H116" s="408"/>
      <c r="I116" s="408"/>
      <c r="J116" s="408">
        <f>SUM(J110:J115)</f>
        <v>0</v>
      </c>
      <c r="K116" s="409">
        <f>SUM(K110:K115)</f>
        <v>0</v>
      </c>
      <c r="L116" s="408"/>
      <c r="M116" s="408"/>
      <c r="N116" s="409">
        <f>SUM(N110:N115)</f>
        <v>0</v>
      </c>
      <c r="O116" s="410"/>
      <c r="R116" s="349"/>
      <c r="S116" s="349"/>
    </row>
    <row r="117" spans="1:73" hidden="1" outlineLevel="1" x14ac:dyDescent="0.25">
      <c r="C117" s="86"/>
      <c r="K117" s="1"/>
      <c r="O117" s="137"/>
    </row>
    <row r="118" spans="1:73" ht="15.75" hidden="1" outlineLevel="1" thickBot="1" x14ac:dyDescent="0.3">
      <c r="C118" s="86"/>
      <c r="K118" s="1"/>
      <c r="O118" s="137"/>
    </row>
    <row r="119" spans="1:73" s="437" customFormat="1" ht="22.5" customHeight="1" collapsed="1" thickTop="1" thickBot="1" x14ac:dyDescent="0.3">
      <c r="A119" s="512"/>
      <c r="B119" s="481"/>
      <c r="C119" s="272"/>
      <c r="D119" s="191" t="s">
        <v>493</v>
      </c>
      <c r="E119" s="191"/>
      <c r="F119" s="191"/>
      <c r="G119" s="274"/>
      <c r="H119" s="191"/>
      <c r="I119" s="191"/>
      <c r="J119" s="274">
        <f>J116+J109+J89+J81</f>
        <v>0</v>
      </c>
      <c r="K119" s="433">
        <f>K116+K109+K89+K81</f>
        <v>0</v>
      </c>
      <c r="L119" s="434"/>
      <c r="M119" s="191"/>
      <c r="N119" s="433">
        <f>N116+N109+N89+N81</f>
        <v>0</v>
      </c>
      <c r="O119" s="435"/>
      <c r="P119" s="436">
        <f>SUM(O10:O118)</f>
        <v>0</v>
      </c>
      <c r="Q119" s="437" t="str">
        <f>IF(P119=(N119+K119), "GOOD", "ERROR NEED CHECK")</f>
        <v>GOOD</v>
      </c>
      <c r="R119" s="349">
        <f t="shared" ref="R119" si="23">IF(F119="X", IF(G119&lt;&gt;"", IF(OR(I119&gt;0,O119&gt;0), "✔", "ERROR"),"ERROR"),0)</f>
        <v>0</v>
      </c>
      <c r="S119" s="349">
        <f t="shared" ref="S119" si="24">IF(E119="X", IF(G119&lt;&gt;"", IF(AND(N119&gt;0,O119&gt;0), "✔", "ERROR"),"ERROR"),0)</f>
        <v>0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</row>
    <row r="120" spans="1:73" ht="15.75" thickBot="1" x14ac:dyDescent="0.3">
      <c r="C120" s="381"/>
      <c r="D120" s="381"/>
      <c r="E120" s="396"/>
      <c r="F120" s="396"/>
      <c r="G120" s="381"/>
      <c r="H120" s="381"/>
      <c r="I120" s="381"/>
      <c r="J120" s="381"/>
      <c r="K120" s="212"/>
      <c r="L120" s="381"/>
      <c r="M120" s="381"/>
      <c r="N120" s="381"/>
      <c r="O120" s="212"/>
      <c r="U120" s="631" t="s">
        <v>646</v>
      </c>
      <c r="V120" s="631"/>
      <c r="W120" s="631"/>
      <c r="X120" s="631"/>
    </row>
    <row r="121" spans="1:73" ht="15.75" thickBot="1" x14ac:dyDescent="0.3">
      <c r="C121" s="389"/>
      <c r="D121" s="390"/>
      <c r="E121" s="391"/>
      <c r="F121" s="391"/>
      <c r="G121" s="390"/>
      <c r="H121" s="390"/>
      <c r="I121" s="390"/>
      <c r="J121" s="390"/>
      <c r="K121" s="477"/>
      <c r="L121" s="390"/>
      <c r="M121" s="390"/>
      <c r="N121" s="390"/>
      <c r="O121" s="478"/>
      <c r="T121" t="s">
        <v>647</v>
      </c>
      <c r="U121" s="548">
        <v>1</v>
      </c>
      <c r="V121" s="548">
        <v>2</v>
      </c>
      <c r="W121" s="548">
        <v>3</v>
      </c>
      <c r="X121" s="548">
        <v>4</v>
      </c>
    </row>
    <row r="122" spans="1:73" ht="22.5" thickTop="1" thickBot="1" x14ac:dyDescent="0.4">
      <c r="C122" s="413" t="s">
        <v>494</v>
      </c>
      <c r="D122" s="414"/>
      <c r="E122" s="415"/>
      <c r="F122" s="415"/>
      <c r="G122" s="416"/>
      <c r="H122" s="417"/>
      <c r="I122" s="416"/>
      <c r="J122" s="418"/>
      <c r="K122" s="419"/>
      <c r="L122" s="416"/>
      <c r="M122" s="416"/>
      <c r="N122" s="420"/>
      <c r="O122" s="421"/>
      <c r="P122" s="14"/>
      <c r="R122" s="349">
        <f t="shared" ref="R122" si="25">IF(F122="X", IF(G122&lt;&gt;"", IF(OR(I122&lt;&gt;"",L122&lt;&gt;""), "✔", "ERROR"),"ERROR"),0)</f>
        <v>0</v>
      </c>
      <c r="S122" s="348"/>
      <c r="T122" s="10" t="s">
        <v>648</v>
      </c>
      <c r="U122" s="38">
        <v>400</v>
      </c>
      <c r="V122" s="38">
        <v>350</v>
      </c>
      <c r="W122" s="36">
        <v>250</v>
      </c>
      <c r="X122" s="36">
        <v>200</v>
      </c>
    </row>
    <row r="123" spans="1:73" ht="15.75" hidden="1" outlineLevel="1" thickTop="1" x14ac:dyDescent="0.25">
      <c r="C123" s="86"/>
      <c r="K123" s="1"/>
      <c r="O123" s="137"/>
    </row>
    <row r="124" spans="1:73" ht="15.75" hidden="1" outlineLevel="1" x14ac:dyDescent="0.25">
      <c r="C124" s="471" t="s">
        <v>484</v>
      </c>
      <c r="D124" s="1" t="s">
        <v>609</v>
      </c>
      <c r="O124" s="87"/>
    </row>
    <row r="125" spans="1:73" hidden="1" outlineLevel="1" x14ac:dyDescent="0.25">
      <c r="C125" s="86"/>
      <c r="D125" s="279" t="s">
        <v>607</v>
      </c>
      <c r="E125" s="56"/>
      <c r="G125" s="56"/>
      <c r="H125" s="549">
        <v>5</v>
      </c>
      <c r="I125">
        <f>IFERROR(INDEX($U$28:$AF$79,MATCH(D143,$T$28:$T$79,0),MATCH(E143,$U$24:$AF$24,0)),0)</f>
        <v>0</v>
      </c>
      <c r="O125" s="87"/>
    </row>
    <row r="126" spans="1:73" hidden="1" outlineLevel="1" x14ac:dyDescent="0.25">
      <c r="C126" s="86"/>
      <c r="D126" s="279" t="s">
        <v>610</v>
      </c>
      <c r="F126"/>
      <c r="G126" s="313"/>
      <c r="H126" s="549">
        <v>0</v>
      </c>
      <c r="I126" s="83"/>
      <c r="O126" s="87"/>
    </row>
    <row r="127" spans="1:73" ht="15" hidden="1" customHeight="1" outlineLevel="1" x14ac:dyDescent="0.25">
      <c r="C127" s="86"/>
      <c r="D127" s="279" t="s">
        <v>611</v>
      </c>
      <c r="F127"/>
      <c r="G127" s="314">
        <f>I143</f>
        <v>0</v>
      </c>
      <c r="H127" s="549">
        <v>0</v>
      </c>
      <c r="I127" s="83"/>
      <c r="O127" s="87"/>
    </row>
    <row r="128" spans="1:73" hidden="1" outlineLevel="1" x14ac:dyDescent="0.25">
      <c r="C128" s="86"/>
      <c r="D128" s="1" t="s">
        <v>612</v>
      </c>
      <c r="E128" s="56"/>
      <c r="F128"/>
      <c r="G128" s="56"/>
      <c r="H128" s="82"/>
      <c r="I128" s="83"/>
      <c r="J128" s="52"/>
      <c r="K128" s="51"/>
      <c r="L128" s="84"/>
      <c r="M128" s="85"/>
      <c r="O128" s="136"/>
      <c r="P128" s="14"/>
    </row>
    <row r="129" spans="3:17" hidden="1" outlineLevel="1" x14ac:dyDescent="0.25">
      <c r="C129" s="86"/>
      <c r="D129" s="279" t="s">
        <v>613</v>
      </c>
      <c r="E129" s="11" t="s">
        <v>46</v>
      </c>
      <c r="F129" s="11" t="s">
        <v>46</v>
      </c>
      <c r="G129" s="56"/>
      <c r="H129" s="82">
        <f>SUM(H126:H127)</f>
        <v>0</v>
      </c>
      <c r="I129" s="52">
        <f>8/500*(120/65)</f>
        <v>2.9538461538461541E-2</v>
      </c>
      <c r="J129" s="82">
        <f>(G129+H129)*I129</f>
        <v>0</v>
      </c>
      <c r="K129" s="51">
        <f>J129*Summary!$H$4</f>
        <v>0</v>
      </c>
      <c r="L129" s="84"/>
      <c r="M129" s="85"/>
      <c r="O129" s="136">
        <f>N129+K129</f>
        <v>0</v>
      </c>
      <c r="P129" s="14"/>
    </row>
    <row r="130" spans="3:17" hidden="1" outlineLevel="1" x14ac:dyDescent="0.25">
      <c r="C130" s="86"/>
      <c r="D130" s="279" t="s">
        <v>620</v>
      </c>
      <c r="E130" s="11" t="s">
        <v>46</v>
      </c>
      <c r="F130" s="11" t="s">
        <v>46</v>
      </c>
      <c r="G130" s="56"/>
      <c r="H130" s="82">
        <f>SUM(H126:H127)</f>
        <v>0</v>
      </c>
      <c r="I130" s="52">
        <f>IF(H125&lt;=5,IFERROR(8/INDEX($U$122:$X$122,MATCH(ROUNDUP(C143/1,0),$U$121:$X$121,0)),0)*300/65*2,0)</f>
        <v>0.18461538461538463</v>
      </c>
      <c r="J130" s="82">
        <f>(G130+H130)*I130</f>
        <v>0</v>
      </c>
      <c r="K130" s="51">
        <f>J130*Summary!$H$4</f>
        <v>0</v>
      </c>
      <c r="L130" s="84"/>
      <c r="M130" s="85"/>
      <c r="O130" s="136">
        <f>N130+K130</f>
        <v>0</v>
      </c>
      <c r="P130" s="14"/>
    </row>
    <row r="131" spans="3:17" hidden="1" outlineLevel="1" x14ac:dyDescent="0.25">
      <c r="C131" s="86"/>
      <c r="D131" s="279" t="s">
        <v>619</v>
      </c>
      <c r="E131" s="11" t="s">
        <v>46</v>
      </c>
      <c r="F131" s="11" t="s">
        <v>46</v>
      </c>
      <c r="G131" s="56"/>
      <c r="H131" s="82">
        <f>G143*1.1</f>
        <v>0</v>
      </c>
      <c r="I131" s="52"/>
      <c r="J131" s="82"/>
      <c r="K131" s="51"/>
      <c r="L131" s="52">
        <v>30</v>
      </c>
      <c r="M131" s="85"/>
      <c r="N131" s="84">
        <f>L131*(H131+G131)</f>
        <v>0</v>
      </c>
      <c r="O131" s="136">
        <f>N131+K131</f>
        <v>0</v>
      </c>
      <c r="P131" s="14"/>
    </row>
    <row r="132" spans="3:17" hidden="1" outlineLevel="1" x14ac:dyDescent="0.25">
      <c r="C132" s="86"/>
      <c r="D132" s="279" t="s">
        <v>614</v>
      </c>
      <c r="E132" s="11" t="s">
        <v>46</v>
      </c>
      <c r="F132" s="11" t="s">
        <v>46</v>
      </c>
      <c r="G132" s="56"/>
      <c r="H132" s="82">
        <f>SUM(H126:H127)</f>
        <v>0</v>
      </c>
      <c r="I132" s="52">
        <f>8/500*(100/65)</f>
        <v>2.4615384615384619E-2</v>
      </c>
      <c r="J132" s="82">
        <f>(G132+H132)*I132</f>
        <v>0</v>
      </c>
      <c r="K132" s="51">
        <f>J132*Summary!$H$4</f>
        <v>0</v>
      </c>
      <c r="L132" s="52"/>
      <c r="M132" s="85"/>
      <c r="O132" s="136">
        <f>N132+K132</f>
        <v>0</v>
      </c>
      <c r="P132" s="14"/>
    </row>
    <row r="133" spans="3:17" hidden="1" outlineLevel="1" x14ac:dyDescent="0.25">
      <c r="C133" s="86"/>
      <c r="D133" s="1" t="s">
        <v>608</v>
      </c>
      <c r="G133" s="56"/>
      <c r="H133" s="82"/>
      <c r="I133" s="52"/>
      <c r="J133" s="82"/>
      <c r="K133" s="51"/>
      <c r="L133" s="52"/>
      <c r="M133" s="85"/>
      <c r="O133" s="136"/>
      <c r="P133" s="14"/>
    </row>
    <row r="134" spans="3:17" hidden="1" outlineLevel="1" x14ac:dyDescent="0.25">
      <c r="C134" s="86"/>
      <c r="D134" s="279" t="s">
        <v>615</v>
      </c>
      <c r="E134" s="11" t="s">
        <v>46</v>
      </c>
      <c r="F134" s="11" t="s">
        <v>46</v>
      </c>
      <c r="G134" s="56"/>
      <c r="H134" s="82">
        <f>(((H126+H127)*D143*E143))/27*1.4*1.4/25</f>
        <v>0</v>
      </c>
      <c r="I134" s="52">
        <f>8/50*(128/65)</f>
        <v>0.31507692307692309</v>
      </c>
      <c r="J134" s="82">
        <f>(G134+H134)*I134</f>
        <v>0</v>
      </c>
      <c r="K134" s="51">
        <f>J134*Summary!$H$4</f>
        <v>0</v>
      </c>
      <c r="L134" s="52"/>
      <c r="M134" s="85"/>
      <c r="O134" s="136">
        <f t="shared" ref="O134:O135" si="26">N134+K134</f>
        <v>0</v>
      </c>
      <c r="P134" s="14"/>
    </row>
    <row r="135" spans="3:17" hidden="1" outlineLevel="1" x14ac:dyDescent="0.25">
      <c r="C135" s="86"/>
      <c r="D135" s="279" t="s">
        <v>616</v>
      </c>
      <c r="E135" s="11" t="s">
        <v>46</v>
      </c>
      <c r="F135" s="11" t="s">
        <v>46</v>
      </c>
      <c r="G135" s="56"/>
      <c r="H135" s="82">
        <f>(H127*E143*H125)/27*1.4*1.4</f>
        <v>0</v>
      </c>
      <c r="I135" s="52">
        <f>8/50*(128/65)</f>
        <v>0.31507692307692309</v>
      </c>
      <c r="J135" s="82">
        <f>(G135+H135)*I135</f>
        <v>0</v>
      </c>
      <c r="K135" s="51">
        <f>J135*Summary!$H$4</f>
        <v>0</v>
      </c>
      <c r="L135" s="52"/>
      <c r="M135" s="85"/>
      <c r="O135" s="136">
        <f t="shared" si="26"/>
        <v>0</v>
      </c>
      <c r="P135" s="14"/>
    </row>
    <row r="136" spans="3:17" ht="15" hidden="1" customHeight="1" outlineLevel="1" x14ac:dyDescent="0.25">
      <c r="C136" s="86"/>
      <c r="D136" s="279" t="s">
        <v>617</v>
      </c>
      <c r="E136" s="11" t="s">
        <v>46</v>
      </c>
      <c r="F136" s="11" t="s">
        <v>46</v>
      </c>
      <c r="G136" s="56"/>
      <c r="H136" s="82">
        <f>SUM(H134:H135)</f>
        <v>0</v>
      </c>
      <c r="I136" s="52"/>
      <c r="J136" s="82"/>
      <c r="K136" s="51"/>
      <c r="L136" s="52">
        <v>450</v>
      </c>
      <c r="M136" s="85"/>
      <c r="N136" s="84">
        <f>L136*ROUNDUP((H136+G136)/25,0)</f>
        <v>0</v>
      </c>
      <c r="O136" s="136">
        <f>N136+K136</f>
        <v>0</v>
      </c>
      <c r="P136" s="14"/>
    </row>
    <row r="137" spans="3:17" ht="15" hidden="1" customHeight="1" outlineLevel="1" x14ac:dyDescent="0.25">
      <c r="C137" s="86"/>
      <c r="D137" s="1" t="s">
        <v>279</v>
      </c>
      <c r="E137"/>
      <c r="F137"/>
      <c r="K137" s="1"/>
      <c r="O137" s="137"/>
      <c r="P137" s="315"/>
    </row>
    <row r="138" spans="3:17" ht="15" hidden="1" customHeight="1" outlineLevel="1" x14ac:dyDescent="0.25">
      <c r="C138" s="551">
        <v>0</v>
      </c>
      <c r="D138" s="279" t="s">
        <v>654</v>
      </c>
      <c r="E138" s="11" t="s">
        <v>46</v>
      </c>
      <c r="F138" s="11" t="s">
        <v>46</v>
      </c>
      <c r="G138">
        <f>IF(C138="YES",ROUNDUP(J130,0),0)</f>
        <v>0</v>
      </c>
      <c r="K138" s="1"/>
      <c r="L138" s="52">
        <f>1500/8</f>
        <v>187.5</v>
      </c>
      <c r="M138" s="85"/>
      <c r="N138" s="84">
        <f>IF(G138&gt;0,L138*(H138+G138)+3000,0)</f>
        <v>0</v>
      </c>
      <c r="O138" s="136">
        <f t="shared" ref="O138" si="27">N138+K138</f>
        <v>0</v>
      </c>
      <c r="P138" s="14"/>
      <c r="Q138" s="14"/>
    </row>
    <row r="139" spans="3:17" ht="15" hidden="1" customHeight="1" outlineLevel="1" x14ac:dyDescent="0.25">
      <c r="C139" s="86"/>
      <c r="D139" s="279" t="s">
        <v>655</v>
      </c>
      <c r="E139" s="11" t="s">
        <v>46</v>
      </c>
      <c r="F139" s="11" t="s">
        <v>46</v>
      </c>
      <c r="G139">
        <f>IF(H125&gt;5,ROUNDUP(J130,0),0)</f>
        <v>0</v>
      </c>
      <c r="K139" s="1"/>
      <c r="L139" s="52">
        <v>30</v>
      </c>
      <c r="M139" s="85"/>
      <c r="N139" s="84">
        <f t="shared" ref="N139" si="28">L139*(H139+G139)</f>
        <v>0</v>
      </c>
      <c r="O139" s="136">
        <f>N139+K139</f>
        <v>0</v>
      </c>
      <c r="P139" s="14"/>
      <c r="Q139" s="14"/>
    </row>
    <row r="140" spans="3:17" ht="15" hidden="1" customHeight="1" outlineLevel="1" thickBot="1" x14ac:dyDescent="0.3">
      <c r="C140" s="86"/>
      <c r="E140"/>
      <c r="F140"/>
      <c r="K140" s="1"/>
      <c r="O140" s="137"/>
      <c r="P140" s="14"/>
      <c r="Q140" s="14"/>
    </row>
    <row r="141" spans="3:17" ht="15.75" hidden="1" customHeight="1" outlineLevel="1" thickBot="1" x14ac:dyDescent="0.3">
      <c r="C141" s="65" t="s">
        <v>54</v>
      </c>
      <c r="D141" s="428"/>
      <c r="E141" s="381"/>
      <c r="F141" s="381"/>
      <c r="G141" s="544"/>
      <c r="H141" s="1"/>
      <c r="J141" s="1"/>
      <c r="K141" s="1"/>
      <c r="O141" s="137"/>
      <c r="P141" s="14"/>
      <c r="Q141" s="14"/>
    </row>
    <row r="142" spans="3:17" hidden="1" outlineLevel="1" x14ac:dyDescent="0.25">
      <c r="C142" s="196" t="s">
        <v>601</v>
      </c>
      <c r="D142" s="197" t="s">
        <v>602</v>
      </c>
      <c r="E142" s="197" t="s">
        <v>603</v>
      </c>
      <c r="F142" s="250" t="s">
        <v>605</v>
      </c>
      <c r="G142" s="318" t="s">
        <v>604</v>
      </c>
      <c r="H142" s="1"/>
      <c r="J142" s="1"/>
      <c r="K142" s="108"/>
      <c r="L142" s="108"/>
      <c r="M142" s="108"/>
      <c r="O142" s="137"/>
      <c r="P142" s="14"/>
      <c r="Q142" s="14"/>
    </row>
    <row r="143" spans="3:17" ht="15.75" hidden="1" outlineLevel="1" thickBot="1" x14ac:dyDescent="0.3">
      <c r="C143" s="547">
        <v>1</v>
      </c>
      <c r="D143" s="546">
        <f>1.5+C143/12</f>
        <v>1.5833333333333333</v>
      </c>
      <c r="E143" s="546">
        <f>2+C143/12</f>
        <v>2.0833333333333335</v>
      </c>
      <c r="F143" s="545">
        <f>(((H126+H127)*D143*E143)+(H127*E143*(H125-D143)))/27</f>
        <v>0</v>
      </c>
      <c r="G143" s="319">
        <f>ROUNDUP(F143*1.3,0)</f>
        <v>0</v>
      </c>
      <c r="H143" s="1"/>
      <c r="J143" s="1"/>
      <c r="K143" s="108"/>
      <c r="L143" s="108"/>
      <c r="M143" s="108"/>
      <c r="O143" s="137"/>
      <c r="P143" s="14"/>
      <c r="Q143" s="14"/>
    </row>
    <row r="144" spans="3:17" hidden="1" outlineLevel="1" x14ac:dyDescent="0.25">
      <c r="C144" s="86"/>
      <c r="D144" s="317" t="s">
        <v>600</v>
      </c>
      <c r="K144" s="1"/>
      <c r="O144" s="137"/>
      <c r="P144" s="14"/>
      <c r="Q144" s="14"/>
    </row>
    <row r="145" spans="3:21" hidden="1" outlineLevel="1" x14ac:dyDescent="0.25">
      <c r="C145" s="86"/>
      <c r="D145" s="317" t="s">
        <v>599</v>
      </c>
      <c r="K145" s="1"/>
      <c r="O145" s="137"/>
      <c r="P145" s="14"/>
      <c r="Q145" s="14"/>
    </row>
    <row r="146" spans="3:21" hidden="1" outlineLevel="1" x14ac:dyDescent="0.25">
      <c r="C146" s="86"/>
      <c r="E146"/>
      <c r="F146"/>
      <c r="K146" s="1"/>
      <c r="O146" s="137"/>
      <c r="P146" s="14"/>
      <c r="Q146" s="14"/>
      <c r="U146" s="43"/>
    </row>
    <row r="147" spans="3:21" hidden="1" outlineLevel="1" x14ac:dyDescent="0.25">
      <c r="C147" s="86"/>
      <c r="E147"/>
      <c r="F147"/>
      <c r="K147" s="1"/>
      <c r="O147" s="137"/>
      <c r="P147" s="14"/>
      <c r="Q147" s="14"/>
      <c r="U147" s="43"/>
    </row>
    <row r="148" spans="3:21" ht="15.75" hidden="1" outlineLevel="1" thickBot="1" x14ac:dyDescent="0.3">
      <c r="C148" s="86"/>
      <c r="E148"/>
      <c r="F148"/>
      <c r="K148" s="1"/>
      <c r="O148" s="137"/>
      <c r="P148" s="14"/>
      <c r="Q148" s="14"/>
      <c r="U148" s="43"/>
    </row>
    <row r="149" spans="3:21" hidden="1" outlineLevel="1" x14ac:dyDescent="0.25">
      <c r="C149" s="405"/>
      <c r="D149" s="406" t="s">
        <v>495</v>
      </c>
      <c r="E149" s="407"/>
      <c r="F149" s="407"/>
      <c r="G149" s="408"/>
      <c r="H149" s="408">
        <f>SUM(H111:H135)</f>
        <v>5</v>
      </c>
      <c r="I149" s="408"/>
      <c r="J149" s="408">
        <f>SUM(J123:J148)</f>
        <v>0</v>
      </c>
      <c r="K149" s="409">
        <f>SUM(K123:K148)</f>
        <v>0</v>
      </c>
      <c r="L149" s="408"/>
      <c r="M149" s="408"/>
      <c r="N149" s="409">
        <f>SUM(N123:N148)</f>
        <v>0</v>
      </c>
      <c r="O149" s="410"/>
      <c r="P149" s="14"/>
      <c r="Q149" s="14"/>
      <c r="R149" s="349"/>
      <c r="S149" s="349"/>
      <c r="U149" s="43"/>
    </row>
    <row r="150" spans="3:21" hidden="1" outlineLevel="1" x14ac:dyDescent="0.25">
      <c r="C150" s="86"/>
      <c r="G150" s="11"/>
      <c r="H150" s="41"/>
      <c r="I150" s="161"/>
      <c r="J150" s="159"/>
      <c r="K150" s="51"/>
      <c r="L150" s="161"/>
      <c r="M150" s="110"/>
      <c r="N150" s="162"/>
      <c r="O150" s="163"/>
      <c r="P150" s="14"/>
      <c r="Q150" s="14"/>
      <c r="U150" s="43"/>
    </row>
    <row r="151" spans="3:21" ht="15.75" hidden="1" outlineLevel="1" x14ac:dyDescent="0.25">
      <c r="C151" s="629" t="s">
        <v>502</v>
      </c>
      <c r="D151" s="630"/>
      <c r="O151" s="87"/>
      <c r="P151" s="14"/>
      <c r="Q151" s="14"/>
      <c r="U151" s="43"/>
    </row>
    <row r="152" spans="3:21" hidden="1" outlineLevel="1" x14ac:dyDescent="0.25">
      <c r="C152" s="86"/>
      <c r="G152" s="11"/>
      <c r="H152" s="41"/>
      <c r="I152" s="161"/>
      <c r="J152" s="159"/>
      <c r="K152" s="51"/>
      <c r="L152" s="161"/>
      <c r="M152" s="110"/>
      <c r="N152" s="162"/>
      <c r="O152" s="163"/>
      <c r="P152" s="14"/>
      <c r="Q152" s="14"/>
      <c r="U152" s="43"/>
    </row>
    <row r="153" spans="3:21" hidden="1" outlineLevel="1" x14ac:dyDescent="0.25">
      <c r="C153" s="86"/>
      <c r="G153" s="11"/>
      <c r="H153" s="41"/>
      <c r="I153" s="161"/>
      <c r="J153" s="159"/>
      <c r="K153" s="51"/>
      <c r="L153" s="161"/>
      <c r="M153" s="110"/>
      <c r="N153" s="162"/>
      <c r="O153" s="163"/>
      <c r="P153" s="14"/>
      <c r="Q153" s="14"/>
      <c r="U153" s="43"/>
    </row>
    <row r="154" spans="3:21" hidden="1" outlineLevel="1" x14ac:dyDescent="0.25">
      <c r="C154" s="86"/>
      <c r="G154" s="11"/>
      <c r="H154" s="41"/>
      <c r="I154" s="161"/>
      <c r="J154" s="159"/>
      <c r="K154" s="51"/>
      <c r="L154" s="161"/>
      <c r="M154" s="110"/>
      <c r="N154" s="162"/>
      <c r="O154" s="163"/>
      <c r="P154" s="14"/>
      <c r="Q154" s="14"/>
      <c r="U154" s="43"/>
    </row>
    <row r="155" spans="3:21" hidden="1" outlineLevel="1" x14ac:dyDescent="0.25">
      <c r="C155" s="86"/>
      <c r="G155" s="11"/>
      <c r="H155" s="41"/>
      <c r="I155" s="161"/>
      <c r="J155" s="159"/>
      <c r="K155" s="51"/>
      <c r="L155" s="161"/>
      <c r="M155" s="110"/>
      <c r="N155" s="162"/>
      <c r="O155" s="163"/>
      <c r="P155" s="14"/>
      <c r="Q155" s="14"/>
      <c r="U155" s="43"/>
    </row>
    <row r="156" spans="3:21" hidden="1" outlineLevel="1" x14ac:dyDescent="0.25">
      <c r="C156" s="86"/>
      <c r="G156" s="11"/>
      <c r="H156" s="41"/>
      <c r="I156" s="161"/>
      <c r="J156" s="159"/>
      <c r="K156" s="51"/>
      <c r="L156" s="161"/>
      <c r="M156" s="110"/>
      <c r="N156" s="162"/>
      <c r="O156" s="163"/>
      <c r="P156" s="14"/>
      <c r="U156" s="43"/>
    </row>
    <row r="157" spans="3:21" hidden="1" outlineLevel="1" x14ac:dyDescent="0.25">
      <c r="C157" s="86"/>
      <c r="G157" s="11"/>
      <c r="H157" s="41"/>
      <c r="I157" s="161"/>
      <c r="J157" s="159"/>
      <c r="K157" s="51"/>
      <c r="L157" s="161"/>
      <c r="M157" s="110"/>
      <c r="N157" s="162"/>
      <c r="O157" s="163"/>
      <c r="P157" s="14"/>
      <c r="U157" s="43"/>
    </row>
    <row r="158" spans="3:21" hidden="1" outlineLevel="1" x14ac:dyDescent="0.25">
      <c r="C158" s="86"/>
      <c r="G158" s="11"/>
      <c r="H158" s="41"/>
      <c r="I158" s="161"/>
      <c r="J158" s="159"/>
      <c r="K158" s="51"/>
      <c r="L158" s="161"/>
      <c r="M158" s="110"/>
      <c r="N158" s="162"/>
      <c r="O158" s="163"/>
      <c r="P158" s="14"/>
      <c r="U158" s="43"/>
    </row>
    <row r="159" spans="3:21" hidden="1" outlineLevel="1" x14ac:dyDescent="0.25">
      <c r="C159" s="86"/>
      <c r="G159" s="11"/>
      <c r="H159" s="41"/>
      <c r="I159" s="161"/>
      <c r="J159" s="159"/>
      <c r="K159" s="51"/>
      <c r="L159" s="161"/>
      <c r="M159" s="110"/>
      <c r="N159" s="162"/>
      <c r="O159" s="163"/>
      <c r="P159" s="14"/>
      <c r="U159" s="43"/>
    </row>
    <row r="160" spans="3:21" hidden="1" outlineLevel="1" x14ac:dyDescent="0.25">
      <c r="C160" s="86" t="s">
        <v>496</v>
      </c>
      <c r="E160" s="11" t="s">
        <v>46</v>
      </c>
      <c r="F160" s="11" t="s">
        <v>46</v>
      </c>
      <c r="L160" s="550"/>
      <c r="M160" s="56">
        <v>0</v>
      </c>
      <c r="N160" s="84">
        <f t="shared" ref="N160" si="29">((G160+H160)*L160)+((G160+H160)*M160)</f>
        <v>0</v>
      </c>
      <c r="O160" s="167">
        <f t="shared" ref="O160" si="30">N160+K160</f>
        <v>0</v>
      </c>
      <c r="P160" s="14"/>
    </row>
    <row r="161" spans="3:19" hidden="1" outlineLevel="1" x14ac:dyDescent="0.25">
      <c r="C161" s="158"/>
      <c r="D161" s="279" t="s">
        <v>618</v>
      </c>
      <c r="E161" s="11" t="s">
        <v>46</v>
      </c>
      <c r="F161" s="11" t="s">
        <v>46</v>
      </c>
      <c r="G161" s="550">
        <v>0</v>
      </c>
      <c r="H161" s="82"/>
      <c r="I161" s="52">
        <f>0.1*300/65</f>
        <v>0.46153846153846156</v>
      </c>
      <c r="J161" s="82">
        <f>(G161+H161)*I161</f>
        <v>0</v>
      </c>
      <c r="K161" s="51">
        <f>J161*Summary!$H$4</f>
        <v>0</v>
      </c>
      <c r="L161" s="52"/>
      <c r="M161" s="85"/>
      <c r="O161" s="136">
        <f>N161+K161</f>
        <v>0</v>
      </c>
      <c r="P161" s="14"/>
    </row>
    <row r="162" spans="3:19" ht="15.75" hidden="1" outlineLevel="1" thickBot="1" x14ac:dyDescent="0.3">
      <c r="C162" s="86"/>
      <c r="G162" s="11"/>
      <c r="I162" s="161"/>
      <c r="J162" s="159"/>
      <c r="K162" s="51"/>
      <c r="M162" s="161"/>
      <c r="N162" s="162"/>
      <c r="O162" s="163"/>
      <c r="P162" s="14"/>
    </row>
    <row r="163" spans="3:19" hidden="1" outlineLevel="1" x14ac:dyDescent="0.25">
      <c r="C163" s="405"/>
      <c r="D163" s="406" t="s">
        <v>497</v>
      </c>
      <c r="E163" s="407"/>
      <c r="F163" s="407"/>
      <c r="G163" s="408">
        <f>SUM(G150:G162)</f>
        <v>0</v>
      </c>
      <c r="H163" s="408"/>
      <c r="I163" s="408"/>
      <c r="J163" s="408">
        <f>SUM(J150:J162)</f>
        <v>0</v>
      </c>
      <c r="K163" s="409">
        <f>SUM(K150:K162)</f>
        <v>0</v>
      </c>
      <c r="L163" s="408"/>
      <c r="M163" s="408"/>
      <c r="N163" s="409">
        <f>SUM(N150:N162)</f>
        <v>0</v>
      </c>
      <c r="O163" s="410"/>
      <c r="R163" s="349"/>
      <c r="S163" s="349"/>
    </row>
    <row r="164" spans="3:19" hidden="1" outlineLevel="1" x14ac:dyDescent="0.25">
      <c r="C164" s="86"/>
      <c r="G164" s="11"/>
      <c r="I164" s="161"/>
      <c r="J164" s="159"/>
      <c r="K164" s="51"/>
      <c r="M164" s="161"/>
      <c r="N164" s="162"/>
      <c r="O164" s="163"/>
      <c r="P164" s="14"/>
    </row>
    <row r="165" spans="3:19" ht="15.75" hidden="1" outlineLevel="1" x14ac:dyDescent="0.25">
      <c r="C165" s="629" t="s">
        <v>498</v>
      </c>
      <c r="D165" s="630"/>
      <c r="G165" s="11"/>
      <c r="I165" s="161"/>
      <c r="J165" s="159"/>
      <c r="K165" s="51"/>
      <c r="M165" s="161"/>
      <c r="N165" s="162"/>
      <c r="O165" s="163"/>
      <c r="P165" s="14"/>
    </row>
    <row r="166" spans="3:19" hidden="1" outlineLevel="1" x14ac:dyDescent="0.25">
      <c r="C166" s="86"/>
      <c r="G166" s="11"/>
      <c r="I166" s="161"/>
      <c r="J166" s="159"/>
      <c r="K166" s="51"/>
      <c r="M166" s="161"/>
      <c r="N166" s="162"/>
      <c r="O166" s="163"/>
      <c r="P166" s="14"/>
    </row>
    <row r="167" spans="3:19" hidden="1" outlineLevel="1" x14ac:dyDescent="0.25">
      <c r="C167" s="126" t="s">
        <v>192</v>
      </c>
      <c r="D167" s="537" t="s">
        <v>166</v>
      </c>
      <c r="G167" s="11"/>
      <c r="H167" s="146"/>
      <c r="I167" s="159"/>
      <c r="L167" s="148"/>
      <c r="O167" s="87"/>
      <c r="P167" s="14"/>
    </row>
    <row r="168" spans="3:19" hidden="1" outlineLevel="1" x14ac:dyDescent="0.25">
      <c r="C168" s="133"/>
      <c r="D168" s="15" t="s">
        <v>23</v>
      </c>
      <c r="E168" s="11" t="s">
        <v>46</v>
      </c>
      <c r="F168" s="11" t="s">
        <v>46</v>
      </c>
      <c r="G168" s="11"/>
      <c r="H168" s="146"/>
      <c r="I168" s="159"/>
      <c r="L168" s="321" cm="1">
        <f t="array" ref="L168">IFERROR(INDEX(Table3[Material Cost], MATCH(1, (Table3[Material]=$D$167) * (Table3[Size]=D168), 0)),0)</f>
        <v>7.57</v>
      </c>
      <c r="M168" s="56">
        <v>0</v>
      </c>
      <c r="N168" s="84">
        <f t="shared" ref="N168:N171" si="31">((G168+H168)*L168)+((G168+H168)*M168)</f>
        <v>0</v>
      </c>
      <c r="O168" s="167">
        <f t="shared" ref="O168:O171" si="32">N168+K168</f>
        <v>0</v>
      </c>
      <c r="P168" s="14"/>
    </row>
    <row r="169" spans="3:19" hidden="1" outlineLevel="1" x14ac:dyDescent="0.25">
      <c r="C169" s="133"/>
      <c r="D169" s="15" t="s">
        <v>24</v>
      </c>
      <c r="E169" s="11" t="s">
        <v>46</v>
      </c>
      <c r="F169" s="11" t="s">
        <v>46</v>
      </c>
      <c r="G169" s="11"/>
      <c r="H169" s="146"/>
      <c r="I169" s="159"/>
      <c r="L169" s="321" cm="1">
        <f t="array" ref="L169">IFERROR(INDEX(Table3[Material Cost], MATCH(1, (Table3[Material]=$D$167) * (Table3[Size]=D169), 0)),0)</f>
        <v>14.2</v>
      </c>
      <c r="M169" s="56">
        <v>0</v>
      </c>
      <c r="N169" s="84">
        <f t="shared" si="31"/>
        <v>0</v>
      </c>
      <c r="O169" s="167">
        <f t="shared" si="32"/>
        <v>0</v>
      </c>
      <c r="P169" s="14"/>
    </row>
    <row r="170" spans="3:19" hidden="1" outlineLevel="1" x14ac:dyDescent="0.25">
      <c r="C170" s="133"/>
      <c r="D170" s="15" t="s">
        <v>25</v>
      </c>
      <c r="E170" s="11" t="s">
        <v>46</v>
      </c>
      <c r="F170" s="11" t="s">
        <v>46</v>
      </c>
      <c r="G170" s="11"/>
      <c r="H170" s="146"/>
      <c r="I170" s="159"/>
      <c r="L170" s="321" cm="1">
        <f t="array" ref="L170">IFERROR(INDEX(Table3[Material Cost], MATCH(1, (Table3[Material]=$D$167) * (Table3[Size]=D170), 0)),0)</f>
        <v>18.55</v>
      </c>
      <c r="M170" s="56">
        <v>0</v>
      </c>
      <c r="N170" s="84">
        <f t="shared" si="31"/>
        <v>0</v>
      </c>
      <c r="O170" s="167">
        <f t="shared" si="32"/>
        <v>0</v>
      </c>
      <c r="P170" s="14"/>
    </row>
    <row r="171" spans="3:19" hidden="1" outlineLevel="1" x14ac:dyDescent="0.25">
      <c r="C171" s="133"/>
      <c r="D171" s="15" t="s">
        <v>151</v>
      </c>
      <c r="E171" s="11" t="s">
        <v>46</v>
      </c>
      <c r="F171" s="11" t="s">
        <v>46</v>
      </c>
      <c r="G171" s="11"/>
      <c r="H171" s="146"/>
      <c r="I171" s="159"/>
      <c r="L171" s="321" cm="1">
        <f t="array" ref="L171">IFERROR(INDEX(Table3[Material Cost], MATCH(1, (Table3[Material]=$D$167) * (Table3[Size]=D171), 0)),0)</f>
        <v>38.08</v>
      </c>
      <c r="M171" s="56">
        <v>0</v>
      </c>
      <c r="N171" s="84">
        <f t="shared" si="31"/>
        <v>0</v>
      </c>
      <c r="O171" s="167">
        <f t="shared" si="32"/>
        <v>0</v>
      </c>
      <c r="P171" s="14"/>
    </row>
    <row r="172" spans="3:19" hidden="1" outlineLevel="1" x14ac:dyDescent="0.25">
      <c r="C172" s="133"/>
      <c r="D172" s="15" t="s">
        <v>38</v>
      </c>
      <c r="E172" s="11" t="s">
        <v>46</v>
      </c>
      <c r="F172" s="11" t="s">
        <v>46</v>
      </c>
      <c r="G172" s="11"/>
      <c r="H172" s="146"/>
      <c r="I172" s="159"/>
      <c r="L172" s="321" cm="1">
        <f t="array" ref="L172">IFERROR(INDEX(Table3[Material Cost], MATCH(1, (Table3[Material]=$D$167) * (Table3[Size]=D172), 0)),0)</f>
        <v>49.51</v>
      </c>
      <c r="M172" s="56">
        <v>0</v>
      </c>
      <c r="N172" s="84">
        <f t="shared" ref="N172" si="33">((G172+H172)*L172)+((G172+H172)*M172)</f>
        <v>0</v>
      </c>
      <c r="O172" s="167">
        <f t="shared" ref="O172" si="34">N172+K172</f>
        <v>0</v>
      </c>
      <c r="P172" s="14"/>
    </row>
    <row r="173" spans="3:19" hidden="1" outlineLevel="1" x14ac:dyDescent="0.25">
      <c r="C173" s="133"/>
      <c r="D173" s="15" t="s">
        <v>26</v>
      </c>
      <c r="E173" s="11" t="s">
        <v>46</v>
      </c>
      <c r="F173" s="11" t="s">
        <v>46</v>
      </c>
      <c r="G173" s="11"/>
      <c r="H173" s="146"/>
      <c r="I173" s="159"/>
      <c r="L173" s="321" cm="1">
        <f t="array" ref="L173">IFERROR(INDEX(Table3[Material Cost], MATCH(1, (Table3[Material]=$D$167) * (Table3[Size]=D173), 0)),0)</f>
        <v>90.31</v>
      </c>
      <c r="M173" s="56">
        <v>0</v>
      </c>
      <c r="N173" s="84">
        <f t="shared" ref="N173" si="35">((G173+H173)*L173)+((G173+H173)*M173)</f>
        <v>0</v>
      </c>
      <c r="O173" s="167">
        <f t="shared" ref="O173" si="36">N173+K173</f>
        <v>0</v>
      </c>
      <c r="P173" s="14"/>
    </row>
    <row r="174" spans="3:19" hidden="1" outlineLevel="1" x14ac:dyDescent="0.25">
      <c r="C174" s="133"/>
      <c r="D174" s="15" t="s">
        <v>129</v>
      </c>
      <c r="E174" s="11" t="s">
        <v>46</v>
      </c>
      <c r="F174" s="11" t="s">
        <v>46</v>
      </c>
      <c r="G174" s="11"/>
      <c r="H174" s="146"/>
      <c r="I174" s="159"/>
      <c r="L174" s="321" cm="1">
        <f t="array" ref="L174">IFERROR(INDEX(Table3[Material Cost], MATCH(1, (Table3[Material]=$D$167) * (Table3[Size]=D174), 0)),0)</f>
        <v>191.05</v>
      </c>
      <c r="M174" s="56">
        <v>0</v>
      </c>
      <c r="N174" s="84">
        <f t="shared" ref="N174" si="37">((G174+H174)*L174)+((G174+H174)*M174)</f>
        <v>0</v>
      </c>
      <c r="O174" s="167">
        <f t="shared" ref="O174" si="38">N174+K174</f>
        <v>0</v>
      </c>
      <c r="P174" s="14"/>
    </row>
    <row r="175" spans="3:19" hidden="1" outlineLevel="1" x14ac:dyDescent="0.25">
      <c r="C175" s="133"/>
      <c r="D175" s="15" t="s">
        <v>27</v>
      </c>
      <c r="E175" s="11" t="s">
        <v>46</v>
      </c>
      <c r="F175" s="11" t="s">
        <v>46</v>
      </c>
      <c r="G175" s="11"/>
      <c r="H175" s="146"/>
      <c r="I175" s="159"/>
      <c r="L175" s="321" cm="1">
        <f t="array" ref="L175">IFERROR(INDEX(Table3[Material Cost], MATCH(1, (Table3[Material]=$D$167) * (Table3[Size]=D175), 0)),0)</f>
        <v>0</v>
      </c>
      <c r="M175" s="56">
        <v>0</v>
      </c>
      <c r="N175" s="84">
        <f t="shared" ref="N175" si="39">((G175+H175)*L175)+((G175+H175)*M175)</f>
        <v>0</v>
      </c>
      <c r="O175" s="167">
        <f t="shared" ref="O175" si="40">N175+K175</f>
        <v>0</v>
      </c>
      <c r="P175" s="14"/>
    </row>
    <row r="176" spans="3:19" hidden="1" outlineLevel="1" x14ac:dyDescent="0.25">
      <c r="C176" s="133"/>
      <c r="G176" s="11"/>
      <c r="H176" s="143"/>
      <c r="I176" s="52"/>
      <c r="J176" s="82"/>
      <c r="K176" s="51"/>
      <c r="L176" s="132"/>
      <c r="M176" s="56"/>
      <c r="N176" s="84"/>
      <c r="O176" s="88"/>
      <c r="P176" s="14"/>
    </row>
    <row r="177" spans="1:73" hidden="1" outlineLevel="1" x14ac:dyDescent="0.25">
      <c r="C177" s="133"/>
      <c r="G177" s="11"/>
      <c r="H177" s="143"/>
      <c r="I177" s="52"/>
      <c r="J177" s="82"/>
      <c r="K177" s="51"/>
      <c r="L177" s="132"/>
      <c r="M177" s="56"/>
      <c r="N177" s="84"/>
      <c r="O177" s="88"/>
      <c r="P177" s="14"/>
    </row>
    <row r="178" spans="1:73" ht="15.75" hidden="1" outlineLevel="1" thickBot="1" x14ac:dyDescent="0.3">
      <c r="C178" s="208" t="s">
        <v>532</v>
      </c>
      <c r="D178" s="10"/>
      <c r="G178" s="209">
        <v>0.15</v>
      </c>
      <c r="H178" s="169"/>
      <c r="I178" s="52"/>
      <c r="J178" s="207">
        <f>SUM(J164:J177)*G178</f>
        <v>0</v>
      </c>
      <c r="K178" s="138">
        <f>SUM(K164:K177)*G178</f>
        <v>0</v>
      </c>
      <c r="N178" s="138">
        <f>SUM(N164:N177)*G178</f>
        <v>0</v>
      </c>
      <c r="O178" s="167">
        <f t="shared" ref="O178" si="41">N178+K178</f>
        <v>0</v>
      </c>
      <c r="R178" s="349"/>
      <c r="S178" s="349"/>
    </row>
    <row r="179" spans="1:73" hidden="1" outlineLevel="1" x14ac:dyDescent="0.25">
      <c r="C179" s="405"/>
      <c r="D179" s="406" t="s">
        <v>499</v>
      </c>
      <c r="E179" s="407"/>
      <c r="F179" s="407"/>
      <c r="G179" s="408"/>
      <c r="H179" s="408">
        <f>SUM(H164:H177)</f>
        <v>0</v>
      </c>
      <c r="I179" s="408"/>
      <c r="J179" s="408">
        <f>SUM(J164:J178)</f>
        <v>0</v>
      </c>
      <c r="K179" s="409">
        <f>SUM(K164:K178)</f>
        <v>0</v>
      </c>
      <c r="L179" s="408"/>
      <c r="M179" s="408"/>
      <c r="N179" s="409">
        <f>SUM(N164:N178)</f>
        <v>0</v>
      </c>
      <c r="O179" s="410"/>
      <c r="R179" s="349"/>
      <c r="S179" s="349"/>
    </row>
    <row r="180" spans="1:73" hidden="1" outlineLevel="1" x14ac:dyDescent="0.25">
      <c r="C180" s="86"/>
      <c r="E180"/>
      <c r="F180"/>
      <c r="K180" s="1"/>
      <c r="O180" s="137"/>
      <c r="P180" s="14"/>
    </row>
    <row r="181" spans="1:73" ht="15.75" hidden="1" outlineLevel="1" x14ac:dyDescent="0.25">
      <c r="C181" s="629" t="s">
        <v>490</v>
      </c>
      <c r="D181" s="630"/>
      <c r="G181" s="11"/>
      <c r="I181" s="161"/>
      <c r="J181" s="159"/>
      <c r="K181" s="51"/>
      <c r="M181" s="161"/>
      <c r="N181" s="162"/>
      <c r="O181" s="163"/>
      <c r="P181" s="14"/>
    </row>
    <row r="182" spans="1:73" ht="15" hidden="1" customHeight="1" outlineLevel="1" x14ac:dyDescent="0.25">
      <c r="C182" s="241"/>
      <c r="G182" s="11"/>
      <c r="H182" s="146"/>
      <c r="I182" s="134"/>
      <c r="J182" s="82"/>
      <c r="K182" s="51"/>
      <c r="L182" s="56"/>
      <c r="M182" s="56"/>
      <c r="N182" s="84"/>
      <c r="O182" s="88"/>
    </row>
    <row r="183" spans="1:73" hidden="1" outlineLevel="1" x14ac:dyDescent="0.25">
      <c r="C183" s="86" t="s">
        <v>10</v>
      </c>
      <c r="D183" t="s">
        <v>622</v>
      </c>
      <c r="E183" s="11" t="s">
        <v>46</v>
      </c>
      <c r="F183" s="11" t="s">
        <v>46</v>
      </c>
      <c r="G183" s="11"/>
      <c r="H183" s="143"/>
      <c r="I183" s="56">
        <f>3*300/65</f>
        <v>13.846153846153847</v>
      </c>
      <c r="J183" s="82">
        <f>(G183+H183)*I183</f>
        <v>0</v>
      </c>
      <c r="K183" s="51">
        <f>J183*Summary!$H$4</f>
        <v>0</v>
      </c>
      <c r="L183" s="53">
        <v>50</v>
      </c>
      <c r="M183" s="56">
        <v>0</v>
      </c>
      <c r="N183" s="84">
        <f>((G183+H183)*L183)+((G183+H183)*M183)</f>
        <v>0</v>
      </c>
      <c r="O183" s="88">
        <f t="shared" ref="O183" si="42">N183+K183</f>
        <v>0</v>
      </c>
    </row>
    <row r="184" spans="1:73" ht="15.75" hidden="1" outlineLevel="1" thickBot="1" x14ac:dyDescent="0.3">
      <c r="C184" s="86"/>
      <c r="G184" s="11"/>
      <c r="H184" s="143"/>
      <c r="I184" s="56"/>
      <c r="J184" s="82"/>
      <c r="K184" s="51"/>
      <c r="L184" s="53"/>
      <c r="M184" s="56"/>
      <c r="N184" s="84"/>
      <c r="O184" s="88"/>
    </row>
    <row r="185" spans="1:73" hidden="1" outlineLevel="1" x14ac:dyDescent="0.25">
      <c r="C185" s="405"/>
      <c r="D185" s="406" t="s">
        <v>500</v>
      </c>
      <c r="E185" s="407"/>
      <c r="F185" s="407"/>
      <c r="G185" s="408">
        <f>SUM(G180:G184)</f>
        <v>0</v>
      </c>
      <c r="H185" s="408"/>
      <c r="I185" s="408"/>
      <c r="J185" s="408">
        <f>SUM(J180:J184)</f>
        <v>0</v>
      </c>
      <c r="K185" s="409">
        <f>SUM(K180:K184)</f>
        <v>0</v>
      </c>
      <c r="L185" s="408"/>
      <c r="M185" s="408"/>
      <c r="N185" s="409">
        <f>SUM(N180:N184)</f>
        <v>0</v>
      </c>
      <c r="O185" s="410"/>
      <c r="R185" s="349"/>
      <c r="S185" s="349"/>
    </row>
    <row r="186" spans="1:73" hidden="1" outlineLevel="1" x14ac:dyDescent="0.25">
      <c r="C186" s="86"/>
      <c r="K186" s="1"/>
      <c r="O186" s="137"/>
    </row>
    <row r="187" spans="1:73" ht="15.75" hidden="1" outlineLevel="1" thickBot="1" x14ac:dyDescent="0.3">
      <c r="C187" s="86"/>
      <c r="K187" s="1"/>
      <c r="O187" s="137"/>
    </row>
    <row r="188" spans="1:73" s="437" customFormat="1" ht="22.5" customHeight="1" collapsed="1" thickTop="1" thickBot="1" x14ac:dyDescent="0.3">
      <c r="A188" s="512"/>
      <c r="B188" s="481"/>
      <c r="C188" s="272"/>
      <c r="D188" s="191" t="s">
        <v>501</v>
      </c>
      <c r="E188" s="191"/>
      <c r="F188" s="191"/>
      <c r="G188" s="274"/>
      <c r="H188" s="191"/>
      <c r="I188" s="191"/>
      <c r="J188" s="274">
        <f>J185+J179+J163+J149</f>
        <v>0</v>
      </c>
      <c r="K188" s="433">
        <f>K185+K179+K163+K149</f>
        <v>0</v>
      </c>
      <c r="L188" s="434"/>
      <c r="M188" s="191"/>
      <c r="N188" s="433">
        <f>N185+N179+N163+N149</f>
        <v>0</v>
      </c>
      <c r="O188" s="435"/>
      <c r="P188" s="436">
        <f>SUM(O122:O187)</f>
        <v>0</v>
      </c>
      <c r="Q188" s="437" t="str">
        <f>IF(P188=(N188+K188), "GOOD", "ERROR NEED CHECK")</f>
        <v>GOOD</v>
      </c>
      <c r="R188" s="349">
        <f t="shared" ref="R188" si="43">IF(F188="X", IF(G188&lt;&gt;"", IF(OR(I188&gt;0,O188&gt;0), "✔", "ERROR"),"ERROR"),0)</f>
        <v>0</v>
      </c>
      <c r="S188" s="349">
        <f t="shared" ref="S188" si="44">IF(E188="X", IF(G188&lt;&gt;"", IF(AND(N188&gt;0,O188&gt;0), "✔", "ERROR"),"ERROR"),0)</f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</row>
    <row r="189" spans="1:73" ht="15.75" thickBot="1" x14ac:dyDescent="0.3">
      <c r="E189"/>
      <c r="F189"/>
      <c r="K189" s="1"/>
      <c r="O189" s="1"/>
      <c r="P189" s="14"/>
      <c r="U189" s="631" t="s">
        <v>646</v>
      </c>
      <c r="V189" s="631"/>
      <c r="W189" s="631"/>
      <c r="X189" s="631"/>
    </row>
    <row r="190" spans="1:73" ht="15.75" thickBot="1" x14ac:dyDescent="0.3">
      <c r="C190" s="389"/>
      <c r="D190" s="390"/>
      <c r="E190" s="391"/>
      <c r="F190" s="391"/>
      <c r="G190" s="390"/>
      <c r="H190" s="390"/>
      <c r="I190" s="390"/>
      <c r="J190" s="390"/>
      <c r="K190" s="477"/>
      <c r="L190" s="390"/>
      <c r="M190" s="390"/>
      <c r="N190" s="390"/>
      <c r="O190" s="478"/>
      <c r="T190" t="s">
        <v>647</v>
      </c>
      <c r="U190" s="548">
        <v>1</v>
      </c>
      <c r="V190" s="548">
        <v>2</v>
      </c>
      <c r="W190" s="548">
        <v>3</v>
      </c>
      <c r="X190" s="548">
        <v>4</v>
      </c>
    </row>
    <row r="191" spans="1:73" ht="22.5" thickTop="1" thickBot="1" x14ac:dyDescent="0.4">
      <c r="C191" s="413" t="s">
        <v>503</v>
      </c>
      <c r="D191" s="414"/>
      <c r="E191" s="415"/>
      <c r="F191" s="415"/>
      <c r="G191" s="416"/>
      <c r="H191" s="417"/>
      <c r="I191" s="416"/>
      <c r="J191" s="418"/>
      <c r="K191" s="419"/>
      <c r="L191" s="416"/>
      <c r="M191" s="416"/>
      <c r="N191" s="420"/>
      <c r="O191" s="421"/>
      <c r="P191" s="14"/>
      <c r="R191" s="349">
        <f t="shared" ref="R191" si="45">IF(F191="X", IF(G191&lt;&gt;"", IF(OR(I191&lt;&gt;"",L191&lt;&gt;""), "✔", "ERROR"),"ERROR"),0)</f>
        <v>0</v>
      </c>
      <c r="S191" s="348"/>
      <c r="T191" s="10" t="s">
        <v>648</v>
      </c>
      <c r="U191" s="38">
        <v>400</v>
      </c>
      <c r="V191" s="38">
        <v>350</v>
      </c>
      <c r="W191" s="36">
        <v>250</v>
      </c>
      <c r="X191" s="36">
        <v>200</v>
      </c>
    </row>
    <row r="192" spans="1:73" ht="15.75" hidden="1" outlineLevel="1" thickTop="1" x14ac:dyDescent="0.25">
      <c r="C192" s="86"/>
      <c r="K192" s="1"/>
      <c r="O192" s="137"/>
    </row>
    <row r="193" spans="3:16" ht="15.75" hidden="1" outlineLevel="1" x14ac:dyDescent="0.25">
      <c r="C193" s="471" t="s">
        <v>484</v>
      </c>
      <c r="D193" s="1" t="s">
        <v>609</v>
      </c>
      <c r="O193" s="87"/>
    </row>
    <row r="194" spans="3:16" hidden="1" outlineLevel="1" x14ac:dyDescent="0.25">
      <c r="C194" s="86"/>
      <c r="D194" s="279" t="s">
        <v>607</v>
      </c>
      <c r="E194" s="56"/>
      <c r="G194" s="56"/>
      <c r="H194" s="549">
        <v>0</v>
      </c>
      <c r="I194">
        <f>IFERROR(INDEX($U$28:$AF$79,MATCH(D212,$T$28:$T$79,0),MATCH(E212,$U$24:$AF$24,0)),0)</f>
        <v>0</v>
      </c>
      <c r="O194" s="87"/>
    </row>
    <row r="195" spans="3:16" hidden="1" outlineLevel="1" x14ac:dyDescent="0.25">
      <c r="C195" s="86"/>
      <c r="D195" s="279" t="s">
        <v>610</v>
      </c>
      <c r="F195"/>
      <c r="G195" s="313"/>
      <c r="H195" s="549">
        <v>0</v>
      </c>
      <c r="I195" s="83"/>
      <c r="O195" s="87"/>
    </row>
    <row r="196" spans="3:16" ht="15" hidden="1" customHeight="1" outlineLevel="1" x14ac:dyDescent="0.25">
      <c r="C196" s="86"/>
      <c r="D196" s="279" t="s">
        <v>611</v>
      </c>
      <c r="F196"/>
      <c r="G196" s="314">
        <f>I212</f>
        <v>0</v>
      </c>
      <c r="H196" s="549">
        <v>0</v>
      </c>
      <c r="I196" s="83"/>
      <c r="O196" s="87"/>
    </row>
    <row r="197" spans="3:16" hidden="1" outlineLevel="1" x14ac:dyDescent="0.25">
      <c r="C197" s="86"/>
      <c r="D197" s="1" t="s">
        <v>612</v>
      </c>
      <c r="E197" s="56"/>
      <c r="F197"/>
      <c r="G197" s="56"/>
      <c r="H197" s="82"/>
      <c r="I197" s="83"/>
      <c r="J197" s="52"/>
      <c r="K197" s="51"/>
      <c r="L197" s="84"/>
      <c r="M197" s="85"/>
      <c r="O197" s="136"/>
      <c r="P197" s="14"/>
    </row>
    <row r="198" spans="3:16" hidden="1" outlineLevel="1" x14ac:dyDescent="0.25">
      <c r="C198" s="86"/>
      <c r="D198" s="279" t="s">
        <v>613</v>
      </c>
      <c r="E198" s="11" t="s">
        <v>46</v>
      </c>
      <c r="F198" s="11" t="s">
        <v>46</v>
      </c>
      <c r="G198" s="56"/>
      <c r="H198" s="82">
        <f>SUM(H195:H196)</f>
        <v>0</v>
      </c>
      <c r="I198" s="52">
        <f>8/500*(120/65)</f>
        <v>2.9538461538461541E-2</v>
      </c>
      <c r="J198" s="82">
        <f>(G198+H198)*I198</f>
        <v>0</v>
      </c>
      <c r="K198" s="51">
        <f>J198*Summary!$H$4</f>
        <v>0</v>
      </c>
      <c r="L198" s="84"/>
      <c r="M198" s="85"/>
      <c r="O198" s="136">
        <f>N198+K198</f>
        <v>0</v>
      </c>
      <c r="P198" s="14"/>
    </row>
    <row r="199" spans="3:16" hidden="1" outlineLevel="1" x14ac:dyDescent="0.25">
      <c r="C199" s="86"/>
      <c r="D199" s="279" t="s">
        <v>620</v>
      </c>
      <c r="E199" s="11" t="s">
        <v>46</v>
      </c>
      <c r="F199" s="11" t="s">
        <v>46</v>
      </c>
      <c r="G199" s="56"/>
      <c r="H199" s="82">
        <f>SUM(H195:H196)</f>
        <v>0</v>
      </c>
      <c r="I199" s="52">
        <f>IF(H194&lt;=5,IFERROR(8/INDEX($U$122:$X$122,MATCH(ROUNDUP(C212/1,0),$U$121:$X$121,0)),0)*300/65*2,0)</f>
        <v>0</v>
      </c>
      <c r="J199" s="82">
        <f>(G199+H199)*I199</f>
        <v>0</v>
      </c>
      <c r="K199" s="51">
        <f>J199*Summary!$H$4</f>
        <v>0</v>
      </c>
      <c r="L199" s="84"/>
      <c r="M199" s="85"/>
      <c r="O199" s="136">
        <f>N199+K199</f>
        <v>0</v>
      </c>
      <c r="P199" s="14"/>
    </row>
    <row r="200" spans="3:16" hidden="1" outlineLevel="1" x14ac:dyDescent="0.25">
      <c r="C200" s="86"/>
      <c r="D200" s="279" t="s">
        <v>619</v>
      </c>
      <c r="E200" s="11" t="s">
        <v>46</v>
      </c>
      <c r="F200" s="11" t="s">
        <v>46</v>
      </c>
      <c r="G200" s="56"/>
      <c r="H200" s="82">
        <f>G212*1.1</f>
        <v>0</v>
      </c>
      <c r="I200" s="52"/>
      <c r="J200" s="82"/>
      <c r="K200" s="51"/>
      <c r="L200" s="52">
        <v>30</v>
      </c>
      <c r="M200" s="85"/>
      <c r="N200" s="84">
        <f>L200*(H200+G200)</f>
        <v>0</v>
      </c>
      <c r="O200" s="136">
        <f>N200+K200</f>
        <v>0</v>
      </c>
      <c r="P200" s="14"/>
    </row>
    <row r="201" spans="3:16" hidden="1" outlineLevel="1" x14ac:dyDescent="0.25">
      <c r="C201" s="86"/>
      <c r="D201" s="279" t="s">
        <v>614</v>
      </c>
      <c r="E201" s="11" t="s">
        <v>46</v>
      </c>
      <c r="F201" s="11" t="s">
        <v>46</v>
      </c>
      <c r="G201" s="56"/>
      <c r="H201" s="82">
        <f>SUM(H195:H196)</f>
        <v>0</v>
      </c>
      <c r="I201" s="52">
        <f>8/500*(100/65)</f>
        <v>2.4615384615384619E-2</v>
      </c>
      <c r="J201" s="82">
        <f>(G201+H201)*I201</f>
        <v>0</v>
      </c>
      <c r="K201" s="51">
        <f>J201*Summary!$H$4</f>
        <v>0</v>
      </c>
      <c r="L201" s="52"/>
      <c r="M201" s="85"/>
      <c r="O201" s="136">
        <f>N201+K201</f>
        <v>0</v>
      </c>
      <c r="P201" s="14"/>
    </row>
    <row r="202" spans="3:16" hidden="1" outlineLevel="1" x14ac:dyDescent="0.25">
      <c r="C202" s="86"/>
      <c r="D202" s="1" t="s">
        <v>608</v>
      </c>
      <c r="G202" s="56"/>
      <c r="H202" s="82"/>
      <c r="I202" s="52"/>
      <c r="J202" s="82"/>
      <c r="K202" s="51"/>
      <c r="L202" s="52"/>
      <c r="M202" s="85"/>
      <c r="O202" s="136"/>
      <c r="P202" s="14"/>
    </row>
    <row r="203" spans="3:16" hidden="1" outlineLevel="1" x14ac:dyDescent="0.25">
      <c r="C203" s="86"/>
      <c r="D203" s="279" t="s">
        <v>615</v>
      </c>
      <c r="E203" s="11" t="s">
        <v>46</v>
      </c>
      <c r="F203" s="11" t="s">
        <v>46</v>
      </c>
      <c r="G203" s="56"/>
      <c r="H203" s="82">
        <f>(((H195+H196)*D212*E212))/27*1.4*1.4/25</f>
        <v>0</v>
      </c>
      <c r="I203" s="52">
        <f>8/50*(128/65)</f>
        <v>0.31507692307692309</v>
      </c>
      <c r="J203" s="82">
        <f>(G203+H203)*I203</f>
        <v>0</v>
      </c>
      <c r="K203" s="51">
        <f>J203*Summary!$H$4</f>
        <v>0</v>
      </c>
      <c r="L203" s="52"/>
      <c r="M203" s="85"/>
      <c r="O203" s="136">
        <f t="shared" ref="O203:O204" si="46">N203+K203</f>
        <v>0</v>
      </c>
      <c r="P203" s="14"/>
    </row>
    <row r="204" spans="3:16" hidden="1" outlineLevel="1" x14ac:dyDescent="0.25">
      <c r="C204" s="86"/>
      <c r="D204" s="279" t="s">
        <v>616</v>
      </c>
      <c r="E204" s="11" t="s">
        <v>46</v>
      </c>
      <c r="F204" s="11" t="s">
        <v>46</v>
      </c>
      <c r="G204" s="56"/>
      <c r="H204" s="82">
        <f>(H196*E212*H194)/27*1.4*1.4</f>
        <v>0</v>
      </c>
      <c r="I204" s="52">
        <f>8/50*(128/65)</f>
        <v>0.31507692307692309</v>
      </c>
      <c r="J204" s="82">
        <f>(G204+H204)*I204</f>
        <v>0</v>
      </c>
      <c r="K204" s="51">
        <f>J204*Summary!$H$4</f>
        <v>0</v>
      </c>
      <c r="L204" s="52"/>
      <c r="M204" s="85"/>
      <c r="O204" s="136">
        <f t="shared" si="46"/>
        <v>0</v>
      </c>
      <c r="P204" s="14"/>
    </row>
    <row r="205" spans="3:16" ht="15" hidden="1" customHeight="1" outlineLevel="1" x14ac:dyDescent="0.25">
      <c r="C205" s="86"/>
      <c r="D205" s="279" t="s">
        <v>617</v>
      </c>
      <c r="E205" s="11" t="s">
        <v>46</v>
      </c>
      <c r="F205" s="11" t="s">
        <v>46</v>
      </c>
      <c r="G205" s="56"/>
      <c r="H205" s="82">
        <f>SUM(H203:H204)</f>
        <v>0</v>
      </c>
      <c r="I205" s="52"/>
      <c r="J205" s="82"/>
      <c r="K205" s="51"/>
      <c r="L205" s="52">
        <v>450</v>
      </c>
      <c r="M205" s="85"/>
      <c r="N205" s="84">
        <f>L205*ROUNDUP((H205+G205)/25,0)</f>
        <v>0</v>
      </c>
      <c r="O205" s="136">
        <f>N205+K205</f>
        <v>0</v>
      </c>
      <c r="P205" s="14"/>
    </row>
    <row r="206" spans="3:16" ht="15" hidden="1" customHeight="1" outlineLevel="1" x14ac:dyDescent="0.25">
      <c r="C206" s="86"/>
      <c r="D206" s="1" t="s">
        <v>279</v>
      </c>
      <c r="E206"/>
      <c r="F206"/>
      <c r="K206" s="1"/>
      <c r="O206" s="137"/>
      <c r="P206" s="315"/>
    </row>
    <row r="207" spans="3:16" ht="15" hidden="1" customHeight="1" outlineLevel="1" x14ac:dyDescent="0.25">
      <c r="C207" s="551">
        <v>0</v>
      </c>
      <c r="D207" s="279" t="s">
        <v>654</v>
      </c>
      <c r="E207" s="11" t="s">
        <v>46</v>
      </c>
      <c r="F207" s="11" t="s">
        <v>46</v>
      </c>
      <c r="G207">
        <f>IF(C207="YES",ROUNDUP(J199,0),0)</f>
        <v>0</v>
      </c>
      <c r="K207" s="1"/>
      <c r="L207" s="52">
        <f>1500/8</f>
        <v>187.5</v>
      </c>
      <c r="M207" s="85"/>
      <c r="N207" s="84">
        <f>IF(G207&gt;0,L207*(H207+G207)+3000,0)</f>
        <v>0</v>
      </c>
      <c r="O207" s="136">
        <f t="shared" ref="O207" si="47">N207+K207</f>
        <v>0</v>
      </c>
      <c r="P207" s="315"/>
    </row>
    <row r="208" spans="3:16" ht="15" hidden="1" customHeight="1" outlineLevel="1" x14ac:dyDescent="0.25">
      <c r="C208" s="86"/>
      <c r="D208" s="279" t="s">
        <v>655</v>
      </c>
      <c r="E208" s="11" t="s">
        <v>46</v>
      </c>
      <c r="F208" s="11" t="s">
        <v>46</v>
      </c>
      <c r="G208">
        <f>IF(H194&gt;5,ROUNDUP(J199,0),0)</f>
        <v>0</v>
      </c>
      <c r="K208" s="1"/>
      <c r="L208" s="52">
        <v>30</v>
      </c>
      <c r="M208" s="85"/>
      <c r="N208" s="84">
        <f t="shared" ref="N208" si="48">L208*(H208+G208)</f>
        <v>0</v>
      </c>
      <c r="O208" s="136">
        <f>N208+K208</f>
        <v>0</v>
      </c>
      <c r="P208" s="315"/>
    </row>
    <row r="209" spans="3:21" ht="15" hidden="1" customHeight="1" outlineLevel="1" thickBot="1" x14ac:dyDescent="0.3">
      <c r="C209" s="86"/>
      <c r="E209"/>
      <c r="F209"/>
      <c r="K209" s="1"/>
      <c r="O209" s="137"/>
      <c r="P209" s="315"/>
    </row>
    <row r="210" spans="3:21" ht="15.75" hidden="1" customHeight="1" outlineLevel="1" thickBot="1" x14ac:dyDescent="0.3">
      <c r="C210" s="65" t="s">
        <v>54</v>
      </c>
      <c r="D210" s="428"/>
      <c r="E210" s="381"/>
      <c r="F210" s="381"/>
      <c r="G210" s="544"/>
      <c r="H210" s="1"/>
      <c r="J210" s="1"/>
      <c r="K210" s="1"/>
      <c r="O210" s="137"/>
    </row>
    <row r="211" spans="3:21" hidden="1" outlineLevel="1" x14ac:dyDescent="0.25">
      <c r="C211" s="196" t="s">
        <v>601</v>
      </c>
      <c r="D211" s="197" t="s">
        <v>602</v>
      </c>
      <c r="E211" s="197" t="s">
        <v>603</v>
      </c>
      <c r="F211" s="250" t="s">
        <v>605</v>
      </c>
      <c r="G211" s="318" t="s">
        <v>604</v>
      </c>
      <c r="H211" s="1"/>
      <c r="J211" s="1"/>
      <c r="K211" s="108"/>
      <c r="L211" s="108"/>
      <c r="M211" s="108"/>
      <c r="O211" s="137"/>
    </row>
    <row r="212" spans="3:21" ht="15.75" hidden="1" outlineLevel="1" thickBot="1" x14ac:dyDescent="0.3">
      <c r="C212" s="547">
        <v>0</v>
      </c>
      <c r="D212" s="546">
        <f>1.5+C212/12</f>
        <v>1.5</v>
      </c>
      <c r="E212" s="546">
        <f>2+C212/12</f>
        <v>2</v>
      </c>
      <c r="F212" s="545">
        <f>(((H195+H196)*D212*E212)+(H196*E212*(H194-D212)))/27</f>
        <v>0</v>
      </c>
      <c r="G212" s="319">
        <f>ROUNDUP(F212*1.3,0)</f>
        <v>0</v>
      </c>
      <c r="H212" s="1"/>
      <c r="J212" s="1"/>
      <c r="K212" s="108"/>
      <c r="L212" s="108"/>
      <c r="M212" s="108"/>
      <c r="O212" s="137"/>
    </row>
    <row r="213" spans="3:21" hidden="1" outlineLevel="1" x14ac:dyDescent="0.25">
      <c r="C213" s="86"/>
      <c r="D213" s="317" t="s">
        <v>600</v>
      </c>
      <c r="K213" s="1"/>
      <c r="O213" s="137"/>
    </row>
    <row r="214" spans="3:21" hidden="1" outlineLevel="1" x14ac:dyDescent="0.25">
      <c r="C214" s="86"/>
      <c r="D214" s="317" t="s">
        <v>599</v>
      </c>
      <c r="K214" s="1"/>
      <c r="O214" s="137"/>
    </row>
    <row r="215" spans="3:21" hidden="1" outlineLevel="1" x14ac:dyDescent="0.25">
      <c r="C215" s="86"/>
      <c r="E215"/>
      <c r="F215"/>
      <c r="K215" s="1"/>
      <c r="O215" s="137"/>
      <c r="P215" s="14"/>
      <c r="U215" s="43"/>
    </row>
    <row r="216" spans="3:21" ht="15.75" hidden="1" outlineLevel="1" thickBot="1" x14ac:dyDescent="0.3">
      <c r="C216" s="86"/>
      <c r="E216"/>
      <c r="F216"/>
      <c r="K216" s="1"/>
      <c r="O216" s="137"/>
      <c r="P216" s="14"/>
    </row>
    <row r="217" spans="3:21" hidden="1" outlineLevel="1" x14ac:dyDescent="0.25">
      <c r="C217" s="405"/>
      <c r="D217" s="406" t="s">
        <v>495</v>
      </c>
      <c r="E217" s="407"/>
      <c r="F217" s="407"/>
      <c r="G217" s="408"/>
      <c r="H217" s="408">
        <f>SUM(H180:H216)</f>
        <v>0</v>
      </c>
      <c r="I217" s="408"/>
      <c r="J217" s="408">
        <f>SUM(J192:J216)</f>
        <v>0</v>
      </c>
      <c r="K217" s="409">
        <f>SUM(K192:K216)</f>
        <v>0</v>
      </c>
      <c r="L217" s="408"/>
      <c r="M217" s="408"/>
      <c r="N217" s="409">
        <f>SUM(N192:N216)</f>
        <v>0</v>
      </c>
      <c r="O217" s="410"/>
      <c r="R217" s="349"/>
      <c r="S217" s="349"/>
    </row>
    <row r="218" spans="3:21" hidden="1" outlineLevel="1" x14ac:dyDescent="0.25">
      <c r="C218" s="86"/>
      <c r="G218" s="11"/>
      <c r="H218" s="41"/>
      <c r="I218" s="161"/>
      <c r="J218" s="159"/>
      <c r="K218" s="51"/>
      <c r="L218" s="161"/>
      <c r="M218" s="110"/>
      <c r="N218" s="162"/>
      <c r="O218" s="163"/>
      <c r="P218" s="14"/>
    </row>
    <row r="219" spans="3:21" ht="15.75" hidden="1" outlineLevel="1" x14ac:dyDescent="0.25">
      <c r="C219" s="629" t="s">
        <v>504</v>
      </c>
      <c r="D219" s="630"/>
      <c r="O219" s="87"/>
    </row>
    <row r="220" spans="3:21" hidden="1" outlineLevel="1" x14ac:dyDescent="0.25">
      <c r="C220" s="86"/>
      <c r="G220" s="11"/>
      <c r="H220" s="41"/>
      <c r="I220" s="161"/>
      <c r="J220" s="159"/>
      <c r="K220" s="51"/>
      <c r="L220" s="161"/>
      <c r="M220" s="110"/>
      <c r="N220" s="162"/>
      <c r="O220" s="163"/>
      <c r="P220" s="14"/>
    </row>
    <row r="221" spans="3:21" hidden="1" outlineLevel="1" x14ac:dyDescent="0.25">
      <c r="C221" s="86" t="s">
        <v>496</v>
      </c>
      <c r="E221" s="11" t="s">
        <v>46</v>
      </c>
      <c r="F221" s="11" t="s">
        <v>46</v>
      </c>
      <c r="G221" s="146"/>
      <c r="H221" s="41"/>
      <c r="I221" s="52"/>
      <c r="J221" s="159">
        <f t="shared" ref="J221" si="49">(G221+H221)*I221</f>
        <v>0</v>
      </c>
      <c r="K221" s="170">
        <f>J221*Summary!$H$4</f>
        <v>0</v>
      </c>
      <c r="L221" s="56"/>
      <c r="M221" s="56">
        <v>0</v>
      </c>
      <c r="N221" s="84">
        <f t="shared" ref="N221" si="50">((G221+H221)*L221)+((G221+H221)*M221)</f>
        <v>0</v>
      </c>
      <c r="O221" s="167">
        <f t="shared" ref="O221" si="51">N221+K221</f>
        <v>0</v>
      </c>
      <c r="P221" s="14"/>
    </row>
    <row r="222" spans="3:21" hidden="1" outlineLevel="1" x14ac:dyDescent="0.25">
      <c r="C222" s="158"/>
      <c r="D222" s="279" t="s">
        <v>618</v>
      </c>
      <c r="E222" s="11" t="s">
        <v>46</v>
      </c>
      <c r="F222" s="11" t="s">
        <v>46</v>
      </c>
      <c r="G222" s="550">
        <v>0</v>
      </c>
      <c r="H222" s="82"/>
      <c r="I222" s="52">
        <f>0.1*300/65</f>
        <v>0.46153846153846156</v>
      </c>
      <c r="J222" s="82">
        <f>(G222+H222)*I222</f>
        <v>0</v>
      </c>
      <c r="K222" s="51">
        <f>J222*Summary!$H$4</f>
        <v>0</v>
      </c>
      <c r="L222" s="52"/>
      <c r="M222" s="85"/>
      <c r="O222" s="136">
        <f>N222+K222</f>
        <v>0</v>
      </c>
      <c r="P222" s="14"/>
    </row>
    <row r="223" spans="3:21" ht="15.75" hidden="1" outlineLevel="1" thickBot="1" x14ac:dyDescent="0.3">
      <c r="C223" s="86"/>
      <c r="G223" s="11"/>
      <c r="I223" s="161"/>
      <c r="J223" s="159"/>
      <c r="K223" s="51"/>
      <c r="M223" s="161"/>
      <c r="N223" s="162"/>
      <c r="O223" s="163"/>
      <c r="P223" s="14"/>
    </row>
    <row r="224" spans="3:21" hidden="1" outlineLevel="1" x14ac:dyDescent="0.25">
      <c r="C224" s="405"/>
      <c r="D224" s="406" t="s">
        <v>624</v>
      </c>
      <c r="E224" s="407"/>
      <c r="F224" s="407"/>
      <c r="G224" s="408">
        <f>SUM(G218:G223)</f>
        <v>0</v>
      </c>
      <c r="H224" s="408"/>
      <c r="I224" s="408"/>
      <c r="J224" s="408">
        <f>SUM(J218:J223)</f>
        <v>0</v>
      </c>
      <c r="K224" s="409">
        <f>SUM(K218:K223)</f>
        <v>0</v>
      </c>
      <c r="L224" s="408"/>
      <c r="M224" s="408"/>
      <c r="N224" s="409">
        <f>SUM(N218:N223)</f>
        <v>0</v>
      </c>
      <c r="O224" s="410"/>
      <c r="R224" s="349"/>
      <c r="S224" s="349"/>
    </row>
    <row r="225" spans="3:19" hidden="1" outlineLevel="1" x14ac:dyDescent="0.25">
      <c r="C225" s="86"/>
      <c r="G225" s="11"/>
      <c r="I225" s="161"/>
      <c r="J225" s="159"/>
      <c r="K225" s="51"/>
      <c r="M225" s="161"/>
      <c r="N225" s="162"/>
      <c r="O225" s="163"/>
      <c r="P225" s="14"/>
    </row>
    <row r="226" spans="3:19" ht="15.75" hidden="1" outlineLevel="1" x14ac:dyDescent="0.25">
      <c r="C226" s="629" t="s">
        <v>505</v>
      </c>
      <c r="D226" s="630"/>
      <c r="G226" s="11"/>
      <c r="I226" s="161"/>
      <c r="J226" s="159"/>
      <c r="K226" s="51"/>
      <c r="M226" s="161"/>
      <c r="N226" s="162"/>
      <c r="O226" s="163"/>
      <c r="P226" s="14"/>
    </row>
    <row r="227" spans="3:19" hidden="1" outlineLevel="1" x14ac:dyDescent="0.25">
      <c r="C227" s="86"/>
      <c r="G227" s="11"/>
      <c r="I227" s="161"/>
      <c r="J227" s="159"/>
      <c r="K227" s="51"/>
      <c r="M227" s="161"/>
      <c r="N227" s="162"/>
      <c r="O227" s="163"/>
      <c r="P227" s="14"/>
    </row>
    <row r="228" spans="3:19" hidden="1" outlineLevel="1" x14ac:dyDescent="0.25">
      <c r="C228" s="126" t="s">
        <v>139</v>
      </c>
      <c r="D228" s="537" t="s">
        <v>363</v>
      </c>
      <c r="G228" s="11"/>
      <c r="H228" s="146"/>
      <c r="I228" s="159"/>
      <c r="L228" s="148"/>
      <c r="O228" s="87"/>
      <c r="P228" s="14"/>
    </row>
    <row r="229" spans="3:19" hidden="1" outlineLevel="1" x14ac:dyDescent="0.25">
      <c r="C229" s="133"/>
      <c r="D229" s="15" t="s">
        <v>23</v>
      </c>
      <c r="E229" s="11" t="s">
        <v>46</v>
      </c>
      <c r="F229" s="11" t="s">
        <v>46</v>
      </c>
      <c r="G229" s="11"/>
      <c r="H229" s="41"/>
      <c r="I229" s="52" cm="1">
        <f t="array" ref="I229">IFERROR(INDEX(Table3[Labor rate], MATCH(1, (Table3[Material]=$D$228) * (Table3[Size]=D229), 0)),0)</f>
        <v>0</v>
      </c>
      <c r="J229" s="82">
        <f t="shared" ref="J229" si="52">(G229+H229)*I229</f>
        <v>0</v>
      </c>
      <c r="K229" s="170">
        <f>J229*Summary!$H$4</f>
        <v>0</v>
      </c>
      <c r="L229" s="52" cm="1">
        <f t="array" ref="L229">IFERROR(INDEX(Table3[Material Cost], MATCH(1, (Table3[Material]=$D$228) * (Table3[Size]=D229), 0)),0)</f>
        <v>0</v>
      </c>
      <c r="M229" s="56">
        <v>0</v>
      </c>
      <c r="N229" s="84">
        <f t="shared" ref="N229:N232" si="53">((G229+H229)*L229)+((G229+H229)*M229)</f>
        <v>0</v>
      </c>
      <c r="O229" s="167">
        <f t="shared" ref="O229:O232" si="54">N229+K229</f>
        <v>0</v>
      </c>
      <c r="P229" s="14"/>
    </row>
    <row r="230" spans="3:19" hidden="1" outlineLevel="1" x14ac:dyDescent="0.25">
      <c r="C230" s="133"/>
      <c r="D230" s="15" t="s">
        <v>24</v>
      </c>
      <c r="E230" s="11" t="s">
        <v>46</v>
      </c>
      <c r="F230" s="11" t="s">
        <v>46</v>
      </c>
      <c r="G230" s="11"/>
      <c r="H230" s="41"/>
      <c r="I230" s="52" cm="1">
        <f t="array" ref="I230">IFERROR(INDEX(Table3[Labor rate], MATCH(1, (Table3[Material]=$D$228) * (Table3[Size]=D230), 0)),0)</f>
        <v>0</v>
      </c>
      <c r="J230" s="82">
        <f t="shared" ref="J230:J235" si="55">(G230+H230)*I230</f>
        <v>0</v>
      </c>
      <c r="K230" s="170">
        <f>J230*Summary!$H$4</f>
        <v>0</v>
      </c>
      <c r="L230" s="52" cm="1">
        <f t="array" ref="L230">IFERROR(INDEX(Table3[Material Cost], MATCH(1, (Table3[Material]=$D$228) * (Table3[Size]=D230), 0)),0)</f>
        <v>0</v>
      </c>
      <c r="M230" s="56">
        <v>0</v>
      </c>
      <c r="N230" s="84">
        <f t="shared" si="53"/>
        <v>0</v>
      </c>
      <c r="O230" s="167">
        <f t="shared" si="54"/>
        <v>0</v>
      </c>
      <c r="P230" s="14"/>
    </row>
    <row r="231" spans="3:19" hidden="1" outlineLevel="1" x14ac:dyDescent="0.25">
      <c r="C231" s="133"/>
      <c r="D231" s="15" t="s">
        <v>25</v>
      </c>
      <c r="E231" s="11" t="s">
        <v>46</v>
      </c>
      <c r="F231" s="11" t="s">
        <v>46</v>
      </c>
      <c r="G231" s="11"/>
      <c r="H231" s="41"/>
      <c r="I231" s="52" cm="1">
        <f t="array" ref="I231">IFERROR(INDEX(Table3[Labor rate], MATCH(1, (Table3[Material]=$D$228) * (Table3[Size]=D231), 0)),0)</f>
        <v>0</v>
      </c>
      <c r="J231" s="82">
        <f t="shared" si="55"/>
        <v>0</v>
      </c>
      <c r="K231" s="170">
        <f>J231*Summary!$H$4</f>
        <v>0</v>
      </c>
      <c r="L231" s="52" cm="1">
        <f t="array" ref="L231">IFERROR(INDEX(Table3[Material Cost], MATCH(1, (Table3[Material]=$D$228) * (Table3[Size]=D231), 0)),0)</f>
        <v>0</v>
      </c>
      <c r="M231" s="56">
        <v>0</v>
      </c>
      <c r="N231" s="84">
        <f t="shared" si="53"/>
        <v>0</v>
      </c>
      <c r="O231" s="167">
        <f t="shared" si="54"/>
        <v>0</v>
      </c>
      <c r="P231" s="14"/>
    </row>
    <row r="232" spans="3:19" hidden="1" outlineLevel="1" x14ac:dyDescent="0.25">
      <c r="C232" s="133"/>
      <c r="D232" s="15" t="s">
        <v>151</v>
      </c>
      <c r="E232" s="11" t="s">
        <v>46</v>
      </c>
      <c r="F232" s="11" t="s">
        <v>46</v>
      </c>
      <c r="G232" s="11"/>
      <c r="H232" s="41"/>
      <c r="I232" s="52" cm="1">
        <f t="array" ref="I232">IFERROR(INDEX(Table3[Labor rate], MATCH(1, (Table3[Material]=$D$228) * (Table3[Size]=D232), 0)),0)</f>
        <v>0</v>
      </c>
      <c r="J232" s="82">
        <f t="shared" si="55"/>
        <v>0</v>
      </c>
      <c r="K232" s="170">
        <f>J232*Summary!$H$4</f>
        <v>0</v>
      </c>
      <c r="L232" s="52" cm="1">
        <f t="array" ref="L232">IFERROR(INDEX(Table3[Material Cost], MATCH(1, (Table3[Material]=$D$228) * (Table3[Size]=D232), 0)),0)</f>
        <v>0</v>
      </c>
      <c r="M232" s="56">
        <v>0</v>
      </c>
      <c r="N232" s="84">
        <f t="shared" si="53"/>
        <v>0</v>
      </c>
      <c r="O232" s="167">
        <f t="shared" si="54"/>
        <v>0</v>
      </c>
      <c r="P232" s="14"/>
    </row>
    <row r="233" spans="3:19" hidden="1" outlineLevel="1" x14ac:dyDescent="0.25">
      <c r="C233" s="133"/>
      <c r="D233" s="15" t="s">
        <v>38</v>
      </c>
      <c r="E233" s="11" t="s">
        <v>46</v>
      </c>
      <c r="F233" s="11" t="s">
        <v>46</v>
      </c>
      <c r="G233" s="11"/>
      <c r="H233" s="41"/>
      <c r="I233" s="52" cm="1">
        <f t="array" ref="I233">IFERROR(INDEX(Table3[Labor rate], MATCH(1, (Table3[Material]=$D$228) * (Table3[Size]=D233), 0)),0)</f>
        <v>0</v>
      </c>
      <c r="J233" s="82">
        <f t="shared" si="55"/>
        <v>0</v>
      </c>
      <c r="K233" s="170">
        <f>J233*Summary!$H$4</f>
        <v>0</v>
      </c>
      <c r="L233" s="52" cm="1">
        <f t="array" ref="L233">IFERROR(INDEX(Table3[Material Cost], MATCH(1, (Table3[Material]=$D$228) * (Table3[Size]=D233), 0)),0)</f>
        <v>0</v>
      </c>
      <c r="M233" s="56">
        <v>0</v>
      </c>
      <c r="N233" s="84">
        <f t="shared" ref="N233:N234" si="56">((G233+H233)*L233)+((G233+H233)*M233)</f>
        <v>0</v>
      </c>
      <c r="O233" s="167">
        <f t="shared" ref="O233:O234" si="57">N233+K233</f>
        <v>0</v>
      </c>
      <c r="P233" s="14"/>
    </row>
    <row r="234" spans="3:19" hidden="1" outlineLevel="1" x14ac:dyDescent="0.25">
      <c r="C234" s="133"/>
      <c r="D234" s="15" t="s">
        <v>26</v>
      </c>
      <c r="E234" s="11" t="s">
        <v>46</v>
      </c>
      <c r="F234" s="11" t="s">
        <v>46</v>
      </c>
      <c r="G234" s="11"/>
      <c r="H234" s="41"/>
      <c r="I234" s="52" cm="1">
        <f t="array" ref="I234">IFERROR(INDEX(Table3[Labor rate], MATCH(1, (Table3[Material]=$D$228) * (Table3[Size]=D234), 0)),0)</f>
        <v>5.5E-2</v>
      </c>
      <c r="J234" s="82">
        <f t="shared" si="55"/>
        <v>0</v>
      </c>
      <c r="K234" s="170">
        <f>J234*Summary!$H$4</f>
        <v>0</v>
      </c>
      <c r="L234" s="52" cm="1">
        <f t="array" ref="L234">IFERROR(INDEX(Table3[Material Cost], MATCH(1, (Table3[Material]=$D$228) * (Table3[Size]=D234), 0)),0)</f>
        <v>2.8492999999999999</v>
      </c>
      <c r="M234" s="56">
        <v>0</v>
      </c>
      <c r="N234" s="84">
        <f t="shared" si="56"/>
        <v>0</v>
      </c>
      <c r="O234" s="167">
        <f t="shared" si="57"/>
        <v>0</v>
      </c>
      <c r="P234" s="14"/>
    </row>
    <row r="235" spans="3:19" hidden="1" outlineLevel="1" x14ac:dyDescent="0.25">
      <c r="C235" s="133"/>
      <c r="D235" s="15" t="s">
        <v>129</v>
      </c>
      <c r="E235" s="11" t="s">
        <v>46</v>
      </c>
      <c r="F235" s="11" t="s">
        <v>46</v>
      </c>
      <c r="G235" s="11"/>
      <c r="H235" s="41"/>
      <c r="I235" s="52" cm="1">
        <f t="array" ref="I235">IFERROR(INDEX(Table3[Labor rate], MATCH(1, (Table3[Material]=$D$228) * (Table3[Size]=D235), 0)),0)</f>
        <v>0.06</v>
      </c>
      <c r="J235" s="82">
        <f t="shared" si="55"/>
        <v>0</v>
      </c>
      <c r="K235" s="170">
        <f>J235*Summary!$H$4</f>
        <v>0</v>
      </c>
      <c r="L235" s="52" cm="1">
        <f t="array" ref="L235">IFERROR(INDEX(Table3[Material Cost], MATCH(1, (Table3[Material]=$D$228) * (Table3[Size]=D235), 0)),0)</f>
        <v>6.7500999999999998</v>
      </c>
      <c r="M235" s="56">
        <v>0</v>
      </c>
      <c r="N235" s="84">
        <f t="shared" ref="N235" si="58">((G235+H235)*L235)+((G235+H235)*M235)</f>
        <v>0</v>
      </c>
      <c r="O235" s="167">
        <f t="shared" ref="O235" si="59">N235+K235</f>
        <v>0</v>
      </c>
      <c r="P235" s="14"/>
    </row>
    <row r="236" spans="3:19" hidden="1" outlineLevel="1" x14ac:dyDescent="0.25">
      <c r="C236" s="133"/>
      <c r="D236" s="15"/>
      <c r="G236" s="11"/>
      <c r="H236" s="41"/>
      <c r="I236" s="41"/>
      <c r="J236" s="41"/>
      <c r="K236" s="41"/>
      <c r="L236" s="41"/>
      <c r="M236" s="56"/>
      <c r="N236" s="84"/>
      <c r="O236" s="167"/>
      <c r="P236" s="14"/>
    </row>
    <row r="237" spans="3:19" hidden="1" outlineLevel="1" x14ac:dyDescent="0.25">
      <c r="C237" s="133"/>
      <c r="G237" s="11"/>
      <c r="H237" s="143"/>
      <c r="I237" s="52"/>
      <c r="J237" s="82"/>
      <c r="K237" s="51"/>
      <c r="L237" s="132"/>
      <c r="M237" s="56"/>
      <c r="N237" s="84"/>
      <c r="O237" s="88"/>
      <c r="P237" s="14"/>
    </row>
    <row r="238" spans="3:19" ht="15.75" hidden="1" outlineLevel="1" thickBot="1" x14ac:dyDescent="0.3">
      <c r="C238" s="208" t="s">
        <v>532</v>
      </c>
      <c r="D238" s="10"/>
      <c r="G238" s="209">
        <v>0.1</v>
      </c>
      <c r="H238" s="169"/>
      <c r="I238" s="52"/>
      <c r="J238" s="207">
        <f>SUM(J225:J237)*G238</f>
        <v>0</v>
      </c>
      <c r="K238" s="138">
        <f>SUM(K225:K237)*G238</f>
        <v>0</v>
      </c>
      <c r="N238" s="138">
        <f>SUM(N225:N237)*G238</f>
        <v>0</v>
      </c>
      <c r="O238" s="167">
        <f t="shared" ref="O238" si="60">N238+K238</f>
        <v>0</v>
      </c>
      <c r="R238" s="349"/>
      <c r="S238" s="349"/>
    </row>
    <row r="239" spans="3:19" hidden="1" outlineLevel="1" x14ac:dyDescent="0.25">
      <c r="C239" s="405"/>
      <c r="D239" s="406" t="s">
        <v>473</v>
      </c>
      <c r="E239" s="407"/>
      <c r="F239" s="407"/>
      <c r="G239" s="408"/>
      <c r="H239" s="408">
        <f>SUM(H225:H237)</f>
        <v>0</v>
      </c>
      <c r="I239" s="408"/>
      <c r="J239" s="408">
        <f>SUM(J225:J238)</f>
        <v>0</v>
      </c>
      <c r="K239" s="409">
        <f>SUM(K225:K238)</f>
        <v>0</v>
      </c>
      <c r="L239" s="408"/>
      <c r="M239" s="408"/>
      <c r="N239" s="409">
        <f>SUM(N225:N238)</f>
        <v>0</v>
      </c>
      <c r="O239" s="410"/>
      <c r="R239" s="349"/>
      <c r="S239" s="349"/>
    </row>
    <row r="240" spans="3:19" hidden="1" outlineLevel="1" x14ac:dyDescent="0.25">
      <c r="C240" s="86"/>
      <c r="E240"/>
      <c r="F240"/>
      <c r="K240" s="1"/>
      <c r="O240" s="137"/>
      <c r="P240" s="14"/>
    </row>
    <row r="241" spans="1:73" ht="15.75" hidden="1" outlineLevel="1" x14ac:dyDescent="0.25">
      <c r="C241" s="629" t="s">
        <v>490</v>
      </c>
      <c r="D241" s="630"/>
      <c r="G241" s="11"/>
      <c r="I241" s="161"/>
      <c r="J241" s="159"/>
      <c r="K241" s="51"/>
      <c r="M241" s="161"/>
      <c r="N241" s="162"/>
      <c r="O241" s="163"/>
      <c r="P241" s="14"/>
    </row>
    <row r="242" spans="1:73" ht="15" hidden="1" customHeight="1" outlineLevel="1" x14ac:dyDescent="0.25">
      <c r="C242" s="241"/>
      <c r="G242" s="11"/>
      <c r="H242" s="146"/>
      <c r="I242" s="134"/>
      <c r="J242" s="82"/>
      <c r="K242" s="51"/>
      <c r="L242" s="56"/>
      <c r="M242" s="56"/>
      <c r="N242" s="84"/>
      <c r="O242" s="88"/>
    </row>
    <row r="243" spans="1:73" hidden="1" outlineLevel="1" x14ac:dyDescent="0.25">
      <c r="C243" s="86" t="s">
        <v>139</v>
      </c>
      <c r="D243" t="s">
        <v>622</v>
      </c>
      <c r="E243" s="11" t="s">
        <v>46</v>
      </c>
      <c r="F243" s="11" t="s">
        <v>46</v>
      </c>
      <c r="G243" s="11"/>
      <c r="H243" s="143"/>
      <c r="I243" s="56">
        <f>3*300/65</f>
        <v>13.846153846153847</v>
      </c>
      <c r="J243" s="82">
        <f>(G243+H243)*I243</f>
        <v>0</v>
      </c>
      <c r="K243" s="51">
        <f>J243*Summary!$H$4</f>
        <v>0</v>
      </c>
      <c r="L243" s="53">
        <v>0</v>
      </c>
      <c r="M243" s="56">
        <v>0</v>
      </c>
      <c r="N243" s="84">
        <f>((G243+H243)*L243)+((G243+H243)*M243)</f>
        <v>0</v>
      </c>
      <c r="O243" s="88">
        <f t="shared" ref="O243" si="61">N243+K243</f>
        <v>0</v>
      </c>
    </row>
    <row r="244" spans="1:73" ht="15.75" hidden="1" outlineLevel="1" thickBot="1" x14ac:dyDescent="0.3">
      <c r="C244" s="86"/>
      <c r="G244" s="11"/>
      <c r="H244" s="143"/>
      <c r="I244" s="56"/>
      <c r="J244" s="82"/>
      <c r="K244" s="51"/>
      <c r="L244" s="53"/>
      <c r="M244" s="56"/>
      <c r="N244" s="84"/>
      <c r="O244" s="88"/>
    </row>
    <row r="245" spans="1:73" hidden="1" outlineLevel="1" x14ac:dyDescent="0.25">
      <c r="C245" s="405"/>
      <c r="D245" s="406" t="s">
        <v>506</v>
      </c>
      <c r="E245" s="407"/>
      <c r="F245" s="407"/>
      <c r="G245" s="408">
        <f>SUM(G240:G244)</f>
        <v>0</v>
      </c>
      <c r="H245" s="408"/>
      <c r="I245" s="408"/>
      <c r="J245" s="408">
        <f>SUM(J240:J244)</f>
        <v>0</v>
      </c>
      <c r="K245" s="409">
        <f>SUM(K240:K244)</f>
        <v>0</v>
      </c>
      <c r="L245" s="408"/>
      <c r="M245" s="408"/>
      <c r="N245" s="409">
        <f>SUM(N240:N244)</f>
        <v>0</v>
      </c>
      <c r="O245" s="410"/>
      <c r="R245" s="349"/>
      <c r="S245" s="349"/>
    </row>
    <row r="246" spans="1:73" hidden="1" outlineLevel="1" x14ac:dyDescent="0.25">
      <c r="C246" s="86"/>
      <c r="K246" s="1"/>
      <c r="O246" s="137"/>
    </row>
    <row r="247" spans="1:73" ht="15.75" hidden="1" outlineLevel="1" thickBot="1" x14ac:dyDescent="0.3">
      <c r="C247" s="86"/>
      <c r="K247" s="1"/>
      <c r="O247" s="137"/>
    </row>
    <row r="248" spans="1:73" s="437" customFormat="1" ht="22.5" customHeight="1" collapsed="1" thickTop="1" thickBot="1" x14ac:dyDescent="0.3">
      <c r="A248" s="512"/>
      <c r="B248" s="481"/>
      <c r="C248" s="272"/>
      <c r="D248" s="191" t="s">
        <v>507</v>
      </c>
      <c r="E248" s="191"/>
      <c r="F248" s="191"/>
      <c r="G248" s="274"/>
      <c r="H248" s="191"/>
      <c r="I248" s="191"/>
      <c r="J248" s="274">
        <f>J245+J239+J224+J217</f>
        <v>0</v>
      </c>
      <c r="K248" s="433">
        <f>K245+K239+K224+K217</f>
        <v>0</v>
      </c>
      <c r="L248" s="434"/>
      <c r="M248" s="191"/>
      <c r="N248" s="433">
        <f>N245+N239+N224+N217</f>
        <v>0</v>
      </c>
      <c r="O248" s="435"/>
      <c r="P248" s="436">
        <f>SUM(O190:O247)</f>
        <v>0</v>
      </c>
      <c r="Q248" s="437" t="str">
        <f>IF(P248=(N248+K248), "GOOD", "ERROR NEED CHECK")</f>
        <v>GOOD</v>
      </c>
      <c r="R248" s="349">
        <f t="shared" ref="R248" si="62">IF(F248="X", IF(G248&lt;&gt;"", IF(OR(I248&gt;0,O248&gt;0), "✔", "ERROR"),"ERROR"),0)</f>
        <v>0</v>
      </c>
      <c r="S248" s="349">
        <f t="shared" ref="S248" si="63">IF(E248="X", IF(G248&lt;&gt;"", IF(AND(N248&gt;0,O248&gt;0), "✔", "ERROR"),"ERROR"),0)</f>
        <v>0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</row>
    <row r="249" spans="1:73" ht="15.75" thickBot="1" x14ac:dyDescent="0.3">
      <c r="E249"/>
      <c r="F249"/>
      <c r="K249" s="1"/>
      <c r="O249" s="1"/>
      <c r="P249" s="14"/>
    </row>
    <row r="250" spans="1:73" ht="15.75" thickBot="1" x14ac:dyDescent="0.3">
      <c r="C250" s="389"/>
      <c r="D250" s="390"/>
      <c r="E250" s="391"/>
      <c r="F250" s="391"/>
      <c r="G250" s="390"/>
      <c r="H250" s="390"/>
      <c r="I250" s="390"/>
      <c r="J250" s="390"/>
      <c r="K250" s="477"/>
      <c r="L250" s="390"/>
      <c r="M250" s="390"/>
      <c r="N250" s="390"/>
      <c r="O250" s="478"/>
    </row>
    <row r="251" spans="1:73" ht="22.5" thickTop="1" thickBot="1" x14ac:dyDescent="0.4">
      <c r="C251" s="413" t="s">
        <v>582</v>
      </c>
      <c r="D251" s="414"/>
      <c r="E251" s="415"/>
      <c r="F251" s="415"/>
      <c r="G251" s="416"/>
      <c r="H251" s="417"/>
      <c r="I251" s="416"/>
      <c r="J251" s="418"/>
      <c r="K251" s="419"/>
      <c r="L251" s="416"/>
      <c r="M251" s="416"/>
      <c r="N251" s="420"/>
      <c r="O251" s="421"/>
      <c r="P251" s="14"/>
      <c r="R251" s="349">
        <f t="shared" ref="R251" si="64">IF(F251="X", IF(G251&lt;&gt;"", IF(OR(I251&lt;&gt;"",L251&lt;&gt;""), "✔", "ERROR"),"ERROR"),0)</f>
        <v>0</v>
      </c>
      <c r="S251" s="348"/>
    </row>
    <row r="252" spans="1:73" ht="15.75" hidden="1" outlineLevel="1" thickTop="1" x14ac:dyDescent="0.25">
      <c r="C252" s="86"/>
      <c r="K252" s="1"/>
      <c r="O252" s="137"/>
    </row>
    <row r="253" spans="1:73" ht="15.75" hidden="1" outlineLevel="1" x14ac:dyDescent="0.25">
      <c r="C253" s="471" t="s">
        <v>484</v>
      </c>
      <c r="D253" s="1" t="s">
        <v>609</v>
      </c>
      <c r="O253" s="87"/>
    </row>
    <row r="254" spans="1:73" hidden="1" outlineLevel="1" x14ac:dyDescent="0.25">
      <c r="C254" s="86"/>
      <c r="D254" s="279" t="s">
        <v>607</v>
      </c>
      <c r="E254" s="56"/>
      <c r="G254" s="56"/>
      <c r="H254" s="549">
        <v>0</v>
      </c>
      <c r="I254">
        <f>IFERROR(INDEX($U$28:$AF$79,MATCH(D272,$T$28:$T$79,0),MATCH(E272,$U$24:$AF$24,0)),0)</f>
        <v>0</v>
      </c>
      <c r="O254" s="87"/>
    </row>
    <row r="255" spans="1:73" hidden="1" outlineLevel="1" x14ac:dyDescent="0.25">
      <c r="C255" s="86"/>
      <c r="D255" s="279" t="s">
        <v>610</v>
      </c>
      <c r="F255"/>
      <c r="G255" s="313"/>
      <c r="H255" s="549">
        <v>0</v>
      </c>
      <c r="I255" s="83"/>
      <c r="O255" s="87"/>
    </row>
    <row r="256" spans="1:73" ht="15" hidden="1" customHeight="1" outlineLevel="1" x14ac:dyDescent="0.25">
      <c r="C256" s="86"/>
      <c r="D256" s="279" t="s">
        <v>611</v>
      </c>
      <c r="F256"/>
      <c r="G256" s="314">
        <f>I272</f>
        <v>0</v>
      </c>
      <c r="H256" s="549">
        <v>0</v>
      </c>
      <c r="I256" s="83"/>
      <c r="O256" s="87"/>
    </row>
    <row r="257" spans="3:16" hidden="1" outlineLevel="1" x14ac:dyDescent="0.25">
      <c r="C257" s="86"/>
      <c r="D257" s="1" t="s">
        <v>612</v>
      </c>
      <c r="E257" s="56"/>
      <c r="F257"/>
      <c r="G257" s="56"/>
      <c r="H257" s="82"/>
      <c r="I257" s="83"/>
      <c r="J257" s="52"/>
      <c r="K257" s="51"/>
      <c r="L257" s="84"/>
      <c r="M257" s="85"/>
      <c r="O257" s="136"/>
      <c r="P257" s="14"/>
    </row>
    <row r="258" spans="3:16" hidden="1" outlineLevel="1" x14ac:dyDescent="0.25">
      <c r="C258" s="86"/>
      <c r="D258" s="279" t="s">
        <v>613</v>
      </c>
      <c r="E258" s="11" t="s">
        <v>46</v>
      </c>
      <c r="F258" s="11" t="s">
        <v>46</v>
      </c>
      <c r="G258" s="56"/>
      <c r="H258" s="82">
        <f>SUM(H255:H256)</f>
        <v>0</v>
      </c>
      <c r="I258" s="52">
        <f>8/500*(120/65)</f>
        <v>2.9538461538461541E-2</v>
      </c>
      <c r="J258" s="82">
        <f>(G258+H258)*I258</f>
        <v>0</v>
      </c>
      <c r="K258" s="51">
        <f>J258*Summary!$H$4</f>
        <v>0</v>
      </c>
      <c r="L258" s="84"/>
      <c r="M258" s="85"/>
      <c r="O258" s="136">
        <f>N258+K258</f>
        <v>0</v>
      </c>
      <c r="P258" s="14"/>
    </row>
    <row r="259" spans="3:16" hidden="1" outlineLevel="1" x14ac:dyDescent="0.25">
      <c r="C259" s="86"/>
      <c r="D259" s="279" t="s">
        <v>620</v>
      </c>
      <c r="E259" s="11" t="s">
        <v>46</v>
      </c>
      <c r="F259" s="11" t="s">
        <v>46</v>
      </c>
      <c r="G259" s="56"/>
      <c r="H259" s="82">
        <f>SUM(H255:H256)</f>
        <v>0</v>
      </c>
      <c r="I259" s="52">
        <f>IF(H254&gt;0,8/IFERROR(INDEX($U$9:$Z$9,MATCH(H254,$U$8:$Z$8,0)),U9)*300/65*2,0)</f>
        <v>0</v>
      </c>
      <c r="J259" s="82">
        <f>(G259+H259)*I259</f>
        <v>0</v>
      </c>
      <c r="K259" s="51">
        <f>J259*Summary!$H$4</f>
        <v>0</v>
      </c>
      <c r="L259" s="84"/>
      <c r="M259" s="85"/>
      <c r="O259" s="136">
        <f>N259+K259</f>
        <v>0</v>
      </c>
      <c r="P259" s="14"/>
    </row>
    <row r="260" spans="3:16" hidden="1" outlineLevel="1" x14ac:dyDescent="0.25">
      <c r="C260" s="86"/>
      <c r="D260" s="279" t="s">
        <v>619</v>
      </c>
      <c r="E260" s="11" t="s">
        <v>46</v>
      </c>
      <c r="F260" s="11" t="s">
        <v>46</v>
      </c>
      <c r="G260" s="56"/>
      <c r="H260" s="82">
        <f>G272*1.1</f>
        <v>0</v>
      </c>
      <c r="I260" s="52"/>
      <c r="J260" s="82"/>
      <c r="K260" s="51"/>
      <c r="L260" s="52">
        <v>30</v>
      </c>
      <c r="M260" s="85"/>
      <c r="N260" s="84">
        <f>L260*(H260+G260)</f>
        <v>0</v>
      </c>
      <c r="O260" s="136">
        <f>N260+K260</f>
        <v>0</v>
      </c>
      <c r="P260" s="14"/>
    </row>
    <row r="261" spans="3:16" hidden="1" outlineLevel="1" x14ac:dyDescent="0.25">
      <c r="C261" s="86"/>
      <c r="D261" s="279" t="s">
        <v>614</v>
      </c>
      <c r="E261" s="11" t="s">
        <v>46</v>
      </c>
      <c r="F261" s="11" t="s">
        <v>46</v>
      </c>
      <c r="G261" s="56"/>
      <c r="H261" s="82">
        <f>SUM(H255:H256)</f>
        <v>0</v>
      </c>
      <c r="I261" s="52">
        <f>8/500*(100/65)</f>
        <v>2.4615384615384619E-2</v>
      </c>
      <c r="J261" s="82">
        <f>(G261+H261)*I261</f>
        <v>0</v>
      </c>
      <c r="K261" s="51">
        <f>J261*Summary!$H$4</f>
        <v>0</v>
      </c>
      <c r="L261" s="52"/>
      <c r="M261" s="85"/>
      <c r="O261" s="136">
        <f>N261+K261</f>
        <v>0</v>
      </c>
      <c r="P261" s="14"/>
    </row>
    <row r="262" spans="3:16" hidden="1" outlineLevel="1" x14ac:dyDescent="0.25">
      <c r="C262" s="86"/>
      <c r="D262" s="1" t="s">
        <v>608</v>
      </c>
      <c r="G262" s="56"/>
      <c r="H262" s="82"/>
      <c r="I262" s="52"/>
      <c r="J262" s="82"/>
      <c r="K262" s="51"/>
      <c r="L262" s="52"/>
      <c r="M262" s="85"/>
      <c r="O262" s="136"/>
      <c r="P262" s="14"/>
    </row>
    <row r="263" spans="3:16" hidden="1" outlineLevel="1" x14ac:dyDescent="0.25">
      <c r="C263" s="86"/>
      <c r="D263" s="279" t="s">
        <v>615</v>
      </c>
      <c r="E263" s="11" t="s">
        <v>46</v>
      </c>
      <c r="F263" s="11" t="s">
        <v>46</v>
      </c>
      <c r="G263" s="56"/>
      <c r="H263" s="82">
        <f>(((H255+H256)*D272*E272))/27*1.4*1.4/25</f>
        <v>0</v>
      </c>
      <c r="I263" s="52">
        <f>8/50*(128/65)</f>
        <v>0.31507692307692309</v>
      </c>
      <c r="J263" s="82">
        <f>(G263+H263)*I263</f>
        <v>0</v>
      </c>
      <c r="K263" s="51">
        <f>J263*Summary!$H$4</f>
        <v>0</v>
      </c>
      <c r="L263" s="52"/>
      <c r="M263" s="85"/>
      <c r="O263" s="136">
        <f t="shared" ref="O263:O264" si="65">N263+K263</f>
        <v>0</v>
      </c>
      <c r="P263" s="14"/>
    </row>
    <row r="264" spans="3:16" hidden="1" outlineLevel="1" x14ac:dyDescent="0.25">
      <c r="C264" s="86"/>
      <c r="D264" s="279" t="s">
        <v>616</v>
      </c>
      <c r="E264" s="11" t="s">
        <v>46</v>
      </c>
      <c r="F264" s="11" t="s">
        <v>46</v>
      </c>
      <c r="G264" s="56"/>
      <c r="H264" s="82">
        <f>(H256*E272*H254)/27*1.4*1.4</f>
        <v>0</v>
      </c>
      <c r="I264" s="52">
        <f>8/50*(128/65)</f>
        <v>0.31507692307692309</v>
      </c>
      <c r="J264" s="82">
        <f>(G264+H264)*I264</f>
        <v>0</v>
      </c>
      <c r="K264" s="51">
        <f>J264*Summary!$H$4</f>
        <v>0</v>
      </c>
      <c r="L264" s="52"/>
      <c r="M264" s="85"/>
      <c r="O264" s="136">
        <f t="shared" si="65"/>
        <v>0</v>
      </c>
      <c r="P264" s="14"/>
    </row>
    <row r="265" spans="3:16" ht="15" hidden="1" customHeight="1" outlineLevel="1" x14ac:dyDescent="0.25">
      <c r="C265" s="86"/>
      <c r="D265" s="279" t="s">
        <v>617</v>
      </c>
      <c r="E265" s="11" t="s">
        <v>46</v>
      </c>
      <c r="F265" s="11" t="s">
        <v>46</v>
      </c>
      <c r="G265" s="56"/>
      <c r="H265" s="82">
        <f>SUM(H263:H264)</f>
        <v>0</v>
      </c>
      <c r="I265" s="52"/>
      <c r="J265" s="82"/>
      <c r="K265" s="51"/>
      <c r="L265" s="52">
        <v>450</v>
      </c>
      <c r="M265" s="85"/>
      <c r="N265" s="84">
        <f>L265*ROUNDUP((H265+G265)/25,0)</f>
        <v>0</v>
      </c>
      <c r="O265" s="136">
        <f>N265+K265</f>
        <v>0</v>
      </c>
      <c r="P265" s="14"/>
    </row>
    <row r="266" spans="3:16" ht="15" hidden="1" customHeight="1" outlineLevel="1" x14ac:dyDescent="0.25">
      <c r="C266" s="86"/>
      <c r="D266" s="1" t="s">
        <v>279</v>
      </c>
      <c r="E266"/>
      <c r="F266"/>
      <c r="K266" s="1"/>
      <c r="O266" s="137"/>
      <c r="P266" s="315"/>
    </row>
    <row r="267" spans="3:16" ht="15" hidden="1" customHeight="1" outlineLevel="1" x14ac:dyDescent="0.25">
      <c r="C267" s="551">
        <v>0</v>
      </c>
      <c r="D267" s="279" t="s">
        <v>654</v>
      </c>
      <c r="E267" s="11" t="s">
        <v>46</v>
      </c>
      <c r="F267" s="11" t="s">
        <v>46</v>
      </c>
      <c r="G267">
        <f>IF(C267="YES",ROUNDUP(J259,0),0)</f>
        <v>0</v>
      </c>
      <c r="K267" s="1"/>
      <c r="L267" s="52">
        <f>1500/8</f>
        <v>187.5</v>
      </c>
      <c r="M267" s="85"/>
      <c r="N267" s="84">
        <f>IF(G267&gt;0,L267*(H267+G267)+3000,0)</f>
        <v>0</v>
      </c>
      <c r="O267" s="136">
        <f t="shared" ref="O267" si="66">N267+K267</f>
        <v>0</v>
      </c>
      <c r="P267" s="315"/>
    </row>
    <row r="268" spans="3:16" ht="15" hidden="1" customHeight="1" outlineLevel="1" x14ac:dyDescent="0.25">
      <c r="C268" s="86"/>
      <c r="D268" s="279" t="s">
        <v>655</v>
      </c>
      <c r="E268" s="11" t="s">
        <v>46</v>
      </c>
      <c r="F268" s="11" t="s">
        <v>46</v>
      </c>
      <c r="G268">
        <f>IF(H254&gt;5,ROUNDUP(J259,0),0)</f>
        <v>0</v>
      </c>
      <c r="K268" s="1"/>
      <c r="L268" s="52">
        <v>30</v>
      </c>
      <c r="M268" s="85"/>
      <c r="N268" s="84">
        <f t="shared" ref="N268" si="67">L268*(H268+G268)</f>
        <v>0</v>
      </c>
      <c r="O268" s="136">
        <f>N268+K268</f>
        <v>0</v>
      </c>
      <c r="P268" s="315"/>
    </row>
    <row r="269" spans="3:16" ht="15" hidden="1" customHeight="1" outlineLevel="1" thickBot="1" x14ac:dyDescent="0.3">
      <c r="C269" s="86"/>
      <c r="E269"/>
      <c r="F269"/>
      <c r="K269" s="1"/>
      <c r="O269" s="137"/>
      <c r="P269" s="315"/>
    </row>
    <row r="270" spans="3:16" ht="15.75" hidden="1" customHeight="1" outlineLevel="1" thickBot="1" x14ac:dyDescent="0.3">
      <c r="C270" s="65" t="s">
        <v>54</v>
      </c>
      <c r="D270" s="428"/>
      <c r="E270" s="381"/>
      <c r="F270" s="381"/>
      <c r="G270" s="544"/>
      <c r="H270" s="1"/>
      <c r="J270" s="1"/>
      <c r="K270" s="1"/>
      <c r="O270" s="137"/>
    </row>
    <row r="271" spans="3:16" hidden="1" outlineLevel="1" x14ac:dyDescent="0.25">
      <c r="C271" s="196" t="s">
        <v>601</v>
      </c>
      <c r="D271" s="197" t="s">
        <v>602</v>
      </c>
      <c r="E271" s="197" t="s">
        <v>603</v>
      </c>
      <c r="F271" s="250" t="s">
        <v>605</v>
      </c>
      <c r="G271" s="318" t="s">
        <v>604</v>
      </c>
      <c r="H271" s="1"/>
      <c r="J271" s="1"/>
      <c r="K271" s="108"/>
      <c r="L271" s="108"/>
      <c r="M271" s="108"/>
      <c r="O271" s="137"/>
    </row>
    <row r="272" spans="3:16" ht="15.75" hidden="1" outlineLevel="1" thickBot="1" x14ac:dyDescent="0.3">
      <c r="C272" s="547">
        <v>0</v>
      </c>
      <c r="D272" s="546">
        <f>1.5+C272/12</f>
        <v>1.5</v>
      </c>
      <c r="E272" s="546">
        <f>2+C272/12</f>
        <v>2</v>
      </c>
      <c r="F272" s="545">
        <f>(((H255+H256)*D272*E272)+(H256*E272*(H254-D272)))/27</f>
        <v>0</v>
      </c>
      <c r="G272" s="319">
        <f>ROUNDUP(F272*1.3,0)</f>
        <v>0</v>
      </c>
      <c r="H272" s="1"/>
      <c r="J272" s="1"/>
      <c r="K272" s="108"/>
      <c r="L272" s="108"/>
      <c r="M272" s="108"/>
      <c r="O272" s="137"/>
    </row>
    <row r="273" spans="3:19" hidden="1" outlineLevel="1" x14ac:dyDescent="0.25">
      <c r="C273" s="86"/>
      <c r="D273" s="317" t="s">
        <v>600</v>
      </c>
      <c r="K273" s="1"/>
      <c r="O273" s="137"/>
    </row>
    <row r="274" spans="3:19" hidden="1" outlineLevel="1" x14ac:dyDescent="0.25">
      <c r="C274" s="86"/>
      <c r="D274" s="317" t="s">
        <v>599</v>
      </c>
      <c r="K274" s="1"/>
      <c r="O274" s="137"/>
    </row>
    <row r="275" spans="3:19" hidden="1" outlineLevel="1" x14ac:dyDescent="0.25">
      <c r="C275" s="86"/>
      <c r="D275" s="11"/>
      <c r="K275" s="1"/>
      <c r="O275" s="137"/>
    </row>
    <row r="276" spans="3:19" ht="15.75" hidden="1" outlineLevel="1" thickBot="1" x14ac:dyDescent="0.3">
      <c r="C276" s="86"/>
      <c r="E276"/>
      <c r="F276"/>
      <c r="K276" s="1"/>
      <c r="O276" s="137"/>
      <c r="P276" s="14"/>
    </row>
    <row r="277" spans="3:19" hidden="1" outlineLevel="1" x14ac:dyDescent="0.25">
      <c r="C277" s="405"/>
      <c r="D277" s="406" t="s">
        <v>625</v>
      </c>
      <c r="E277" s="407"/>
      <c r="F277" s="407"/>
      <c r="G277" s="408"/>
      <c r="H277" s="408">
        <f>SUM(H240:H276)</f>
        <v>0</v>
      </c>
      <c r="I277" s="408"/>
      <c r="J277" s="408">
        <f>SUM(J252:J276)</f>
        <v>0</v>
      </c>
      <c r="K277" s="409">
        <f>SUM(K252:K276)</f>
        <v>0</v>
      </c>
      <c r="L277" s="408"/>
      <c r="M277" s="408"/>
      <c r="N277" s="409">
        <f>SUM(N252:N276)</f>
        <v>0</v>
      </c>
      <c r="O277" s="410"/>
      <c r="R277" s="349"/>
      <c r="S277" s="349"/>
    </row>
    <row r="278" spans="3:19" hidden="1" outlineLevel="1" x14ac:dyDescent="0.25">
      <c r="C278" s="86"/>
      <c r="G278" s="11"/>
      <c r="H278" s="41"/>
      <c r="I278" s="161"/>
      <c r="J278" s="159"/>
      <c r="K278" s="51"/>
      <c r="L278" s="161"/>
      <c r="M278" s="110"/>
      <c r="N278" s="162"/>
      <c r="O278" s="163"/>
      <c r="P278" s="14"/>
    </row>
    <row r="279" spans="3:19" ht="15.75" hidden="1" outlineLevel="1" x14ac:dyDescent="0.25">
      <c r="C279" s="629" t="s">
        <v>652</v>
      </c>
      <c r="D279" s="630"/>
      <c r="O279" s="87"/>
    </row>
    <row r="280" spans="3:19" hidden="1" outlineLevel="1" x14ac:dyDescent="0.25">
      <c r="C280" s="86"/>
      <c r="G280" s="11"/>
      <c r="H280" s="41"/>
      <c r="I280" s="161"/>
      <c r="J280" s="159"/>
      <c r="K280" s="51"/>
      <c r="L280" s="161"/>
      <c r="M280" s="110"/>
      <c r="N280" s="162"/>
      <c r="O280" s="163"/>
      <c r="P280" s="14"/>
    </row>
    <row r="281" spans="3:19" hidden="1" outlineLevel="1" x14ac:dyDescent="0.25">
      <c r="C281" s="86" t="s">
        <v>496</v>
      </c>
      <c r="E281" s="11" t="s">
        <v>46</v>
      </c>
      <c r="F281" s="11" t="s">
        <v>46</v>
      </c>
      <c r="G281" s="146"/>
      <c r="H281" s="41"/>
      <c r="I281" s="52"/>
      <c r="J281" s="159">
        <f t="shared" ref="J281" si="68">(G281+H281)*I281</f>
        <v>0</v>
      </c>
      <c r="K281" s="170">
        <f>J281*Summary!$H$4</f>
        <v>0</v>
      </c>
      <c r="L281" s="56"/>
      <c r="M281" s="56">
        <v>0</v>
      </c>
      <c r="N281" s="84">
        <f t="shared" ref="N281" si="69">((G281+H281)*L281)+((G281+H281)*M281)</f>
        <v>0</v>
      </c>
      <c r="O281" s="167">
        <f t="shared" ref="O281" si="70">N281+K281</f>
        <v>0</v>
      </c>
      <c r="P281" s="14"/>
    </row>
    <row r="282" spans="3:19" hidden="1" outlineLevel="1" x14ac:dyDescent="0.25">
      <c r="C282" s="158"/>
      <c r="D282" s="279" t="s">
        <v>618</v>
      </c>
      <c r="E282" s="11" t="s">
        <v>46</v>
      </c>
      <c r="F282" s="11" t="s">
        <v>46</v>
      </c>
      <c r="G282" s="550">
        <v>0</v>
      </c>
      <c r="H282" s="82"/>
      <c r="I282" s="52">
        <f>0.1*300/65</f>
        <v>0.46153846153846156</v>
      </c>
      <c r="J282" s="82">
        <f>(G282+H282)*I282</f>
        <v>0</v>
      </c>
      <c r="K282" s="51">
        <f>J282*Summary!$H$4</f>
        <v>0</v>
      </c>
      <c r="L282" s="52"/>
      <c r="M282" s="85"/>
      <c r="O282" s="136">
        <f>N282+K282</f>
        <v>0</v>
      </c>
      <c r="P282" s="14"/>
    </row>
    <row r="283" spans="3:19" ht="15.75" hidden="1" outlineLevel="1" thickBot="1" x14ac:dyDescent="0.3">
      <c r="C283" s="86"/>
      <c r="G283" s="11"/>
      <c r="I283" s="161"/>
      <c r="J283" s="159"/>
      <c r="K283" s="51"/>
      <c r="M283" s="161"/>
      <c r="N283" s="162"/>
      <c r="O283" s="163"/>
      <c r="P283" s="14"/>
    </row>
    <row r="284" spans="3:19" hidden="1" outlineLevel="1" x14ac:dyDescent="0.25">
      <c r="C284" s="405"/>
      <c r="D284" s="406" t="s">
        <v>651</v>
      </c>
      <c r="E284" s="407"/>
      <c r="F284" s="407"/>
      <c r="G284" s="408">
        <f>SUM(G278:G283)</f>
        <v>0</v>
      </c>
      <c r="H284" s="408"/>
      <c r="I284" s="408"/>
      <c r="J284" s="408">
        <f>SUM(J278:J283)</f>
        <v>0</v>
      </c>
      <c r="K284" s="409">
        <f>SUM(K278:K283)</f>
        <v>0</v>
      </c>
      <c r="L284" s="408"/>
      <c r="M284" s="408"/>
      <c r="N284" s="409">
        <f>SUM(N278:N283)</f>
        <v>0</v>
      </c>
      <c r="O284" s="410"/>
      <c r="R284" s="349"/>
      <c r="S284" s="349"/>
    </row>
    <row r="285" spans="3:19" hidden="1" outlineLevel="1" x14ac:dyDescent="0.25">
      <c r="C285" s="86"/>
      <c r="G285" s="11"/>
      <c r="I285" s="161"/>
      <c r="J285" s="159"/>
      <c r="K285" s="51"/>
      <c r="M285" s="161"/>
      <c r="N285" s="162"/>
      <c r="O285" s="163"/>
      <c r="P285" s="14"/>
    </row>
    <row r="286" spans="3:19" ht="15.75" hidden="1" outlineLevel="1" x14ac:dyDescent="0.25">
      <c r="C286" s="629" t="s">
        <v>583</v>
      </c>
      <c r="D286" s="630"/>
      <c r="G286" s="11"/>
      <c r="I286" s="161"/>
      <c r="J286" s="159"/>
      <c r="K286" s="51"/>
      <c r="M286" s="161"/>
      <c r="N286" s="162"/>
      <c r="O286" s="163"/>
      <c r="P286" s="14"/>
    </row>
    <row r="287" spans="3:19" hidden="1" outlineLevel="1" x14ac:dyDescent="0.25">
      <c r="C287" s="86"/>
      <c r="G287" s="11"/>
      <c r="I287" s="161"/>
      <c r="J287" s="159"/>
      <c r="K287" s="51"/>
      <c r="M287" s="161"/>
      <c r="N287" s="162"/>
      <c r="O287" s="163"/>
      <c r="P287" s="14"/>
    </row>
    <row r="288" spans="3:19" hidden="1" outlineLevel="1" x14ac:dyDescent="0.25">
      <c r="C288" s="126" t="s">
        <v>488</v>
      </c>
      <c r="D288" s="537" t="s">
        <v>98</v>
      </c>
      <c r="G288" s="11"/>
      <c r="H288" s="146"/>
      <c r="I288" s="159"/>
      <c r="L288" s="148"/>
      <c r="O288" s="87"/>
      <c r="P288" s="14"/>
    </row>
    <row r="289" spans="3:19" hidden="1" outlineLevel="1" x14ac:dyDescent="0.25">
      <c r="C289" s="133"/>
      <c r="D289" s="15" t="s">
        <v>129</v>
      </c>
      <c r="E289" s="11" t="s">
        <v>46</v>
      </c>
      <c r="F289" s="11" t="s">
        <v>46</v>
      </c>
      <c r="G289" s="11"/>
      <c r="H289" s="41"/>
      <c r="I289" s="52" cm="1">
        <f t="array" ref="I289">IFERROR(INDEX(Table3[Labor rate], MATCH(1, (Table3[Material]=$D$288) * (Table3[Size]=D289), 0)),0)</f>
        <v>5.5E-2</v>
      </c>
      <c r="J289" s="82">
        <f t="shared" ref="J289" si="71">(G289+H289)*I289</f>
        <v>0</v>
      </c>
      <c r="K289" s="170">
        <f>J289*Summary!$H$4</f>
        <v>0</v>
      </c>
      <c r="L289" s="52" cm="1">
        <f t="array" ref="L289">IFERROR(INDEX(Table3[Material Cost], MATCH(1, (Table3[Material]=$D$288) * (Table3[Size]=D289), 0)),0)</f>
        <v>2.2080000000000002</v>
      </c>
      <c r="M289" s="56">
        <v>0</v>
      </c>
      <c r="N289" s="84">
        <f t="shared" ref="N289:N292" si="72">((G289+H289)*L289)+((G289+H289)*M289)</f>
        <v>0</v>
      </c>
      <c r="O289" s="167">
        <f t="shared" ref="O289:O292" si="73">N289+K289</f>
        <v>0</v>
      </c>
      <c r="P289" s="14"/>
    </row>
    <row r="290" spans="3:19" hidden="1" outlineLevel="1" x14ac:dyDescent="0.25">
      <c r="C290" s="133"/>
      <c r="D290" s="15" t="s">
        <v>27</v>
      </c>
      <c r="E290" s="11" t="s">
        <v>46</v>
      </c>
      <c r="F290" s="11" t="s">
        <v>46</v>
      </c>
      <c r="G290" s="11"/>
      <c r="H290" s="41"/>
      <c r="I290" s="52" cm="1">
        <f t="array" ref="I290">IFERROR(INDEX(Table3[Labor rate], MATCH(1, (Table3[Material]=$D$288) * (Table3[Size]=D290), 0)),0)</f>
        <v>7.0000000000000007E-2</v>
      </c>
      <c r="J290" s="82">
        <f t="shared" ref="J290:J292" si="74">(G290+H290)*I290</f>
        <v>0</v>
      </c>
      <c r="K290" s="170">
        <f>J290*Summary!$H$4</f>
        <v>0</v>
      </c>
      <c r="L290" s="52" cm="1">
        <f t="array" ref="L290">IFERROR(INDEX(Table3[Material Cost], MATCH(1, (Table3[Material]=$D$288) * (Table3[Size]=D290), 0)),0)</f>
        <v>3.0019999999999998</v>
      </c>
      <c r="M290" s="56">
        <v>0</v>
      </c>
      <c r="N290" s="84">
        <f t="shared" si="72"/>
        <v>0</v>
      </c>
      <c r="O290" s="167">
        <f t="shared" si="73"/>
        <v>0</v>
      </c>
      <c r="P290" s="14"/>
    </row>
    <row r="291" spans="3:19" hidden="1" outlineLevel="1" x14ac:dyDescent="0.25">
      <c r="C291" s="133"/>
      <c r="D291" s="15" t="s">
        <v>154</v>
      </c>
      <c r="E291" s="11" t="s">
        <v>46</v>
      </c>
      <c r="F291" s="11" t="s">
        <v>46</v>
      </c>
      <c r="G291" s="11"/>
      <c r="H291" s="41"/>
      <c r="I291" s="52" cm="1">
        <f t="array" ref="I291">IFERROR(INDEX(Table3[Labor rate], MATCH(1, (Table3[Material]=$D$288) * (Table3[Size]=D291), 0)),0)</f>
        <v>0.12</v>
      </c>
      <c r="J291" s="82">
        <f t="shared" si="74"/>
        <v>0</v>
      </c>
      <c r="K291" s="170">
        <f>J291*Summary!$H$4</f>
        <v>0</v>
      </c>
      <c r="L291" s="52" cm="1">
        <f t="array" ref="L291">IFERROR(INDEX(Table3[Material Cost], MATCH(1, (Table3[Material]=$D$288) * (Table3[Size]=D291), 0)),0)</f>
        <v>6.35</v>
      </c>
      <c r="M291" s="56">
        <v>0</v>
      </c>
      <c r="N291" s="84">
        <f t="shared" si="72"/>
        <v>0</v>
      </c>
      <c r="O291" s="167">
        <f t="shared" si="73"/>
        <v>0</v>
      </c>
      <c r="P291" s="14"/>
    </row>
    <row r="292" spans="3:19" hidden="1" outlineLevel="1" x14ac:dyDescent="0.25">
      <c r="C292" s="133"/>
      <c r="D292" s="15" t="s">
        <v>155</v>
      </c>
      <c r="E292" s="11" t="s">
        <v>46</v>
      </c>
      <c r="F292" s="11" t="s">
        <v>46</v>
      </c>
      <c r="G292" s="11"/>
      <c r="H292" s="41"/>
      <c r="I292" s="52" cm="1">
        <f t="array" ref="I292">IFERROR(INDEX(Table3[Labor rate], MATCH(1, (Table3[Material]=$D$288) * (Table3[Size]=D292), 0)),0)</f>
        <v>0.16</v>
      </c>
      <c r="J292" s="82">
        <f t="shared" si="74"/>
        <v>0</v>
      </c>
      <c r="K292" s="170">
        <f>J292*Summary!$H$4</f>
        <v>0</v>
      </c>
      <c r="L292" s="52" cm="1">
        <f t="array" ref="L292">IFERROR(INDEX(Table3[Material Cost], MATCH(1, (Table3[Material]=$D$288) * (Table3[Size]=D292), 0)),0)</f>
        <v>7.6509999999999998</v>
      </c>
      <c r="M292" s="56">
        <v>0</v>
      </c>
      <c r="N292" s="84">
        <f t="shared" si="72"/>
        <v>0</v>
      </c>
      <c r="O292" s="167">
        <f t="shared" si="73"/>
        <v>0</v>
      </c>
      <c r="P292" s="14"/>
    </row>
    <row r="293" spans="3:19" hidden="1" outlineLevel="1" x14ac:dyDescent="0.25">
      <c r="C293" s="133"/>
      <c r="D293" s="15"/>
      <c r="G293" s="11"/>
      <c r="H293" s="53"/>
      <c r="I293" s="52"/>
      <c r="J293" s="82"/>
      <c r="K293" s="170"/>
      <c r="L293" s="52"/>
      <c r="M293" s="52"/>
      <c r="N293" s="170"/>
      <c r="O293" s="172"/>
      <c r="P293" s="14"/>
    </row>
    <row r="294" spans="3:19" hidden="1" outlineLevel="1" x14ac:dyDescent="0.25">
      <c r="C294" s="133"/>
      <c r="G294" s="11"/>
      <c r="H294" s="143"/>
      <c r="I294" s="52"/>
      <c r="J294" s="82"/>
      <c r="K294" s="51"/>
      <c r="L294" s="132"/>
      <c r="M294" s="56"/>
      <c r="N294" s="84"/>
      <c r="O294" s="88"/>
      <c r="P294" s="14"/>
    </row>
    <row r="295" spans="3:19" hidden="1" outlineLevel="1" x14ac:dyDescent="0.25">
      <c r="C295" s="133"/>
      <c r="G295" s="11"/>
      <c r="H295" s="143"/>
      <c r="I295" s="52"/>
      <c r="J295" s="82"/>
      <c r="K295" s="51"/>
      <c r="L295" s="132"/>
      <c r="M295" s="56"/>
      <c r="N295" s="84"/>
      <c r="O295" s="88"/>
      <c r="P295" s="14"/>
    </row>
    <row r="296" spans="3:19" ht="15.75" hidden="1" outlineLevel="1" thickBot="1" x14ac:dyDescent="0.3">
      <c r="C296" s="208" t="s">
        <v>532</v>
      </c>
      <c r="D296" s="10"/>
      <c r="G296" s="209">
        <v>0.1</v>
      </c>
      <c r="H296" s="169"/>
      <c r="I296" s="52"/>
      <c r="J296" s="207">
        <f>SUM(J285:J295)*G296</f>
        <v>0</v>
      </c>
      <c r="K296" s="138">
        <f>SUM(K285:K295)*G296</f>
        <v>0</v>
      </c>
      <c r="N296" s="138">
        <f>SUM(N285:N295)*G296</f>
        <v>0</v>
      </c>
      <c r="O296" s="167">
        <f t="shared" ref="O296" si="75">N296+K296</f>
        <v>0</v>
      </c>
      <c r="R296" s="349"/>
      <c r="S296" s="349"/>
    </row>
    <row r="297" spans="3:19" hidden="1" outlineLevel="1" x14ac:dyDescent="0.25">
      <c r="C297" s="405"/>
      <c r="D297" s="406" t="s">
        <v>475</v>
      </c>
      <c r="E297" s="407"/>
      <c r="F297" s="407"/>
      <c r="G297" s="408"/>
      <c r="H297" s="408">
        <f>SUM(H285:H295)</f>
        <v>0</v>
      </c>
      <c r="I297" s="408"/>
      <c r="J297" s="408">
        <f>SUM(J285:J296)</f>
        <v>0</v>
      </c>
      <c r="K297" s="409">
        <f>SUM(K285:K296)</f>
        <v>0</v>
      </c>
      <c r="L297" s="408"/>
      <c r="M297" s="408"/>
      <c r="N297" s="409">
        <f>SUM(N285:N296)</f>
        <v>0</v>
      </c>
      <c r="O297" s="410"/>
      <c r="R297" s="349"/>
      <c r="S297" s="349"/>
    </row>
    <row r="298" spans="3:19" hidden="1" outlineLevel="1" x14ac:dyDescent="0.25">
      <c r="C298" s="86"/>
      <c r="E298"/>
      <c r="F298"/>
      <c r="K298" s="1"/>
      <c r="O298" s="137"/>
      <c r="P298" s="14"/>
    </row>
    <row r="299" spans="3:19" ht="15.75" hidden="1" outlineLevel="1" x14ac:dyDescent="0.25">
      <c r="C299" s="629" t="s">
        <v>490</v>
      </c>
      <c r="D299" s="630"/>
      <c r="G299" s="11"/>
      <c r="I299" s="161"/>
      <c r="J299" s="159"/>
      <c r="K299" s="51"/>
      <c r="M299" s="161"/>
      <c r="N299" s="162"/>
      <c r="O299" s="163"/>
      <c r="P299" s="14"/>
    </row>
    <row r="300" spans="3:19" ht="15" hidden="1" customHeight="1" outlineLevel="1" x14ac:dyDescent="0.25">
      <c r="C300" s="241"/>
      <c r="G300" s="11"/>
      <c r="H300" s="146"/>
      <c r="I300" s="134"/>
      <c r="J300" s="82"/>
      <c r="K300" s="51"/>
      <c r="L300" s="56"/>
      <c r="M300" s="56"/>
      <c r="N300" s="84"/>
      <c r="O300" s="88"/>
    </row>
    <row r="301" spans="3:19" hidden="1" outlineLevel="1" x14ac:dyDescent="0.25">
      <c r="C301" s="86" t="s">
        <v>488</v>
      </c>
      <c r="D301" t="s">
        <v>621</v>
      </c>
      <c r="E301" s="11" t="s">
        <v>46</v>
      </c>
      <c r="F301" s="11" t="s">
        <v>46</v>
      </c>
      <c r="G301" s="11"/>
      <c r="H301" s="143"/>
      <c r="I301" s="56">
        <f>6*300/65</f>
        <v>27.692307692307693</v>
      </c>
      <c r="J301" s="82">
        <f>(G301+H301)*I301</f>
        <v>0</v>
      </c>
      <c r="K301" s="51">
        <f>J301*Summary!$H$4</f>
        <v>0</v>
      </c>
      <c r="L301" s="53">
        <v>1631.4</v>
      </c>
      <c r="M301" s="56">
        <v>0</v>
      </c>
      <c r="N301" s="84">
        <f>((G301+H301)*L301)+((G301+H301)*M301)</f>
        <v>0</v>
      </c>
      <c r="O301" s="88">
        <f t="shared" ref="O301:O302" si="76">N301+K301</f>
        <v>0</v>
      </c>
    </row>
    <row r="302" spans="3:19" hidden="1" outlineLevel="1" x14ac:dyDescent="0.25">
      <c r="C302" s="86" t="s">
        <v>488</v>
      </c>
      <c r="D302" t="s">
        <v>622</v>
      </c>
      <c r="E302" s="11" t="s">
        <v>46</v>
      </c>
      <c r="F302" s="11" t="s">
        <v>46</v>
      </c>
      <c r="G302" s="11"/>
      <c r="H302" s="143"/>
      <c r="I302" s="56">
        <f>2*300/65</f>
        <v>9.2307692307692299</v>
      </c>
      <c r="J302" s="82">
        <f>(G302+H302)*I302</f>
        <v>0</v>
      </c>
      <c r="K302" s="51">
        <f>J302*Summary!$H$4</f>
        <v>0</v>
      </c>
      <c r="L302" s="53">
        <v>0</v>
      </c>
      <c r="M302" s="56">
        <v>0</v>
      </c>
      <c r="N302" s="84">
        <f>((G302+H302)*L302)+((G302+H302)*M302)</f>
        <v>0</v>
      </c>
      <c r="O302" s="88">
        <f t="shared" si="76"/>
        <v>0</v>
      </c>
    </row>
    <row r="303" spans="3:19" ht="15.75" hidden="1" outlineLevel="1" thickBot="1" x14ac:dyDescent="0.3">
      <c r="C303" s="86"/>
      <c r="G303" s="11"/>
      <c r="H303" s="143"/>
      <c r="I303" s="56"/>
      <c r="J303" s="82"/>
      <c r="K303" s="51"/>
      <c r="L303" s="53"/>
      <c r="M303" s="56"/>
      <c r="N303" s="84"/>
      <c r="O303" s="88"/>
    </row>
    <row r="304" spans="3:19" hidden="1" outlineLevel="1" x14ac:dyDescent="0.25">
      <c r="C304" s="405"/>
      <c r="D304" s="406" t="s">
        <v>584</v>
      </c>
      <c r="E304" s="407"/>
      <c r="F304" s="407"/>
      <c r="G304" s="408">
        <f>SUM(G298:G303)</f>
        <v>0</v>
      </c>
      <c r="H304" s="408"/>
      <c r="I304" s="408"/>
      <c r="J304" s="408">
        <f>SUM(J298:J303)</f>
        <v>0</v>
      </c>
      <c r="K304" s="409">
        <f>SUM(K298:K303)</f>
        <v>0</v>
      </c>
      <c r="L304" s="408"/>
      <c r="M304" s="408"/>
      <c r="N304" s="409">
        <f>SUM(N298:N303)</f>
        <v>0</v>
      </c>
      <c r="O304" s="410"/>
      <c r="R304" s="349"/>
      <c r="S304" s="349"/>
    </row>
    <row r="305" spans="1:73" hidden="1" outlineLevel="1" x14ac:dyDescent="0.25">
      <c r="C305" s="86"/>
      <c r="K305" s="1"/>
      <c r="O305" s="137"/>
    </row>
    <row r="306" spans="1:73" ht="15.75" hidden="1" outlineLevel="1" thickBot="1" x14ac:dyDescent="0.3">
      <c r="C306" s="86"/>
      <c r="K306" s="1"/>
      <c r="O306" s="137"/>
    </row>
    <row r="307" spans="1:73" s="437" customFormat="1" ht="22.5" customHeight="1" collapsed="1" thickTop="1" thickBot="1" x14ac:dyDescent="0.3">
      <c r="A307" s="512"/>
      <c r="B307" s="481"/>
      <c r="C307" s="272"/>
      <c r="D307" s="191" t="s">
        <v>585</v>
      </c>
      <c r="E307" s="191"/>
      <c r="F307" s="191"/>
      <c r="G307" s="274"/>
      <c r="H307" s="191"/>
      <c r="I307" s="191"/>
      <c r="J307" s="274">
        <f>J304+J297+J284+J277</f>
        <v>0</v>
      </c>
      <c r="K307" s="433">
        <f>K304+K297+K284+K277</f>
        <v>0</v>
      </c>
      <c r="L307" s="434"/>
      <c r="M307" s="191"/>
      <c r="N307" s="433">
        <f>N304+N297+N284+N277</f>
        <v>0</v>
      </c>
      <c r="O307" s="435"/>
      <c r="P307" s="436">
        <f>SUM(O250:O306)</f>
        <v>0</v>
      </c>
      <c r="Q307" s="437" t="str">
        <f>IF(P307=(N307+K307), "GOOD", "ERROR NEED CHECK")</f>
        <v>GOOD</v>
      </c>
      <c r="R307" s="349">
        <f t="shared" ref="R307" si="77">IF(F307="X", IF(G307&lt;&gt;"", IF(OR(I307&gt;0,O307&gt;0), "✔", "ERROR"),"ERROR"),0)</f>
        <v>0</v>
      </c>
      <c r="S307" s="349">
        <f t="shared" ref="S307" si="78">IF(E307="X", IF(G307&lt;&gt;"", IF(AND(N307&gt;0,O307&gt;0), "✔", "ERROR"),"ERROR"),0)</f>
        <v>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</row>
    <row r="308" spans="1:73" x14ac:dyDescent="0.25">
      <c r="E308"/>
      <c r="F308"/>
      <c r="K308" s="1"/>
      <c r="O308" s="1"/>
      <c r="P308" s="14"/>
    </row>
    <row r="309" spans="1:73" ht="15.75" thickBot="1" x14ac:dyDescent="0.3">
      <c r="E309"/>
      <c r="F309"/>
      <c r="K309" s="1"/>
      <c r="O309" s="1"/>
      <c r="P309" s="14"/>
    </row>
    <row r="310" spans="1:73" s="437" customFormat="1" ht="22.5" customHeight="1" thickBot="1" x14ac:dyDescent="0.3">
      <c r="A310" s="512"/>
      <c r="B310" s="481"/>
      <c r="C310" s="272"/>
      <c r="D310" s="479" t="s">
        <v>140</v>
      </c>
      <c r="E310" s="191"/>
      <c r="F310" s="191"/>
      <c r="G310" s="274"/>
      <c r="H310" s="438">
        <f>H239+H179+H109</f>
        <v>0</v>
      </c>
      <c r="I310" s="191"/>
      <c r="J310" s="274">
        <f>J248+J188+J119+J307</f>
        <v>0</v>
      </c>
      <c r="K310" s="433">
        <f>K248+K188+K119+K307</f>
        <v>0</v>
      </c>
      <c r="L310" s="434"/>
      <c r="M310" s="191"/>
      <c r="N310" s="433">
        <f>N248+N188+N119+N307</f>
        <v>0</v>
      </c>
      <c r="O310" s="435"/>
      <c r="P310" s="436">
        <f>SUM(P8:P309)</f>
        <v>0</v>
      </c>
      <c r="Q310" s="437" t="str">
        <f>IF(P310=(N310+K310), "GOOD", "ERROR NEED CHECK")</f>
        <v>GOOD</v>
      </c>
      <c r="R310" s="349">
        <f t="shared" ref="R310" si="79">IF(F310="X", IF(G310&lt;&gt;"", IF(OR(I310&gt;0,O310&gt;0), "✔", "ERROR"),"ERROR"),0)</f>
        <v>0</v>
      </c>
      <c r="S310" s="349">
        <f t="shared" ref="S310" si="80">IF(E310="X", IF(G310&lt;&gt;"", IF(AND(N310&gt;0,O310&gt;0), "✔", "ERROR"),"ERROR"),0)</f>
        <v>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</row>
    <row r="311" spans="1:73" x14ac:dyDescent="0.25">
      <c r="E311"/>
      <c r="F311"/>
      <c r="K311" s="1"/>
      <c r="O311" s="1"/>
      <c r="P311" s="14"/>
    </row>
    <row r="312" spans="1:73" ht="30" customHeight="1" thickBot="1" x14ac:dyDescent="0.3"/>
    <row r="313" spans="1:73" ht="21.75" thickBot="1" x14ac:dyDescent="0.3">
      <c r="C313" s="242" t="s">
        <v>142</v>
      </c>
      <c r="D313" s="243"/>
      <c r="E313" s="244"/>
      <c r="F313" s="244"/>
      <c r="G313" s="243"/>
      <c r="H313" s="243"/>
      <c r="I313" s="243"/>
      <c r="J313" s="243"/>
      <c r="K313" s="243"/>
      <c r="L313" s="243"/>
      <c r="M313" s="243"/>
      <c r="N313" s="243"/>
      <c r="O313" s="245"/>
      <c r="P313" s="14"/>
    </row>
    <row r="314" spans="1:73" ht="21" x14ac:dyDescent="0.25">
      <c r="C314" s="144"/>
      <c r="O314" s="87"/>
    </row>
    <row r="315" spans="1:73" ht="15.75" hidden="1" outlineLevel="1" x14ac:dyDescent="0.25">
      <c r="C315" s="471" t="s">
        <v>626</v>
      </c>
      <c r="D315" s="1" t="s">
        <v>627</v>
      </c>
      <c r="O315" s="87"/>
    </row>
    <row r="316" spans="1:73" hidden="1" outlineLevel="1" x14ac:dyDescent="0.25">
      <c r="C316" s="86"/>
      <c r="D316" s="279" t="s">
        <v>628</v>
      </c>
      <c r="E316" s="56"/>
      <c r="G316" s="56"/>
      <c r="H316" s="549">
        <v>0</v>
      </c>
      <c r="I316">
        <f>IFERROR(INDEX($U$28:$AF$79,MATCH(D333,$T$28:$T$79,0),MATCH(E333,$U$24:$AF$24,0)),0)</f>
        <v>0</v>
      </c>
      <c r="O316" s="87"/>
    </row>
    <row r="317" spans="1:73" hidden="1" outlineLevel="1" x14ac:dyDescent="0.25">
      <c r="C317" s="86"/>
      <c r="D317" s="279" t="s">
        <v>629</v>
      </c>
      <c r="F317"/>
      <c r="G317" s="313"/>
      <c r="H317" s="549">
        <v>0</v>
      </c>
      <c r="I317" s="83"/>
      <c r="O317" s="87"/>
    </row>
    <row r="318" spans="1:73" ht="15" hidden="1" customHeight="1" outlineLevel="1" x14ac:dyDescent="0.25">
      <c r="C318" s="86"/>
      <c r="D318" s="279" t="s">
        <v>630</v>
      </c>
      <c r="F318"/>
      <c r="G318" s="314">
        <f>I333</f>
        <v>0</v>
      </c>
      <c r="H318" s="549">
        <v>0</v>
      </c>
      <c r="I318" s="83"/>
      <c r="O318" s="87"/>
    </row>
    <row r="319" spans="1:73" hidden="1" outlineLevel="1" x14ac:dyDescent="0.25">
      <c r="C319" s="86"/>
      <c r="D319" s="1" t="s">
        <v>631</v>
      </c>
      <c r="E319" s="56"/>
      <c r="F319"/>
      <c r="G319" s="56"/>
      <c r="H319" s="82"/>
      <c r="I319" s="83"/>
      <c r="J319" s="52"/>
      <c r="K319" s="51"/>
      <c r="L319" s="84"/>
      <c r="M319" s="85"/>
      <c r="O319" s="136"/>
      <c r="P319" s="14"/>
    </row>
    <row r="320" spans="1:73" hidden="1" outlineLevel="1" x14ac:dyDescent="0.25">
      <c r="C320" s="86"/>
      <c r="D320" s="279" t="s">
        <v>613</v>
      </c>
      <c r="E320" s="11" t="s">
        <v>46</v>
      </c>
      <c r="F320" s="11" t="s">
        <v>46</v>
      </c>
      <c r="G320" s="56"/>
      <c r="H320" s="82">
        <f>SUM(H316:H318)</f>
        <v>0</v>
      </c>
      <c r="I320" s="52">
        <f>8/500*(120/65)</f>
        <v>2.9538461538461541E-2</v>
      </c>
      <c r="J320" s="82">
        <f>(G320+H320)*I320</f>
        <v>0</v>
      </c>
      <c r="K320" s="51">
        <f>J320*Summary!$H$4</f>
        <v>0</v>
      </c>
      <c r="L320" s="84"/>
      <c r="M320" s="85"/>
      <c r="O320" s="136">
        <f>N320+K320</f>
        <v>0</v>
      </c>
      <c r="P320" s="14"/>
    </row>
    <row r="321" spans="3:26" hidden="1" outlineLevel="1" x14ac:dyDescent="0.25">
      <c r="C321" s="86"/>
      <c r="D321" s="279" t="s">
        <v>634</v>
      </c>
      <c r="E321" s="11" t="s">
        <v>46</v>
      </c>
      <c r="F321" s="11" t="s">
        <v>46</v>
      </c>
      <c r="G321" s="56"/>
      <c r="H321" s="82">
        <f>D333*(ROUNDUP(E333/2,0))</f>
        <v>0</v>
      </c>
      <c r="I321" s="52">
        <f>8/270*(300/65)</f>
        <v>0.13675213675213674</v>
      </c>
      <c r="J321" s="82">
        <f>(G321+H321)*I321</f>
        <v>0</v>
      </c>
      <c r="K321" s="51">
        <f>J321*Summary!$H$4</f>
        <v>0</v>
      </c>
      <c r="L321" s="84"/>
      <c r="M321" s="85"/>
      <c r="O321" s="136">
        <f>N321+K321</f>
        <v>0</v>
      </c>
      <c r="P321" s="14"/>
    </row>
    <row r="322" spans="3:26" hidden="1" outlineLevel="1" x14ac:dyDescent="0.25">
      <c r="C322" s="86"/>
      <c r="D322" s="279" t="s">
        <v>635</v>
      </c>
      <c r="E322" s="11" t="s">
        <v>46</v>
      </c>
      <c r="F322" s="11" t="s">
        <v>46</v>
      </c>
      <c r="G322" s="56"/>
      <c r="H322" s="82">
        <f>G333/2</f>
        <v>0</v>
      </c>
      <c r="I322" s="52"/>
      <c r="J322" s="82"/>
      <c r="K322" s="51"/>
      <c r="L322" s="52">
        <v>30</v>
      </c>
      <c r="M322" s="85"/>
      <c r="N322" s="84">
        <f>L322*(H322+G322)</f>
        <v>0</v>
      </c>
      <c r="O322" s="136">
        <f>N322+K322</f>
        <v>0</v>
      </c>
      <c r="P322" s="14"/>
    </row>
    <row r="323" spans="3:26" hidden="1" outlineLevel="1" x14ac:dyDescent="0.25">
      <c r="C323" s="551">
        <v>0</v>
      </c>
      <c r="D323" s="279" t="s">
        <v>636</v>
      </c>
      <c r="E323" s="11" t="s">
        <v>46</v>
      </c>
      <c r="F323" s="11" t="s">
        <v>46</v>
      </c>
      <c r="G323" s="56"/>
      <c r="H323" s="82">
        <f>IF(C323="YES",(PRODUCT(C333:E333)-PRODUCT(H316:H318))/27*1.3,0)</f>
        <v>0</v>
      </c>
      <c r="I323" s="52"/>
      <c r="J323" s="82"/>
      <c r="K323" s="51"/>
      <c r="L323" s="52">
        <v>30</v>
      </c>
      <c r="M323" s="85"/>
      <c r="N323" s="84">
        <f>L323*(H323+G323)</f>
        <v>0</v>
      </c>
      <c r="O323" s="136">
        <f>N323+K323</f>
        <v>0</v>
      </c>
      <c r="P323" s="14"/>
    </row>
    <row r="324" spans="3:26" hidden="1" outlineLevel="1" x14ac:dyDescent="0.25">
      <c r="C324" s="86"/>
      <c r="D324" s="1" t="s">
        <v>608</v>
      </c>
      <c r="G324" s="56"/>
      <c r="H324" s="82"/>
      <c r="I324" s="52"/>
      <c r="J324" s="82"/>
      <c r="K324" s="51"/>
      <c r="L324" s="52"/>
      <c r="M324" s="85"/>
      <c r="O324" s="136"/>
      <c r="P324" s="14"/>
    </row>
    <row r="325" spans="3:26" hidden="1" outlineLevel="1" x14ac:dyDescent="0.25">
      <c r="C325" s="86"/>
      <c r="D325" s="279" t="s">
        <v>637</v>
      </c>
      <c r="E325" s="11" t="s">
        <v>46</v>
      </c>
      <c r="F325" s="11" t="s">
        <v>46</v>
      </c>
      <c r="G325" s="56"/>
      <c r="H325" s="82">
        <f>PRODUCT(H316:H318)*1.4/27*1.4</f>
        <v>0</v>
      </c>
      <c r="I325" s="52">
        <f>8/50*(128/65)</f>
        <v>0.31507692307692309</v>
      </c>
      <c r="J325" s="82">
        <f>(G325+H325)*I325</f>
        <v>0</v>
      </c>
      <c r="K325" s="51">
        <f>J325*Summary!$H$4</f>
        <v>0</v>
      </c>
      <c r="L325" s="52"/>
      <c r="M325" s="85"/>
      <c r="O325" s="136">
        <f t="shared" ref="O325:O326" si="81">N325+K325</f>
        <v>0</v>
      </c>
      <c r="P325" s="14"/>
    </row>
    <row r="326" spans="3:26" hidden="1" outlineLevel="1" x14ac:dyDescent="0.25">
      <c r="C326" s="86"/>
      <c r="D326" s="279" t="s">
        <v>616</v>
      </c>
      <c r="E326" s="11" t="s">
        <v>46</v>
      </c>
      <c r="F326" s="11" t="s">
        <v>46</v>
      </c>
      <c r="G326" s="56"/>
      <c r="H326" s="82">
        <f>(PRODUCT(C333:E333)-PRODUCT(H316:H318))*1.4*1.4/27</f>
        <v>0</v>
      </c>
      <c r="I326" s="52">
        <f>8/50*(128/65)</f>
        <v>0.31507692307692309</v>
      </c>
      <c r="J326" s="82">
        <f>(G326+H326)*I326</f>
        <v>0</v>
      </c>
      <c r="K326" s="51">
        <f>J326*Summary!$H$4</f>
        <v>0</v>
      </c>
      <c r="L326" s="52"/>
      <c r="M326" s="85"/>
      <c r="O326" s="136">
        <f t="shared" si="81"/>
        <v>0</v>
      </c>
      <c r="P326" s="14"/>
    </row>
    <row r="327" spans="3:26" ht="15" hidden="1" customHeight="1" outlineLevel="1" x14ac:dyDescent="0.25">
      <c r="C327" s="86"/>
      <c r="D327" s="279" t="s">
        <v>617</v>
      </c>
      <c r="E327" s="11" t="s">
        <v>46</v>
      </c>
      <c r="F327" s="11" t="s">
        <v>46</v>
      </c>
      <c r="G327" s="56"/>
      <c r="H327" s="82">
        <f>SUM(H325:H326)</f>
        <v>0</v>
      </c>
      <c r="I327" s="52"/>
      <c r="J327" s="82"/>
      <c r="K327" s="51"/>
      <c r="L327" s="52">
        <v>450</v>
      </c>
      <c r="M327" s="85"/>
      <c r="N327" s="84">
        <f>L327*ROUNDUP((H327+G327)/25,0)</f>
        <v>0</v>
      </c>
      <c r="O327" s="136">
        <f>N327+K327</f>
        <v>0</v>
      </c>
      <c r="P327" s="14"/>
    </row>
    <row r="328" spans="3:26" ht="15" hidden="1" customHeight="1" outlineLevel="1" x14ac:dyDescent="0.25">
      <c r="C328" s="86"/>
      <c r="D328" s="1" t="s">
        <v>279</v>
      </c>
      <c r="E328"/>
      <c r="F328"/>
      <c r="K328" s="1"/>
      <c r="O328" s="137"/>
      <c r="P328" s="315"/>
    </row>
    <row r="329" spans="3:26" ht="15" hidden="1" customHeight="1" outlineLevel="1" x14ac:dyDescent="0.25">
      <c r="C329" s="551">
        <v>0</v>
      </c>
      <c r="D329" s="279" t="s">
        <v>654</v>
      </c>
      <c r="E329" s="11" t="s">
        <v>46</v>
      </c>
      <c r="F329" s="11" t="s">
        <v>46</v>
      </c>
      <c r="G329">
        <f>IF(C329="YES",ROUNDUP(J321,0),0)</f>
        <v>0</v>
      </c>
      <c r="K329" s="1"/>
      <c r="L329" s="52">
        <f>1500/8</f>
        <v>187.5</v>
      </c>
      <c r="M329" s="85"/>
      <c r="N329" s="84">
        <f>IF(G329&gt;0,L329*(H329+G329)+3000,0)</f>
        <v>0</v>
      </c>
      <c r="O329" s="136">
        <f t="shared" ref="O329" si="82">N329+K329</f>
        <v>0</v>
      </c>
      <c r="P329" s="315"/>
    </row>
    <row r="330" spans="3:26" ht="15" hidden="1" customHeight="1" outlineLevel="1" thickBot="1" x14ac:dyDescent="0.3">
      <c r="C330" s="86"/>
      <c r="E330"/>
      <c r="F330"/>
      <c r="K330" s="1"/>
      <c r="L330" s="52"/>
      <c r="O330" s="137"/>
      <c r="P330" s="315"/>
    </row>
    <row r="331" spans="3:26" ht="15.75" hidden="1" customHeight="1" outlineLevel="1" thickBot="1" x14ac:dyDescent="0.3">
      <c r="C331" s="428"/>
      <c r="D331" s="428"/>
      <c r="E331" s="381"/>
      <c r="F331" s="381"/>
      <c r="G331" s="544"/>
      <c r="H331" s="1"/>
      <c r="J331" s="1"/>
      <c r="K331" s="1"/>
      <c r="O331" s="137"/>
    </row>
    <row r="332" spans="3:26" hidden="1" outlineLevel="1" x14ac:dyDescent="0.25">
      <c r="C332" s="196" t="s">
        <v>602</v>
      </c>
      <c r="D332" s="197" t="s">
        <v>632</v>
      </c>
      <c r="E332" s="197" t="s">
        <v>603</v>
      </c>
      <c r="F332" s="250" t="s">
        <v>633</v>
      </c>
      <c r="G332" s="318" t="s">
        <v>604</v>
      </c>
      <c r="H332" s="1"/>
      <c r="J332" s="1"/>
      <c r="K332" s="108"/>
      <c r="L332" s="108"/>
      <c r="M332" s="108"/>
      <c r="O332" s="137"/>
    </row>
    <row r="333" spans="3:26" ht="15.75" hidden="1" outlineLevel="1" thickBot="1" x14ac:dyDescent="0.3">
      <c r="C333" s="547">
        <f>H316</f>
        <v>0</v>
      </c>
      <c r="D333" s="546">
        <f>H317</f>
        <v>0</v>
      </c>
      <c r="E333" s="546">
        <f>H318</f>
        <v>0</v>
      </c>
      <c r="F333" s="545">
        <f>C333*D333*E333/27</f>
        <v>0</v>
      </c>
      <c r="G333" s="319">
        <f>ROUNDUP(F333*1.3,0)</f>
        <v>0</v>
      </c>
      <c r="H333" s="1"/>
      <c r="J333" s="1"/>
      <c r="K333" s="108"/>
      <c r="L333" s="108"/>
      <c r="M333" s="108"/>
      <c r="O333" s="137"/>
    </row>
    <row r="334" spans="3:26" hidden="1" outlineLevel="1" x14ac:dyDescent="0.25">
      <c r="C334" s="86"/>
      <c r="D334" s="11"/>
      <c r="K334" s="1"/>
      <c r="O334" s="137"/>
    </row>
    <row r="335" spans="3:26" ht="12" hidden="1" customHeight="1" outlineLevel="1" x14ac:dyDescent="0.25">
      <c r="C335" s="133"/>
      <c r="K335" s="51"/>
      <c r="N335" s="84"/>
      <c r="O335" s="8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3:26" ht="15.75" hidden="1" outlineLevel="1" thickBot="1" x14ac:dyDescent="0.3">
      <c r="C336" s="133"/>
      <c r="G336" s="11"/>
      <c r="H336" s="143"/>
      <c r="I336" s="52"/>
      <c r="J336" s="82"/>
      <c r="K336" s="51"/>
      <c r="L336" s="132"/>
      <c r="M336" s="56"/>
      <c r="N336" s="84"/>
      <c r="O336" s="88"/>
      <c r="Q336" s="1"/>
      <c r="R336" s="1"/>
      <c r="S336" s="1"/>
      <c r="T336" s="1"/>
      <c r="U336" s="1"/>
    </row>
    <row r="337" spans="1:26" s="1" customFormat="1" ht="15.75" hidden="1" outlineLevel="1" thickBot="1" x14ac:dyDescent="0.3">
      <c r="A337" s="513"/>
      <c r="C337" s="272"/>
      <c r="D337" s="273" t="s">
        <v>72</v>
      </c>
      <c r="E337" s="191"/>
      <c r="F337" s="191"/>
      <c r="G337" s="191"/>
      <c r="H337" s="274">
        <f>SUM(H314:H336)</f>
        <v>0</v>
      </c>
      <c r="I337" s="191"/>
      <c r="J337" s="275">
        <f>SUM(J314:J336)</f>
        <v>0</v>
      </c>
      <c r="K337" s="246">
        <f>SUM(K314:K336)</f>
        <v>0</v>
      </c>
      <c r="L337" s="191"/>
      <c r="M337" s="191"/>
      <c r="N337" s="246">
        <f>SUM(N314:N336)</f>
        <v>0</v>
      </c>
      <c r="O337" s="195"/>
      <c r="P337" s="14"/>
      <c r="V337"/>
      <c r="W337"/>
      <c r="X337"/>
      <c r="Y337"/>
      <c r="Z337"/>
    </row>
    <row r="338" spans="1:26" hidden="1" outlineLevel="1" x14ac:dyDescent="0.25">
      <c r="C338" s="86"/>
      <c r="G338" s="152"/>
      <c r="H338" s="108"/>
      <c r="I338" s="143"/>
      <c r="J338" s="143"/>
      <c r="K338" s="143"/>
      <c r="L338" s="143"/>
      <c r="M338" s="143"/>
      <c r="N338" s="143"/>
      <c r="O338" s="87"/>
      <c r="Q338" s="1"/>
      <c r="R338" s="1"/>
      <c r="S338" s="1"/>
      <c r="T338" s="1"/>
      <c r="U338" s="1"/>
    </row>
    <row r="339" spans="1:26" hidden="1" outlineLevel="1" x14ac:dyDescent="0.25">
      <c r="C339" s="81"/>
      <c r="G339" s="11"/>
      <c r="H339" s="143"/>
      <c r="I339" s="56"/>
      <c r="J339" s="82"/>
      <c r="K339" s="51"/>
      <c r="L339" s="53"/>
      <c r="M339" s="56"/>
      <c r="N339" s="84"/>
      <c r="O339" s="88"/>
      <c r="Q339" s="1"/>
      <c r="R339" s="1"/>
      <c r="S339" s="1"/>
      <c r="T339" s="1"/>
      <c r="U339" s="1"/>
    </row>
    <row r="340" spans="1:26" ht="21" hidden="1" outlineLevel="1" x14ac:dyDescent="0.35">
      <c r="C340" s="276" t="s">
        <v>143</v>
      </c>
      <c r="G340" s="11"/>
      <c r="H340" s="146"/>
      <c r="I340" s="147"/>
      <c r="O340" s="87"/>
      <c r="Q340" s="1"/>
      <c r="R340" s="1"/>
      <c r="S340" s="1"/>
      <c r="T340" s="1"/>
      <c r="U340" s="1"/>
    </row>
    <row r="341" spans="1:26" hidden="1" outlineLevel="1" x14ac:dyDescent="0.25">
      <c r="C341" s="126"/>
      <c r="G341" s="11"/>
      <c r="H341" s="146"/>
      <c r="I341" s="159"/>
      <c r="L341" s="148"/>
      <c r="O341" s="87"/>
      <c r="Q341" s="1"/>
      <c r="R341" s="1"/>
      <c r="S341" s="1"/>
      <c r="T341" s="1"/>
      <c r="U341" s="1"/>
    </row>
    <row r="342" spans="1:26" hidden="1" outlineLevel="1" x14ac:dyDescent="0.25">
      <c r="C342" s="133" t="s">
        <v>171</v>
      </c>
      <c r="D342" s="15"/>
      <c r="E342" s="11" t="s">
        <v>46</v>
      </c>
      <c r="F342" s="11" t="s">
        <v>46</v>
      </c>
      <c r="G342" s="11"/>
      <c r="H342" s="292">
        <v>0</v>
      </c>
      <c r="I342" s="52">
        <v>48</v>
      </c>
      <c r="J342" s="82">
        <f t="shared" ref="J342" si="83">(G342+H342)*I342</f>
        <v>0</v>
      </c>
      <c r="K342" s="170">
        <f>J342*Summary!$H$4</f>
        <v>0</v>
      </c>
      <c r="L342" s="56"/>
      <c r="M342" s="56">
        <v>0</v>
      </c>
      <c r="N342" s="84">
        <f t="shared" ref="N342" si="84">((G342+H342)*L342)+((G342+H342)*M342)</f>
        <v>0</v>
      </c>
      <c r="O342" s="167">
        <f t="shared" ref="O342" si="85">N342+K342</f>
        <v>0</v>
      </c>
      <c r="Q342" s="1"/>
      <c r="R342" s="1"/>
      <c r="S342" s="1"/>
      <c r="T342" s="1"/>
      <c r="U342" s="1"/>
    </row>
    <row r="343" spans="1:26" hidden="1" outlineLevel="1" x14ac:dyDescent="0.25">
      <c r="C343" s="293" t="s">
        <v>134</v>
      </c>
      <c r="D343" s="15"/>
      <c r="G343" s="11"/>
      <c r="H343" s="41"/>
      <c r="I343" s="52"/>
      <c r="J343" s="82"/>
      <c r="K343" s="170"/>
      <c r="L343" s="56"/>
      <c r="M343" s="56"/>
      <c r="N343" s="84"/>
      <c r="O343" s="167"/>
      <c r="Q343" s="1"/>
      <c r="R343" s="1"/>
      <c r="S343" s="1"/>
      <c r="T343" s="1"/>
      <c r="U343" s="1"/>
    </row>
    <row r="344" spans="1:26" hidden="1" outlineLevel="1" x14ac:dyDescent="0.25">
      <c r="C344" s="293"/>
      <c r="D344" s="15" t="s">
        <v>188</v>
      </c>
      <c r="E344" s="11" t="s">
        <v>46</v>
      </c>
      <c r="F344" s="11" t="s">
        <v>46</v>
      </c>
      <c r="G344" s="11"/>
      <c r="H344" s="292"/>
      <c r="I344" s="52"/>
      <c r="J344" s="82">
        <f t="shared" ref="J344:J347" si="86">(G344+H344)*I344</f>
        <v>0</v>
      </c>
      <c r="K344" s="170">
        <f>J344*Summary!$H$4</f>
        <v>0</v>
      </c>
      <c r="L344" s="56"/>
      <c r="M344" s="56">
        <v>0</v>
      </c>
      <c r="N344" s="84">
        <f t="shared" ref="N344:N347" si="87">((G344+H344)*L344)+((G344+H344)*M344)</f>
        <v>0</v>
      </c>
      <c r="O344" s="167">
        <f t="shared" ref="O344:O347" si="88">N344+K344</f>
        <v>0</v>
      </c>
      <c r="Q344" s="1"/>
      <c r="R344" s="1"/>
      <c r="S344" s="1"/>
      <c r="T344" s="1"/>
      <c r="U344" s="1"/>
    </row>
    <row r="345" spans="1:26" hidden="1" outlineLevel="1" x14ac:dyDescent="0.25">
      <c r="C345" s="293"/>
      <c r="D345" s="15" t="s">
        <v>189</v>
      </c>
      <c r="G345" s="11"/>
      <c r="H345" s="292"/>
      <c r="I345" s="52"/>
      <c r="J345" s="82"/>
      <c r="K345" s="170"/>
      <c r="L345" s="56"/>
      <c r="M345" s="56"/>
      <c r="N345" s="84"/>
      <c r="O345" s="167"/>
      <c r="Q345" s="1"/>
      <c r="R345" s="1"/>
      <c r="S345" s="1"/>
      <c r="T345" s="1"/>
      <c r="U345" s="1"/>
    </row>
    <row r="346" spans="1:26" hidden="1" outlineLevel="1" x14ac:dyDescent="0.25">
      <c r="C346" s="293"/>
      <c r="D346" s="15" t="s">
        <v>195</v>
      </c>
      <c r="E346" s="11" t="s">
        <v>46</v>
      </c>
      <c r="F346" s="11" t="s">
        <v>46</v>
      </c>
      <c r="G346" s="11"/>
      <c r="H346" s="292"/>
      <c r="I346" s="52"/>
      <c r="J346" s="82">
        <f t="shared" si="86"/>
        <v>0</v>
      </c>
      <c r="K346" s="170">
        <f>J346*Summary!$H$4</f>
        <v>0</v>
      </c>
      <c r="L346" s="56"/>
      <c r="M346" s="56">
        <v>0</v>
      </c>
      <c r="N346" s="84">
        <f t="shared" si="87"/>
        <v>0</v>
      </c>
      <c r="O346" s="167">
        <f t="shared" si="88"/>
        <v>0</v>
      </c>
      <c r="Q346" s="1"/>
      <c r="R346" s="1"/>
      <c r="S346" s="1"/>
      <c r="T346" s="1"/>
      <c r="U346" s="1"/>
    </row>
    <row r="347" spans="1:26" hidden="1" outlineLevel="1" x14ac:dyDescent="0.25">
      <c r="C347" s="293"/>
      <c r="D347" s="15" t="s">
        <v>196</v>
      </c>
      <c r="E347" s="11" t="s">
        <v>46</v>
      </c>
      <c r="F347" s="11" t="s">
        <v>46</v>
      </c>
      <c r="G347" s="11"/>
      <c r="H347" s="292"/>
      <c r="I347" s="52"/>
      <c r="J347" s="82">
        <f t="shared" si="86"/>
        <v>0</v>
      </c>
      <c r="K347" s="170">
        <f>J347*Summary!$H$4</f>
        <v>0</v>
      </c>
      <c r="L347" s="56"/>
      <c r="M347" s="56">
        <v>0</v>
      </c>
      <c r="N347" s="84">
        <f t="shared" si="87"/>
        <v>0</v>
      </c>
      <c r="O347" s="167">
        <f t="shared" si="88"/>
        <v>0</v>
      </c>
      <c r="Q347" s="1"/>
      <c r="R347" s="1"/>
      <c r="S347" s="1"/>
      <c r="T347" s="1"/>
      <c r="U347" s="1"/>
    </row>
    <row r="348" spans="1:26" hidden="1" outlineLevel="1" x14ac:dyDescent="0.25">
      <c r="C348" s="293"/>
      <c r="D348" s="15"/>
      <c r="G348" s="11"/>
      <c r="H348" s="292"/>
      <c r="I348" s="52"/>
      <c r="J348" s="82"/>
      <c r="K348" s="170"/>
      <c r="L348" s="56"/>
      <c r="M348" s="56"/>
      <c r="N348" s="84"/>
      <c r="O348" s="167"/>
      <c r="Q348" s="1"/>
      <c r="R348" s="1"/>
      <c r="S348" s="1"/>
      <c r="T348" s="1"/>
      <c r="U348" s="1"/>
    </row>
    <row r="349" spans="1:26" hidden="1" outlineLevel="1" x14ac:dyDescent="0.25">
      <c r="C349" s="133"/>
      <c r="D349" s="15" t="s">
        <v>194</v>
      </c>
      <c r="E349" s="11" t="s">
        <v>46</v>
      </c>
      <c r="F349" s="11" t="s">
        <v>46</v>
      </c>
      <c r="G349" s="11"/>
      <c r="H349" s="320">
        <v>0</v>
      </c>
      <c r="I349" s="52">
        <v>7.0000000000000007E-2</v>
      </c>
      <c r="J349" s="82">
        <f t="shared" ref="J349" si="89">(G349+H349)*I349</f>
        <v>0</v>
      </c>
      <c r="K349" s="170">
        <f>J349*Summary!$H$4</f>
        <v>0</v>
      </c>
      <c r="L349" s="56">
        <v>2.75</v>
      </c>
      <c r="M349" s="56">
        <v>0</v>
      </c>
      <c r="N349" s="84">
        <f t="shared" ref="N349" si="90">((G349+H349)*L349)+((G349+H349)*M349)</f>
        <v>0</v>
      </c>
      <c r="O349" s="167">
        <f t="shared" ref="O349" si="91">N349+K349</f>
        <v>0</v>
      </c>
      <c r="Q349" s="1"/>
      <c r="R349" s="1"/>
      <c r="S349" s="1"/>
      <c r="T349" s="1"/>
      <c r="U349" s="1"/>
    </row>
    <row r="350" spans="1:26" hidden="1" outlineLevel="1" x14ac:dyDescent="0.25">
      <c r="C350" s="133"/>
      <c r="D350" s="15"/>
      <c r="G350" s="11"/>
      <c r="H350" s="41"/>
      <c r="I350" s="52"/>
      <c r="J350" s="82"/>
      <c r="K350" s="170"/>
      <c r="L350" s="56"/>
      <c r="M350" s="56"/>
      <c r="N350" s="84"/>
      <c r="O350" s="16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idden="1" outlineLevel="1" x14ac:dyDescent="0.25">
      <c r="C351" s="133"/>
      <c r="G351" s="11"/>
      <c r="H351" s="143"/>
      <c r="I351" s="147"/>
      <c r="J351" s="82"/>
      <c r="K351" s="51"/>
      <c r="L351" s="148"/>
      <c r="M351" s="56"/>
      <c r="N351" s="84"/>
      <c r="O351" s="88"/>
      <c r="Q351" s="1"/>
      <c r="R351" s="1"/>
      <c r="S351" s="1"/>
      <c r="T351" s="1"/>
      <c r="U351" s="1"/>
    </row>
    <row r="352" spans="1:26" collapsed="1" x14ac:dyDescent="0.25">
      <c r="C352" s="86"/>
      <c r="G352" s="187"/>
      <c r="H352" s="188"/>
      <c r="I352" s="189"/>
      <c r="J352" s="189"/>
      <c r="K352" s="190"/>
      <c r="N352" s="190"/>
      <c r="O352" s="87"/>
      <c r="Q352" s="1"/>
      <c r="R352" s="1"/>
      <c r="S352" s="1"/>
    </row>
    <row r="353" spans="1:17" ht="21.75" thickBot="1" x14ac:dyDescent="0.4">
      <c r="C353" s="252"/>
      <c r="D353" s="253" t="s">
        <v>144</v>
      </c>
      <c r="E353" s="254"/>
      <c r="F353" s="254"/>
      <c r="G353" s="255">
        <f>G342</f>
        <v>0</v>
      </c>
      <c r="H353" s="255"/>
      <c r="I353" s="254"/>
      <c r="J353" s="256">
        <f>SUM(J337:J352)</f>
        <v>0</v>
      </c>
      <c r="K353" s="257">
        <f>SUM(K337:K352)</f>
        <v>0</v>
      </c>
      <c r="L353" s="254"/>
      <c r="M353" s="254"/>
      <c r="N353" s="257">
        <f>SUM(N337:N352)</f>
        <v>0</v>
      </c>
      <c r="O353" s="258"/>
      <c r="P353" s="436">
        <f>SUM(O314:O352)</f>
        <v>0</v>
      </c>
      <c r="Q353" s="437" t="str">
        <f>IF(P353=(N353+K353), "GOOD", "ERROR NEED CHECK")</f>
        <v>GOOD</v>
      </c>
    </row>
    <row r="354" spans="1:17" ht="15.75" thickTop="1" x14ac:dyDescent="0.25">
      <c r="G354" s="11"/>
      <c r="H354" s="143"/>
      <c r="I354" s="56"/>
      <c r="J354" s="82"/>
      <c r="K354" s="51"/>
      <c r="L354" s="53"/>
      <c r="M354" s="56"/>
      <c r="N354" s="84"/>
      <c r="O354" s="85"/>
    </row>
    <row r="355" spans="1:17" x14ac:dyDescent="0.25">
      <c r="G355" s="11"/>
      <c r="H355" s="143"/>
      <c r="I355" s="56"/>
      <c r="J355" s="82"/>
      <c r="K355" s="51"/>
      <c r="L355" s="53"/>
      <c r="M355" s="56"/>
      <c r="N355" s="84"/>
      <c r="O355" s="85"/>
    </row>
    <row r="356" spans="1:17" x14ac:dyDescent="0.25">
      <c r="G356" s="11"/>
      <c r="H356" s="143"/>
      <c r="I356" s="56"/>
      <c r="J356" s="82"/>
      <c r="K356" s="51"/>
      <c r="L356" s="53"/>
      <c r="M356" s="56"/>
      <c r="N356" s="84"/>
      <c r="O356" s="85"/>
    </row>
    <row r="357" spans="1:17" ht="15.75" thickBot="1" x14ac:dyDescent="0.3">
      <c r="G357" s="11"/>
      <c r="H357" s="143"/>
      <c r="I357" s="56"/>
      <c r="J357" s="82"/>
      <c r="K357" s="51"/>
      <c r="L357" s="53"/>
      <c r="M357" s="56"/>
      <c r="N357" s="84"/>
      <c r="O357" s="85"/>
    </row>
    <row r="358" spans="1:17" ht="21" x14ac:dyDescent="0.25">
      <c r="C358" s="265" t="s">
        <v>107</v>
      </c>
      <c r="D358" s="58"/>
      <c r="E358" s="80"/>
      <c r="F358" s="80"/>
      <c r="G358" s="80"/>
      <c r="H358" s="266"/>
      <c r="I358" s="267"/>
      <c r="J358" s="268"/>
      <c r="K358" s="269"/>
      <c r="L358" s="270"/>
      <c r="M358" s="271"/>
      <c r="N358" s="156"/>
      <c r="O358" s="157"/>
    </row>
    <row r="359" spans="1:17" x14ac:dyDescent="0.25">
      <c r="C359" s="86" t="s">
        <v>108</v>
      </c>
      <c r="D359" t="s">
        <v>115</v>
      </c>
      <c r="G359" s="322">
        <v>1</v>
      </c>
      <c r="H359" s="143"/>
      <c r="I359" s="147"/>
      <c r="J359" s="82">
        <f>(J239+J179+J109)*0.25</f>
        <v>0</v>
      </c>
      <c r="K359" s="51">
        <f>J359*Summary!$H$4</f>
        <v>0</v>
      </c>
      <c r="L359" s="53">
        <v>0</v>
      </c>
      <c r="M359" s="56">
        <v>0</v>
      </c>
      <c r="N359" s="84">
        <f>((G359+H359)*L359)+((G359+H359)*M359)</f>
        <v>0</v>
      </c>
      <c r="O359" s="88">
        <f>N359+K359</f>
        <v>0</v>
      </c>
    </row>
    <row r="360" spans="1:17" ht="15.75" thickBot="1" x14ac:dyDescent="0.3">
      <c r="C360" s="96"/>
      <c r="D360" s="135"/>
      <c r="E360" s="149"/>
      <c r="F360" s="149"/>
      <c r="G360" s="149"/>
      <c r="H360" s="150"/>
      <c r="I360" s="135"/>
      <c r="J360" s="135"/>
      <c r="K360" s="135"/>
      <c r="L360" s="135"/>
      <c r="M360" s="135"/>
      <c r="N360" s="135"/>
      <c r="O360" s="97"/>
    </row>
    <row r="361" spans="1:17" s="1" customFormat="1" ht="15.75" thickBot="1" x14ac:dyDescent="0.3">
      <c r="A361" s="513"/>
      <c r="C361" s="259"/>
      <c r="D361" s="260"/>
      <c r="E361" s="261"/>
      <c r="F361" s="261"/>
      <c r="G361" s="261"/>
      <c r="H361" s="262"/>
      <c r="I361" s="261"/>
      <c r="J361" s="263">
        <f>SUM(J359:J360)</f>
        <v>0</v>
      </c>
      <c r="K361" s="194">
        <f>SUM(K359:K360)</f>
        <v>0</v>
      </c>
      <c r="L361" s="261"/>
      <c r="M361" s="261"/>
      <c r="N361" s="194">
        <f>SUM(N359:N360)</f>
        <v>0</v>
      </c>
      <c r="O361" s="264"/>
      <c r="P361" s="436">
        <f>SUM(O358:O360)</f>
        <v>0</v>
      </c>
      <c r="Q361" s="437" t="str">
        <f>IF(P361=(N361+K361), "GOOD", "ERROR NEED CHECK")</f>
        <v>GOOD</v>
      </c>
    </row>
    <row r="362" spans="1:17" x14ac:dyDescent="0.25">
      <c r="G362" s="11"/>
    </row>
    <row r="363" spans="1:17" ht="23.25" x14ac:dyDescent="0.35">
      <c r="P363" s="220">
        <f>SUM(P310:P362)</f>
        <v>0</v>
      </c>
    </row>
    <row r="365" spans="1:17" ht="15.75" thickBot="1" x14ac:dyDescent="0.3"/>
    <row r="366" spans="1:17" x14ac:dyDescent="0.25">
      <c r="C366" s="65" t="s">
        <v>60</v>
      </c>
      <c r="D366" s="58"/>
      <c r="E366" s="66"/>
      <c r="I366" s="112" t="s">
        <v>116</v>
      </c>
      <c r="J366" s="199" t="e">
        <f>(#REF!+H337)/10</f>
        <v>#REF!</v>
      </c>
      <c r="L366" s="108"/>
    </row>
    <row r="367" spans="1:17" x14ac:dyDescent="0.25">
      <c r="C367" s="67" t="s">
        <v>45</v>
      </c>
      <c r="D367" s="38" t="s">
        <v>61</v>
      </c>
      <c r="E367" s="60" t="s">
        <v>62</v>
      </c>
      <c r="H367" s="108"/>
      <c r="I367" s="112" t="s">
        <v>118</v>
      </c>
      <c r="J367" s="199">
        <f>J359/8</f>
        <v>0</v>
      </c>
      <c r="L367" s="108"/>
    </row>
    <row r="368" spans="1:17" ht="15.75" thickBot="1" x14ac:dyDescent="0.3">
      <c r="C368" s="61" t="e">
        <f>C30+#REF!</f>
        <v>#REF!</v>
      </c>
      <c r="D368" s="62">
        <v>1.2500000000000001E-2</v>
      </c>
      <c r="E368" s="63" t="e">
        <f>C368*(1+D368)</f>
        <v>#REF!</v>
      </c>
      <c r="H368" s="108"/>
      <c r="I368" s="112" t="s">
        <v>117</v>
      </c>
      <c r="J368" s="200" t="e">
        <f>J366/J367</f>
        <v>#REF!</v>
      </c>
      <c r="L368" s="108"/>
    </row>
    <row r="369" spans="3:6" ht="15.75" thickBot="1" x14ac:dyDescent="0.3"/>
    <row r="370" spans="3:6" x14ac:dyDescent="0.25">
      <c r="C370" s="69" t="s">
        <v>63</v>
      </c>
      <c r="D370" s="70"/>
    </row>
    <row r="371" spans="3:6" x14ac:dyDescent="0.25">
      <c r="C371" s="71" t="s">
        <v>56</v>
      </c>
      <c r="D371" s="72">
        <v>0.125</v>
      </c>
    </row>
    <row r="372" spans="3:6" ht="15.75" thickBot="1" x14ac:dyDescent="0.3">
      <c r="C372" s="73" t="s">
        <v>57</v>
      </c>
      <c r="D372" s="74">
        <v>0.25</v>
      </c>
    </row>
    <row r="374" spans="3:6" x14ac:dyDescent="0.25">
      <c r="C374" t="s">
        <v>58</v>
      </c>
    </row>
    <row r="375" spans="3:6" x14ac:dyDescent="0.25">
      <c r="C375" t="s">
        <v>59</v>
      </c>
    </row>
    <row r="377" spans="3:6" x14ac:dyDescent="0.25">
      <c r="C377" s="1" t="s">
        <v>80</v>
      </c>
      <c r="E377"/>
      <c r="F377"/>
    </row>
    <row r="378" spans="3:6" x14ac:dyDescent="0.25">
      <c r="D378" t="s">
        <v>64</v>
      </c>
      <c r="E378"/>
      <c r="F378"/>
    </row>
    <row r="379" spans="3:6" x14ac:dyDescent="0.25">
      <c r="D379" t="s">
        <v>65</v>
      </c>
      <c r="E379">
        <v>70</v>
      </c>
      <c r="F379">
        <f>E379*3*65</f>
        <v>13650</v>
      </c>
    </row>
    <row r="380" spans="3:6" x14ac:dyDescent="0.25">
      <c r="D380" t="s">
        <v>197</v>
      </c>
      <c r="E380"/>
      <c r="F380" t="s">
        <v>198</v>
      </c>
    </row>
    <row r="382" spans="3:6" x14ac:dyDescent="0.25">
      <c r="E382" s="11" t="s">
        <v>67</v>
      </c>
    </row>
    <row r="383" spans="3:6" x14ac:dyDescent="0.25">
      <c r="C383" t="s">
        <v>66</v>
      </c>
      <c r="E383">
        <v>0.5</v>
      </c>
      <c r="F383">
        <f>E383*65</f>
        <v>32.5</v>
      </c>
    </row>
    <row r="389" spans="5:12" x14ac:dyDescent="0.25">
      <c r="E389"/>
      <c r="F389"/>
      <c r="K389" s="14"/>
    </row>
    <row r="390" spans="5:12" x14ac:dyDescent="0.25">
      <c r="E390"/>
      <c r="F390"/>
      <c r="K390" s="14"/>
      <c r="L390" s="3"/>
    </row>
    <row r="391" spans="5:12" x14ac:dyDescent="0.25">
      <c r="E391"/>
      <c r="F391"/>
      <c r="K391" s="14"/>
      <c r="L391" s="3"/>
    </row>
  </sheetData>
  <mergeCells count="15">
    <mergeCell ref="C286:D286"/>
    <mergeCell ref="C299:D299"/>
    <mergeCell ref="U7:Z7"/>
    <mergeCell ref="C181:D181"/>
    <mergeCell ref="C219:D219"/>
    <mergeCell ref="C226:D226"/>
    <mergeCell ref="C241:D241"/>
    <mergeCell ref="C279:D279"/>
    <mergeCell ref="C83:D83"/>
    <mergeCell ref="C91:D91"/>
    <mergeCell ref="C111:D111"/>
    <mergeCell ref="C151:D151"/>
    <mergeCell ref="C165:D165"/>
    <mergeCell ref="U189:X189"/>
    <mergeCell ref="U120:X120"/>
  </mergeCells>
  <dataValidations count="1">
    <dataValidation type="list" allowBlank="1" showInputMessage="1" showErrorMessage="1" sqref="D167 D228 D93 D99 D104" xr:uid="{00000000-0002-0000-0300-000000000000}">
      <formula1>$B$246:$B$273</formula1>
    </dataValidation>
  </dataValidations>
  <pageMargins left="0.7" right="0.7" top="0.75" bottom="0.75" header="0.3" footer="0.3"/>
  <pageSetup scale="27" orientation="portrait" horizontalDpi="1200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'Fixtures + Piping computation'!$B$310:$B$337</xm:f>
          </x14:formula1>
          <xm:sqref>D288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358"/>
  <sheetViews>
    <sheetView showZeros="0" zoomScale="85" zoomScaleNormal="85" zoomScaleSheetLayoutView="70" workbookViewId="0">
      <pane ySplit="2" topLeftCell="A36" activePane="bottomLeft" state="frozen"/>
      <selection pane="bottomLeft" activeCell="I210" sqref="I210"/>
    </sheetView>
  </sheetViews>
  <sheetFormatPr defaultColWidth="9.140625" defaultRowHeight="15" outlineLevelRow="1" x14ac:dyDescent="0.25"/>
  <cols>
    <col min="1" max="1" width="1.28515625" style="514" customWidth="1"/>
    <col min="2" max="2" width="2.140625" customWidth="1"/>
    <col min="3" max="3" width="36.85546875" customWidth="1"/>
    <col min="4" max="4" width="48.85546875" customWidth="1"/>
    <col min="5" max="5" width="12.140625" style="11" customWidth="1"/>
    <col min="6" max="6" width="15.28515625" style="11" customWidth="1"/>
    <col min="7" max="7" width="11.140625" customWidth="1"/>
    <col min="8" max="8" width="12.85546875" customWidth="1"/>
    <col min="9" max="9" width="20.85546875" customWidth="1"/>
    <col min="10" max="11" width="24.85546875" customWidth="1"/>
    <col min="12" max="14" width="23.42578125" customWidth="1"/>
    <col min="15" max="15" width="17.42578125" customWidth="1"/>
    <col min="16" max="16" width="17.140625" customWidth="1"/>
    <col min="18" max="19" width="9.5703125" bestFit="1" customWidth="1"/>
    <col min="20" max="20" width="15.7109375" customWidth="1"/>
    <col min="21" max="26" width="9.85546875" customWidth="1"/>
  </cols>
  <sheetData>
    <row r="1" spans="1:26" ht="6.75" customHeight="1" x14ac:dyDescent="0.25"/>
    <row r="2" spans="1:26" s="11" customFormat="1" ht="21" x14ac:dyDescent="0.25">
      <c r="A2" s="515"/>
      <c r="C2" s="13"/>
      <c r="D2" s="2" t="s">
        <v>5</v>
      </c>
      <c r="E2" s="2" t="s">
        <v>29</v>
      </c>
      <c r="F2" s="2" t="s">
        <v>30</v>
      </c>
      <c r="G2" s="2" t="s">
        <v>6</v>
      </c>
      <c r="H2" s="2" t="s">
        <v>55</v>
      </c>
      <c r="I2" s="2" t="s">
        <v>31</v>
      </c>
      <c r="J2" s="2" t="s">
        <v>1</v>
      </c>
      <c r="K2" s="2" t="s">
        <v>113</v>
      </c>
      <c r="L2" s="2" t="s">
        <v>32</v>
      </c>
      <c r="M2" s="2" t="s">
        <v>28</v>
      </c>
      <c r="N2" s="2" t="s">
        <v>114</v>
      </c>
      <c r="O2" s="2" t="s">
        <v>112</v>
      </c>
    </row>
    <row r="3" spans="1:26" ht="21.75" thickBot="1" x14ac:dyDescent="0.3">
      <c r="C3" s="467"/>
    </row>
    <row r="4" spans="1:26" x14ac:dyDescent="0.25">
      <c r="C4" s="446"/>
      <c r="D4" s="447"/>
      <c r="E4" s="448"/>
      <c r="F4" s="448"/>
      <c r="G4" s="447"/>
      <c r="H4" s="447"/>
      <c r="I4" s="447"/>
      <c r="J4" s="449"/>
      <c r="K4" s="450"/>
      <c r="L4" s="447"/>
      <c r="M4" s="447"/>
      <c r="N4" s="451"/>
      <c r="O4" s="452"/>
      <c r="P4" s="14"/>
      <c r="R4" s="348"/>
      <c r="S4" s="348"/>
    </row>
    <row r="5" spans="1:26" ht="21" x14ac:dyDescent="0.25">
      <c r="C5" s="632" t="s">
        <v>508</v>
      </c>
      <c r="D5" s="633"/>
      <c r="E5" s="455"/>
      <c r="F5" s="455"/>
      <c r="G5" s="454"/>
      <c r="H5" s="454"/>
      <c r="I5" s="454"/>
      <c r="J5" s="456"/>
      <c r="K5" s="457"/>
      <c r="L5" s="454"/>
      <c r="M5" s="454"/>
      <c r="N5" s="458"/>
      <c r="O5" s="459"/>
      <c r="P5" s="14"/>
      <c r="R5" s="348"/>
      <c r="S5" s="348"/>
    </row>
    <row r="6" spans="1:26" ht="15.75" thickBot="1" x14ac:dyDescent="0.3">
      <c r="C6" s="460"/>
      <c r="D6" s="461"/>
      <c r="E6" s="462"/>
      <c r="F6" s="462"/>
      <c r="G6" s="461"/>
      <c r="H6" s="461"/>
      <c r="I6" s="461"/>
      <c r="J6" s="463"/>
      <c r="K6" s="464"/>
      <c r="L6" s="461"/>
      <c r="M6" s="461"/>
      <c r="N6" s="465"/>
      <c r="O6" s="466"/>
      <c r="P6" s="14"/>
      <c r="R6" s="348"/>
      <c r="S6" s="348"/>
    </row>
    <row r="7" spans="1:26" ht="21.75" thickBot="1" x14ac:dyDescent="0.3">
      <c r="C7" s="468"/>
      <c r="D7" s="381"/>
      <c r="E7" s="396"/>
      <c r="F7" s="396"/>
      <c r="G7" s="381"/>
      <c r="H7" s="381"/>
      <c r="I7" s="381"/>
      <c r="J7" s="381"/>
      <c r="K7" s="381"/>
      <c r="L7" s="381"/>
      <c r="M7" s="381"/>
      <c r="N7" s="381"/>
      <c r="O7" s="381"/>
      <c r="U7" s="631" t="s">
        <v>141</v>
      </c>
      <c r="V7" s="631"/>
      <c r="W7" s="631"/>
      <c r="X7" s="631"/>
      <c r="Y7" s="631"/>
      <c r="Z7" s="631"/>
    </row>
    <row r="8" spans="1:26" ht="15.75" customHeight="1" thickBot="1" x14ac:dyDescent="0.3">
      <c r="C8" s="469"/>
      <c r="D8" s="390"/>
      <c r="E8" s="391"/>
      <c r="F8" s="391"/>
      <c r="G8" s="390"/>
      <c r="H8" s="390"/>
      <c r="I8" s="390"/>
      <c r="J8" s="390"/>
      <c r="K8" s="390"/>
      <c r="L8" s="390"/>
      <c r="M8" s="390"/>
      <c r="N8" s="390"/>
      <c r="O8" s="404"/>
      <c r="T8" t="s">
        <v>606</v>
      </c>
      <c r="U8" s="548">
        <v>6</v>
      </c>
      <c r="V8" s="548">
        <v>8</v>
      </c>
      <c r="W8" s="548">
        <v>10</v>
      </c>
      <c r="X8" s="548">
        <v>12</v>
      </c>
      <c r="Y8" s="548">
        <v>14</v>
      </c>
      <c r="Z8" s="548">
        <v>16</v>
      </c>
    </row>
    <row r="9" spans="1:26" ht="22.5" thickTop="1" thickBot="1" x14ac:dyDescent="0.4">
      <c r="C9" s="413" t="s">
        <v>509</v>
      </c>
      <c r="D9" s="414"/>
      <c r="E9" s="415"/>
      <c r="F9" s="415"/>
      <c r="G9" s="416"/>
      <c r="H9" s="417"/>
      <c r="I9" s="416"/>
      <c r="J9" s="418"/>
      <c r="K9" s="419"/>
      <c r="L9" s="416"/>
      <c r="M9" s="416"/>
      <c r="N9" s="420"/>
      <c r="O9" s="421"/>
      <c r="P9" s="14"/>
      <c r="R9" s="349">
        <f t="shared" ref="R9" si="0">IF(F9="X", IF(G9&lt;&gt;"", IF(OR(I9&lt;&gt;"",L9&lt;&gt;""), "✔", "ERROR"),"ERROR"),0)</f>
        <v>0</v>
      </c>
      <c r="S9" s="348"/>
      <c r="T9" s="10" t="s">
        <v>623</v>
      </c>
      <c r="U9" s="38">
        <v>400</v>
      </c>
      <c r="V9" s="38">
        <f>383-57</f>
        <v>326</v>
      </c>
      <c r="W9" s="36">
        <v>288</v>
      </c>
      <c r="X9" s="36">
        <v>230</v>
      </c>
      <c r="Y9" s="36">
        <v>190</v>
      </c>
      <c r="Z9" s="36">
        <v>150</v>
      </c>
    </row>
    <row r="10" spans="1:26" ht="21.75" outlineLevel="1" thickTop="1" x14ac:dyDescent="0.35">
      <c r="C10" s="470"/>
      <c r="D10" s="222"/>
      <c r="G10" s="52"/>
      <c r="I10" s="52"/>
      <c r="J10" s="82"/>
      <c r="K10" s="51"/>
      <c r="L10" s="52"/>
      <c r="M10" s="52"/>
      <c r="N10" s="170"/>
      <c r="O10" s="174"/>
      <c r="P10" s="14"/>
      <c r="R10" s="349"/>
      <c r="S10" s="348"/>
      <c r="U10" s="43"/>
    </row>
    <row r="11" spans="1:26" ht="15.75" outlineLevel="1" x14ac:dyDescent="0.25">
      <c r="C11" s="471" t="s">
        <v>484</v>
      </c>
      <c r="D11" s="1" t="s">
        <v>609</v>
      </c>
      <c r="O11" s="87"/>
    </row>
    <row r="12" spans="1:26" outlineLevel="1" x14ac:dyDescent="0.25">
      <c r="C12" s="86"/>
      <c r="D12" s="279" t="s">
        <v>607</v>
      </c>
      <c r="E12" s="56"/>
      <c r="G12" s="56"/>
      <c r="H12" s="549"/>
      <c r="I12">
        <f>IFERROR(INDEX($U$26:$AF$49,MATCH(D28,$T$26:$T$49,0),MATCH(E28,$U$22:$AF$22,0)),0)</f>
        <v>0</v>
      </c>
      <c r="O12" s="87"/>
    </row>
    <row r="13" spans="1:26" ht="15" customHeight="1" outlineLevel="1" x14ac:dyDescent="0.25">
      <c r="C13" s="86"/>
      <c r="D13" s="279" t="s">
        <v>611</v>
      </c>
      <c r="F13"/>
      <c r="G13" s="314">
        <f>I28</f>
        <v>0</v>
      </c>
      <c r="H13" s="549"/>
      <c r="I13" s="83"/>
      <c r="O13" s="87"/>
    </row>
    <row r="14" spans="1:26" outlineLevel="1" x14ac:dyDescent="0.25">
      <c r="C14" s="86"/>
      <c r="D14" s="1" t="s">
        <v>612</v>
      </c>
      <c r="E14" s="56"/>
      <c r="F14"/>
      <c r="G14" s="56"/>
      <c r="H14" s="82"/>
      <c r="I14" s="83"/>
      <c r="J14" s="52"/>
      <c r="K14" s="51"/>
      <c r="L14" s="84"/>
      <c r="M14" s="85"/>
      <c r="O14" s="136"/>
      <c r="P14" s="14"/>
    </row>
    <row r="15" spans="1:26" outlineLevel="1" x14ac:dyDescent="0.25">
      <c r="C15" s="86"/>
      <c r="D15" s="279" t="s">
        <v>613</v>
      </c>
      <c r="E15" s="11" t="s">
        <v>46</v>
      </c>
      <c r="F15" s="11" t="s">
        <v>46</v>
      </c>
      <c r="G15" s="56"/>
      <c r="H15" s="82">
        <f>SUM(H13:H13)</f>
        <v>0</v>
      </c>
      <c r="I15" s="52">
        <f>8/500*(120/65)</f>
        <v>2.9538461538461541E-2</v>
      </c>
      <c r="J15" s="82">
        <f>(G15+H15)*I15</f>
        <v>0</v>
      </c>
      <c r="K15" s="51">
        <f>J15*Summary!$H$4</f>
        <v>0</v>
      </c>
      <c r="L15" s="84"/>
      <c r="M15" s="85"/>
      <c r="O15" s="136">
        <f>N15+K15</f>
        <v>0</v>
      </c>
      <c r="P15" s="14"/>
    </row>
    <row r="16" spans="1:26" outlineLevel="1" x14ac:dyDescent="0.25">
      <c r="C16" s="86"/>
      <c r="D16" s="279" t="s">
        <v>620</v>
      </c>
      <c r="E16" s="11" t="s">
        <v>46</v>
      </c>
      <c r="F16" s="11" t="s">
        <v>46</v>
      </c>
      <c r="G16" s="56"/>
      <c r="H16" s="82">
        <f>SUM(H13:H13)</f>
        <v>0</v>
      </c>
      <c r="I16" s="564">
        <f>IF(H12&gt;0,8/IFERROR(INDEX($U$9:$Z$9,MATCH(H12,$U$8:$Z$8,0)),$U$9)*300/65*2,0)</f>
        <v>0</v>
      </c>
      <c r="J16" s="82">
        <f>(G16+H16)*I16</f>
        <v>0</v>
      </c>
      <c r="K16" s="51">
        <f>J16*Summary!$H$4</f>
        <v>0</v>
      </c>
      <c r="L16" s="84"/>
      <c r="M16" s="85"/>
      <c r="O16" s="136">
        <f>N16+K16</f>
        <v>0</v>
      </c>
      <c r="P16" s="14"/>
    </row>
    <row r="17" spans="3:32" outlineLevel="1" x14ac:dyDescent="0.25">
      <c r="C17" s="86"/>
      <c r="D17" s="279" t="s">
        <v>619</v>
      </c>
      <c r="E17" s="11" t="s">
        <v>46</v>
      </c>
      <c r="F17" s="11" t="s">
        <v>46</v>
      </c>
      <c r="G17" s="56"/>
      <c r="H17" s="82">
        <f>G28*1.1</f>
        <v>0</v>
      </c>
      <c r="I17" s="52"/>
      <c r="J17" s="82"/>
      <c r="K17" s="51"/>
      <c r="L17" s="52">
        <v>30</v>
      </c>
      <c r="M17" s="85"/>
      <c r="N17" s="84">
        <f>L17*(H17+G17)</f>
        <v>0</v>
      </c>
      <c r="O17" s="136">
        <f>N17+K17</f>
        <v>0</v>
      </c>
      <c r="P17" s="14"/>
    </row>
    <row r="18" spans="3:32" outlineLevel="1" x14ac:dyDescent="0.25">
      <c r="C18" s="86"/>
      <c r="D18" s="279" t="s">
        <v>614</v>
      </c>
      <c r="E18" s="11" t="s">
        <v>46</v>
      </c>
      <c r="F18" s="11" t="s">
        <v>46</v>
      </c>
      <c r="G18" s="56"/>
      <c r="H18" s="82">
        <f>SUM(H13:H13)</f>
        <v>0</v>
      </c>
      <c r="I18" s="52">
        <f>8/500*(100/65)</f>
        <v>2.4615384615384619E-2</v>
      </c>
      <c r="J18" s="82">
        <f>(G18+H18)*I18</f>
        <v>0</v>
      </c>
      <c r="K18" s="51">
        <f>J18*Summary!$H$4</f>
        <v>0</v>
      </c>
      <c r="L18" s="52"/>
      <c r="M18" s="85"/>
      <c r="O18" s="136">
        <f>N18+K18</f>
        <v>0</v>
      </c>
      <c r="P18" s="14"/>
    </row>
    <row r="19" spans="3:32" outlineLevel="1" x14ac:dyDescent="0.25">
      <c r="C19" s="86"/>
      <c r="D19" s="1" t="s">
        <v>608</v>
      </c>
      <c r="G19" s="56"/>
      <c r="H19" s="82"/>
      <c r="I19" s="52"/>
      <c r="J19" s="82"/>
      <c r="K19" s="51"/>
      <c r="L19" s="52"/>
      <c r="M19" s="85"/>
      <c r="O19" s="136"/>
      <c r="P19" s="14"/>
    </row>
    <row r="20" spans="3:32" outlineLevel="1" x14ac:dyDescent="0.25">
      <c r="C20" s="86"/>
      <c r="D20" s="279" t="s">
        <v>616</v>
      </c>
      <c r="E20" s="11" t="s">
        <v>46</v>
      </c>
      <c r="F20" s="11" t="s">
        <v>46</v>
      </c>
      <c r="G20" s="56"/>
      <c r="H20" s="82">
        <f>(H13*E28*D28)/27*1.4*1.1</f>
        <v>0</v>
      </c>
      <c r="I20" s="52">
        <f>8/50*(128/65)</f>
        <v>0.31507692307692309</v>
      </c>
      <c r="J20" s="82">
        <f>(G20+H20)*I20</f>
        <v>0</v>
      </c>
      <c r="K20" s="51">
        <f>J20*Summary!$H$4</f>
        <v>0</v>
      </c>
      <c r="L20" s="52"/>
      <c r="M20" s="85"/>
      <c r="O20" s="136">
        <f t="shared" ref="O20" si="1">N20+K20</f>
        <v>0</v>
      </c>
      <c r="P20" s="14"/>
    </row>
    <row r="21" spans="3:32" ht="15" customHeight="1" outlineLevel="1" x14ac:dyDescent="0.25">
      <c r="C21" s="86"/>
      <c r="D21" s="279" t="s">
        <v>617</v>
      </c>
      <c r="E21" s="11" t="s">
        <v>46</v>
      </c>
      <c r="F21" s="11" t="s">
        <v>46</v>
      </c>
      <c r="G21" s="56"/>
      <c r="H21" s="82">
        <f>SUM(H20:H20)</f>
        <v>0</v>
      </c>
      <c r="I21" s="52"/>
      <c r="J21" s="82"/>
      <c r="K21" s="51"/>
      <c r="L21" s="52">
        <v>450</v>
      </c>
      <c r="M21" s="85"/>
      <c r="N21" s="84">
        <f>L21*ROUNDUP((H21+G21)/25,0)</f>
        <v>0</v>
      </c>
      <c r="O21" s="136">
        <f>N21+K21</f>
        <v>0</v>
      </c>
      <c r="P21" s="14"/>
    </row>
    <row r="22" spans="3:32" ht="15" customHeight="1" outlineLevel="1" x14ac:dyDescent="0.25">
      <c r="C22" s="86"/>
      <c r="D22" s="1" t="s">
        <v>279</v>
      </c>
      <c r="E22"/>
      <c r="F22"/>
      <c r="K22" s="1"/>
      <c r="O22" s="137"/>
      <c r="P22" s="315"/>
    </row>
    <row r="23" spans="3:32" ht="15" customHeight="1" outlineLevel="1" x14ac:dyDescent="0.25">
      <c r="C23" s="551">
        <v>0</v>
      </c>
      <c r="D23" s="279" t="s">
        <v>654</v>
      </c>
      <c r="E23" s="11" t="s">
        <v>46</v>
      </c>
      <c r="F23" s="11" t="s">
        <v>46</v>
      </c>
      <c r="G23">
        <f>IF(C23="YES",ROUNDUP(J16,0),0)</f>
        <v>0</v>
      </c>
      <c r="K23" s="1"/>
      <c r="L23" s="52">
        <f>1500/8</f>
        <v>187.5</v>
      </c>
      <c r="M23" s="85"/>
      <c r="N23" s="84">
        <f>IF(G23&gt;0,L23*(H23+G23)+3000,0)</f>
        <v>0</v>
      </c>
      <c r="O23" s="136">
        <f t="shared" ref="O23" si="2">N23+K23</f>
        <v>0</v>
      </c>
      <c r="P23" s="315"/>
    </row>
    <row r="24" spans="3:32" ht="15" customHeight="1" outlineLevel="1" x14ac:dyDescent="0.25">
      <c r="C24" s="86"/>
      <c r="D24" s="279" t="s">
        <v>655</v>
      </c>
      <c r="E24" s="11" t="s">
        <v>46</v>
      </c>
      <c r="F24" s="11" t="s">
        <v>46</v>
      </c>
      <c r="G24">
        <f>IF(H12&gt;5,ROUNDUP(J16,0),0)</f>
        <v>0</v>
      </c>
      <c r="K24" s="1"/>
      <c r="L24" s="52">
        <v>30</v>
      </c>
      <c r="M24" s="85"/>
      <c r="N24" s="84">
        <f t="shared" ref="N24" si="3">L24*(H24+G24)</f>
        <v>0</v>
      </c>
      <c r="O24" s="136">
        <f>N24+K24</f>
        <v>0</v>
      </c>
      <c r="P24" s="315"/>
    </row>
    <row r="25" spans="3:32" ht="15" customHeight="1" outlineLevel="1" thickBot="1" x14ac:dyDescent="0.3">
      <c r="C25" s="86"/>
      <c r="E25"/>
      <c r="F25"/>
      <c r="K25" s="1"/>
      <c r="O25" s="137"/>
      <c r="P25" s="315"/>
    </row>
    <row r="26" spans="3:32" ht="15.75" customHeight="1" outlineLevel="1" thickBot="1" x14ac:dyDescent="0.3">
      <c r="C26" s="65" t="s">
        <v>54</v>
      </c>
      <c r="D26" s="428"/>
      <c r="E26" s="381"/>
      <c r="F26" s="381"/>
      <c r="G26" s="544"/>
      <c r="H26" s="1"/>
      <c r="I26" s="1"/>
      <c r="J26" s="1"/>
      <c r="K26" s="1"/>
      <c r="O26" s="137"/>
    </row>
    <row r="27" spans="3:32" outlineLevel="1" x14ac:dyDescent="0.25">
      <c r="C27" s="196" t="s">
        <v>601</v>
      </c>
      <c r="D27" s="197" t="s">
        <v>602</v>
      </c>
      <c r="E27" s="197" t="s">
        <v>603</v>
      </c>
      <c r="F27" s="250" t="s">
        <v>605</v>
      </c>
      <c r="G27" s="318" t="s">
        <v>604</v>
      </c>
      <c r="H27" s="1"/>
      <c r="J27" s="1"/>
      <c r="K27" s="108"/>
      <c r="L27" s="108"/>
      <c r="M27" s="108"/>
      <c r="O27" s="137"/>
    </row>
    <row r="28" spans="3:32" ht="15.75" outlineLevel="1" thickBot="1" x14ac:dyDescent="0.3">
      <c r="C28" s="547">
        <v>4</v>
      </c>
      <c r="D28" s="546">
        <f>1.5+C28/12</f>
        <v>1.8333333333333333</v>
      </c>
      <c r="E28" s="546">
        <f>2+C28/12</f>
        <v>2.3333333333333335</v>
      </c>
      <c r="F28" s="545">
        <f>(H13*E28*D28)/27</f>
        <v>0</v>
      </c>
      <c r="G28" s="319">
        <f>ROUNDUP(F28*1.3,0)</f>
        <v>0</v>
      </c>
      <c r="H28" s="1"/>
      <c r="J28" s="1"/>
      <c r="K28" s="108"/>
      <c r="L28" s="108"/>
      <c r="M28" s="108"/>
      <c r="O28" s="137"/>
    </row>
    <row r="29" spans="3:32" outlineLevel="1" x14ac:dyDescent="0.25">
      <c r="C29" s="86"/>
      <c r="D29" s="317" t="s">
        <v>600</v>
      </c>
      <c r="K29" s="1"/>
      <c r="O29" s="137"/>
    </row>
    <row r="30" spans="3:32" outlineLevel="1" x14ac:dyDescent="0.25">
      <c r="C30" s="86"/>
      <c r="D30" s="317" t="s">
        <v>599</v>
      </c>
      <c r="K30" s="1"/>
      <c r="O30" s="137"/>
    </row>
    <row r="31" spans="3:32" outlineLevel="1" x14ac:dyDescent="0.25">
      <c r="C31" s="86"/>
      <c r="D31" s="11"/>
      <c r="K31" s="1"/>
      <c r="O31" s="137"/>
      <c r="T31" s="38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</row>
    <row r="32" spans="3:32" ht="15.75" outlineLevel="1" thickBot="1" x14ac:dyDescent="0.3">
      <c r="C32" s="86"/>
      <c r="K32" s="1"/>
      <c r="O32" s="137"/>
    </row>
    <row r="33" spans="3:19" outlineLevel="1" x14ac:dyDescent="0.25">
      <c r="C33" s="405"/>
      <c r="D33" s="406" t="s">
        <v>485</v>
      </c>
      <c r="E33" s="407"/>
      <c r="F33" s="407"/>
      <c r="G33" s="408"/>
      <c r="H33" s="408"/>
      <c r="I33" s="408"/>
      <c r="J33" s="408">
        <f>SUM(J10:J32)</f>
        <v>0</v>
      </c>
      <c r="K33" s="409">
        <f>SUM(K10:K32)</f>
        <v>0</v>
      </c>
      <c r="L33" s="408"/>
      <c r="M33" s="408"/>
      <c r="N33" s="409">
        <f>SUM(N10:N32)</f>
        <v>0</v>
      </c>
      <c r="O33" s="410"/>
      <c r="R33" s="349"/>
      <c r="S33" s="349"/>
    </row>
    <row r="34" spans="3:19" outlineLevel="1" x14ac:dyDescent="0.25">
      <c r="C34" s="86"/>
      <c r="G34" s="11"/>
      <c r="I34" s="161"/>
      <c r="J34" s="159"/>
      <c r="K34" s="51"/>
      <c r="M34" s="161"/>
      <c r="N34" s="162"/>
      <c r="O34" s="163"/>
      <c r="P34" s="14"/>
    </row>
    <row r="35" spans="3:19" ht="15.75" outlineLevel="1" x14ac:dyDescent="0.25">
      <c r="C35" s="629" t="s">
        <v>715</v>
      </c>
      <c r="D35" s="630"/>
      <c r="G35" s="11"/>
      <c r="I35" s="161"/>
      <c r="J35" s="159"/>
      <c r="K35" s="51"/>
      <c r="M35" s="161"/>
      <c r="N35" s="162"/>
      <c r="O35" s="163"/>
      <c r="P35" s="14"/>
    </row>
    <row r="36" spans="3:19" outlineLevel="1" x14ac:dyDescent="0.25">
      <c r="C36" s="86"/>
      <c r="G36" s="11"/>
      <c r="I36" s="161"/>
      <c r="J36" s="159"/>
      <c r="K36" s="51"/>
      <c r="M36" s="161"/>
      <c r="N36" s="162"/>
      <c r="O36" s="163"/>
      <c r="P36" s="14"/>
    </row>
    <row r="37" spans="3:19" outlineLevel="1" x14ac:dyDescent="0.25">
      <c r="C37" s="126" t="s">
        <v>716</v>
      </c>
      <c r="D37" s="537" t="s">
        <v>98</v>
      </c>
      <c r="G37" s="11"/>
      <c r="H37" s="146"/>
      <c r="I37" s="159"/>
      <c r="L37" s="148"/>
      <c r="O37" s="87"/>
      <c r="P37" s="14"/>
    </row>
    <row r="38" spans="3:19" outlineLevel="1" x14ac:dyDescent="0.25">
      <c r="C38" s="133"/>
      <c r="D38" s="15" t="s">
        <v>38</v>
      </c>
      <c r="E38" s="11" t="s">
        <v>46</v>
      </c>
      <c r="F38" s="11" t="s">
        <v>46</v>
      </c>
      <c r="G38" s="11"/>
      <c r="H38" s="552"/>
      <c r="I38" s="52"/>
      <c r="J38" s="82"/>
      <c r="K38" s="170"/>
      <c r="L38" s="52"/>
      <c r="M38" s="56">
        <v>0</v>
      </c>
      <c r="N38" s="84">
        <f t="shared" ref="N38:N40" si="4">((G38+H38)*L38)+((G38+H38)*M38)</f>
        <v>0</v>
      </c>
      <c r="O38" s="167">
        <f t="shared" ref="O38:O40" si="5">N38+K38</f>
        <v>0</v>
      </c>
      <c r="P38" s="14"/>
    </row>
    <row r="39" spans="3:19" outlineLevel="1" x14ac:dyDescent="0.25">
      <c r="C39" s="576" t="s">
        <v>714</v>
      </c>
      <c r="D39" s="15" t="s">
        <v>129</v>
      </c>
      <c r="E39" s="11" t="s">
        <v>46</v>
      </c>
      <c r="F39" s="11" t="s">
        <v>46</v>
      </c>
      <c r="G39" s="11"/>
      <c r="H39" s="41">
        <f>10.6+10.6</f>
        <v>21.2</v>
      </c>
      <c r="I39" s="52"/>
      <c r="J39" s="82"/>
      <c r="K39" s="170"/>
      <c r="L39" s="52"/>
      <c r="M39" s="56">
        <v>0</v>
      </c>
      <c r="N39" s="84">
        <f t="shared" si="4"/>
        <v>0</v>
      </c>
      <c r="O39" s="167">
        <f t="shared" si="5"/>
        <v>0</v>
      </c>
      <c r="P39" s="14"/>
    </row>
    <row r="40" spans="3:19" outlineLevel="1" x14ac:dyDescent="0.25">
      <c r="C40" s="133"/>
      <c r="D40" s="15" t="s">
        <v>27</v>
      </c>
      <c r="E40" s="11" t="s">
        <v>46</v>
      </c>
      <c r="F40" s="11" t="s">
        <v>46</v>
      </c>
      <c r="G40" s="11"/>
      <c r="H40" s="552"/>
      <c r="I40" s="52"/>
      <c r="J40" s="82"/>
      <c r="K40" s="170"/>
      <c r="L40" s="52"/>
      <c r="M40" s="56">
        <v>0</v>
      </c>
      <c r="N40" s="84">
        <f t="shared" si="4"/>
        <v>0</v>
      </c>
      <c r="O40" s="167">
        <f t="shared" si="5"/>
        <v>0</v>
      </c>
      <c r="P40" s="14"/>
    </row>
    <row r="41" spans="3:19" outlineLevel="1" x14ac:dyDescent="0.25">
      <c r="C41" s="133"/>
      <c r="D41" s="15"/>
      <c r="G41" s="11"/>
      <c r="H41" s="53"/>
      <c r="I41" s="52"/>
      <c r="J41" s="82"/>
      <c r="K41" s="170"/>
      <c r="L41" s="52"/>
      <c r="M41" s="52"/>
      <c r="N41" s="170"/>
      <c r="O41" s="172"/>
      <c r="P41" s="14"/>
    </row>
    <row r="42" spans="3:19" outlineLevel="1" x14ac:dyDescent="0.25">
      <c r="C42" s="126" t="s">
        <v>567</v>
      </c>
      <c r="D42" s="537" t="s">
        <v>98</v>
      </c>
      <c r="G42" s="11"/>
      <c r="H42" s="41"/>
      <c r="I42" s="53"/>
      <c r="J42" s="41"/>
      <c r="K42" s="41"/>
      <c r="L42" s="53"/>
      <c r="M42" s="56"/>
      <c r="N42" s="84"/>
      <c r="O42" s="167"/>
    </row>
    <row r="43" spans="3:19" outlineLevel="1" x14ac:dyDescent="0.25">
      <c r="C43" s="126"/>
      <c r="D43" s="15" t="s">
        <v>26</v>
      </c>
      <c r="E43" s="11" t="s">
        <v>46</v>
      </c>
      <c r="F43" s="11" t="s">
        <v>46</v>
      </c>
      <c r="G43" s="11"/>
      <c r="H43" s="552">
        <v>23.8</v>
      </c>
      <c r="I43" s="52"/>
      <c r="J43" s="82"/>
      <c r="K43" s="170"/>
      <c r="L43" s="52"/>
      <c r="M43" s="56">
        <v>0</v>
      </c>
      <c r="N43" s="84">
        <f t="shared" ref="N43:N44" si="6">((G43+H43)*L43)+((G43+H43)*M43)</f>
        <v>0</v>
      </c>
      <c r="O43" s="167">
        <f t="shared" ref="O43:O44" si="7">N43+K43</f>
        <v>0</v>
      </c>
    </row>
    <row r="44" spans="3:19" outlineLevel="1" x14ac:dyDescent="0.25">
      <c r="C44" s="133"/>
      <c r="D44" s="15" t="s">
        <v>129</v>
      </c>
      <c r="E44" s="11" t="s">
        <v>46</v>
      </c>
      <c r="F44" s="11" t="s">
        <v>46</v>
      </c>
      <c r="G44" s="11"/>
      <c r="H44" s="552">
        <v>57.5</v>
      </c>
      <c r="I44" s="52"/>
      <c r="J44" s="82"/>
      <c r="K44" s="170"/>
      <c r="L44" s="52"/>
      <c r="M44" s="56">
        <v>0</v>
      </c>
      <c r="N44" s="84">
        <f t="shared" si="6"/>
        <v>0</v>
      </c>
      <c r="O44" s="167">
        <f t="shared" si="7"/>
        <v>0</v>
      </c>
      <c r="P44" s="14"/>
    </row>
    <row r="45" spans="3:19" outlineLevel="1" x14ac:dyDescent="0.25">
      <c r="C45" s="133"/>
      <c r="D45" s="15" t="s">
        <v>27</v>
      </c>
      <c r="E45" s="11" t="s">
        <v>46</v>
      </c>
      <c r="F45" s="11" t="s">
        <v>46</v>
      </c>
      <c r="G45" s="11"/>
      <c r="H45" s="552">
        <f>78.2+5</f>
        <v>83.2</v>
      </c>
      <c r="I45" s="52"/>
      <c r="J45" s="82"/>
      <c r="K45" s="170"/>
      <c r="L45" s="52"/>
      <c r="M45" s="56">
        <v>0</v>
      </c>
      <c r="N45" s="84">
        <f t="shared" ref="N45" si="8">((G45+H45)*L45)+((G45+H45)*M45)</f>
        <v>0</v>
      </c>
      <c r="O45" s="167">
        <f t="shared" ref="O45:O46" si="9">N45+K45</f>
        <v>0</v>
      </c>
      <c r="P45" s="14"/>
    </row>
    <row r="46" spans="3:19" outlineLevel="1" x14ac:dyDescent="0.25">
      <c r="C46" s="133" t="s">
        <v>705</v>
      </c>
      <c r="E46" s="11" t="s">
        <v>46</v>
      </c>
      <c r="F46" s="11" t="s">
        <v>46</v>
      </c>
      <c r="G46" s="11">
        <v>1</v>
      </c>
      <c r="H46" s="143"/>
      <c r="I46" s="52"/>
      <c r="J46" s="82"/>
      <c r="K46" s="51"/>
      <c r="L46" s="132"/>
      <c r="M46" s="56"/>
      <c r="N46" s="84">
        <f>SUM(N38:N45)*0.05</f>
        <v>0</v>
      </c>
      <c r="O46" s="167">
        <f t="shared" si="9"/>
        <v>0</v>
      </c>
      <c r="P46" s="14"/>
    </row>
    <row r="47" spans="3:19" ht="15.75" outlineLevel="1" thickBot="1" x14ac:dyDescent="0.3">
      <c r="C47" s="208"/>
      <c r="D47" s="10"/>
      <c r="G47" s="209"/>
      <c r="H47" s="169"/>
      <c r="I47" s="52"/>
      <c r="J47" s="207"/>
      <c r="K47" s="138"/>
      <c r="N47" s="138"/>
      <c r="O47" s="167"/>
      <c r="R47" s="349"/>
      <c r="S47" s="349"/>
    </row>
    <row r="48" spans="3:19" outlineLevel="1" x14ac:dyDescent="0.25">
      <c r="C48" s="405"/>
      <c r="D48" s="406" t="s">
        <v>489</v>
      </c>
      <c r="E48" s="407"/>
      <c r="F48" s="407"/>
      <c r="G48" s="408"/>
      <c r="H48" s="408">
        <f>SUM(H34:H46)</f>
        <v>185.7</v>
      </c>
      <c r="I48" s="408"/>
      <c r="J48" s="408">
        <f>SUM(J34:J47)</f>
        <v>0</v>
      </c>
      <c r="K48" s="409">
        <f>SUM(K34:K47)</f>
        <v>0</v>
      </c>
      <c r="L48" s="408"/>
      <c r="M48" s="408"/>
      <c r="N48" s="409">
        <f>SUM(N34:N47)</f>
        <v>0</v>
      </c>
      <c r="O48" s="410"/>
      <c r="R48" s="349"/>
      <c r="S48" s="349"/>
    </row>
    <row r="49" spans="1:73" outlineLevel="1" x14ac:dyDescent="0.25">
      <c r="C49" s="86"/>
      <c r="E49"/>
      <c r="F49"/>
      <c r="K49" s="1"/>
      <c r="O49" s="137"/>
      <c r="P49" s="14"/>
    </row>
    <row r="50" spans="1:73" ht="15.75" outlineLevel="1" x14ac:dyDescent="0.25">
      <c r="C50" s="629" t="s">
        <v>510</v>
      </c>
      <c r="D50" s="630"/>
      <c r="G50" s="11"/>
      <c r="I50" s="161"/>
      <c r="J50" s="159"/>
      <c r="K50" s="51"/>
      <c r="M50" s="161"/>
      <c r="N50" s="162"/>
      <c r="O50" s="163"/>
      <c r="P50" s="14"/>
    </row>
    <row r="51" spans="1:73" ht="15" customHeight="1" outlineLevel="1" x14ac:dyDescent="0.25">
      <c r="C51" s="241"/>
      <c r="G51" s="11"/>
      <c r="H51" s="146"/>
      <c r="I51" s="134"/>
      <c r="J51" s="82"/>
      <c r="K51" s="51"/>
      <c r="L51" s="56"/>
      <c r="M51" s="56"/>
      <c r="N51" s="84"/>
      <c r="O51" s="88"/>
    </row>
    <row r="52" spans="1:73" outlineLevel="1" x14ac:dyDescent="0.25">
      <c r="C52" s="86" t="s">
        <v>92</v>
      </c>
      <c r="E52" s="11" t="s">
        <v>46</v>
      </c>
      <c r="F52" s="11" t="s">
        <v>46</v>
      </c>
      <c r="G52" s="11"/>
      <c r="H52" s="143"/>
      <c r="I52" s="56"/>
      <c r="J52" s="82">
        <f>(G52+H52)*I52</f>
        <v>0</v>
      </c>
      <c r="K52" s="51">
        <f>J52*Summary!$H$4</f>
        <v>0</v>
      </c>
      <c r="L52" s="53">
        <v>0</v>
      </c>
      <c r="M52" s="56">
        <v>0</v>
      </c>
      <c r="N52" s="84">
        <f>((G52+H52)*L52)+((G52+H52)*M52)</f>
        <v>0</v>
      </c>
      <c r="O52" s="88">
        <f t="shared" ref="O52:O53" si="10">N52+K52</f>
        <v>0</v>
      </c>
    </row>
    <row r="53" spans="1:73" outlineLevel="1" x14ac:dyDescent="0.25">
      <c r="C53" s="86" t="s">
        <v>586</v>
      </c>
      <c r="E53" s="11" t="s">
        <v>46</v>
      </c>
      <c r="F53" s="11" t="s">
        <v>46</v>
      </c>
      <c r="G53" s="11">
        <v>1</v>
      </c>
      <c r="H53" s="143"/>
      <c r="I53" s="56"/>
      <c r="J53" s="82">
        <f>(G53+H53)*I53</f>
        <v>0</v>
      </c>
      <c r="K53" s="51">
        <f>J53*Summary!$H$4</f>
        <v>0</v>
      </c>
      <c r="L53" s="53">
        <v>0</v>
      </c>
      <c r="M53" s="56">
        <v>0</v>
      </c>
      <c r="N53" s="84">
        <f>((G53+H53)*L53)+((G53+H53)*M53)</f>
        <v>0</v>
      </c>
      <c r="O53" s="88">
        <f t="shared" si="10"/>
        <v>0</v>
      </c>
    </row>
    <row r="54" spans="1:73" outlineLevel="1" x14ac:dyDescent="0.25">
      <c r="C54" s="86" t="s">
        <v>91</v>
      </c>
      <c r="E54" s="11" t="s">
        <v>46</v>
      </c>
      <c r="F54" s="11" t="s">
        <v>46</v>
      </c>
      <c r="G54" s="11"/>
      <c r="H54" s="143"/>
      <c r="I54" s="56"/>
      <c r="J54" s="82">
        <f>(G54+H54)*I54</f>
        <v>0</v>
      </c>
      <c r="K54" s="51">
        <f>J54*Summary!$H$4</f>
        <v>0</v>
      </c>
      <c r="L54" s="53">
        <v>0</v>
      </c>
      <c r="M54" s="56">
        <v>0</v>
      </c>
      <c r="N54" s="84">
        <f>((G54+H54)*L54)+((G54+H54)*M54)</f>
        <v>0</v>
      </c>
      <c r="O54" s="88">
        <f t="shared" ref="O54" si="11">N54+K54</f>
        <v>0</v>
      </c>
    </row>
    <row r="55" spans="1:73" ht="15.75" outlineLevel="1" thickBot="1" x14ac:dyDescent="0.3">
      <c r="C55" s="86"/>
      <c r="G55" s="11"/>
      <c r="H55" s="143"/>
      <c r="I55" s="56"/>
      <c r="J55" s="82"/>
      <c r="K55" s="51"/>
      <c r="L55" s="53"/>
      <c r="M55" s="56"/>
      <c r="N55" s="84"/>
      <c r="O55" s="88"/>
    </row>
    <row r="56" spans="1:73" outlineLevel="1" x14ac:dyDescent="0.25">
      <c r="C56" s="405"/>
      <c r="D56" s="406" t="s">
        <v>511</v>
      </c>
      <c r="E56" s="407"/>
      <c r="F56" s="407"/>
      <c r="G56" s="408">
        <f>SUM(G49:G55)</f>
        <v>1</v>
      </c>
      <c r="H56" s="408"/>
      <c r="I56" s="408"/>
      <c r="J56" s="408">
        <f>SUM(J49:J55)</f>
        <v>0</v>
      </c>
      <c r="K56" s="409">
        <f>SUM(K49:K55)</f>
        <v>0</v>
      </c>
      <c r="L56" s="408"/>
      <c r="M56" s="408"/>
      <c r="N56" s="409">
        <f>SUM(N49:N55)</f>
        <v>0</v>
      </c>
      <c r="O56" s="410"/>
      <c r="R56" s="349"/>
      <c r="S56" s="349"/>
    </row>
    <row r="57" spans="1:73" outlineLevel="1" x14ac:dyDescent="0.25">
      <c r="C57" s="86"/>
      <c r="K57" s="1"/>
      <c r="O57" s="137"/>
    </row>
    <row r="58" spans="1:73" ht="15.75" outlineLevel="1" thickBot="1" x14ac:dyDescent="0.3">
      <c r="C58" s="86"/>
      <c r="K58" s="1"/>
      <c r="O58" s="137"/>
    </row>
    <row r="59" spans="1:73" s="437" customFormat="1" ht="22.5" customHeight="1" thickBot="1" x14ac:dyDescent="0.3">
      <c r="A59" s="516"/>
      <c r="C59" s="272"/>
      <c r="D59" s="191" t="s">
        <v>514</v>
      </c>
      <c r="E59" s="191"/>
      <c r="F59" s="191"/>
      <c r="G59" s="274"/>
      <c r="H59" s="191"/>
      <c r="I59" s="191"/>
      <c r="J59" s="274">
        <f>J56+J48+J33</f>
        <v>0</v>
      </c>
      <c r="K59" s="433">
        <f>K56+K48+K33</f>
        <v>0</v>
      </c>
      <c r="L59" s="434"/>
      <c r="M59" s="191"/>
      <c r="N59" s="433">
        <f>N56+N48+N33</f>
        <v>0</v>
      </c>
      <c r="O59" s="435"/>
      <c r="P59" s="436">
        <f>SUM(O10:O58)</f>
        <v>0</v>
      </c>
      <c r="Q59" s="437" t="str">
        <f>IF(P59=(N59+K59), "GOOD", "ERROR NEED CHECK")</f>
        <v>GOOD</v>
      </c>
      <c r="R59" s="349">
        <f t="shared" ref="R59" si="12">IF(F59="X", IF(G59&lt;&gt;"", IF(OR(I59&gt;0,O59&gt;0), "✔", "ERROR"),"ERROR"),0)</f>
        <v>0</v>
      </c>
      <c r="S59" s="349">
        <f t="shared" ref="S59" si="13">IF(E59="X", IF(G59&lt;&gt;"", IF(AND(N59&gt;0,O59&gt;0), "✔", "ERROR"),"ERROR"),0)</f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</row>
    <row r="60" spans="1:73" ht="15.75" thickBot="1" x14ac:dyDescent="0.3">
      <c r="C60" s="381"/>
      <c r="D60" s="381"/>
      <c r="E60" s="396"/>
      <c r="F60" s="396"/>
      <c r="G60" s="381"/>
      <c r="H60" s="381"/>
      <c r="I60" s="381"/>
      <c r="J60" s="381"/>
      <c r="K60" s="212"/>
      <c r="L60" s="381"/>
      <c r="M60" s="381"/>
      <c r="N60" s="381"/>
      <c r="O60" s="212"/>
      <c r="U60" s="631" t="s">
        <v>646</v>
      </c>
      <c r="V60" s="631"/>
      <c r="W60" s="631"/>
      <c r="X60" s="631"/>
    </row>
    <row r="61" spans="1:73" ht="15.75" thickBot="1" x14ac:dyDescent="0.3">
      <c r="C61" s="389"/>
      <c r="D61" s="390"/>
      <c r="E61" s="391"/>
      <c r="F61" s="391"/>
      <c r="G61" s="390"/>
      <c r="H61" s="390"/>
      <c r="I61" s="390"/>
      <c r="J61" s="390"/>
      <c r="K61" s="477"/>
      <c r="L61" s="390"/>
      <c r="M61" s="390"/>
      <c r="N61" s="390"/>
      <c r="O61" s="478"/>
      <c r="T61" t="s">
        <v>647</v>
      </c>
      <c r="U61" s="548">
        <v>1</v>
      </c>
      <c r="V61" s="548">
        <v>2</v>
      </c>
      <c r="W61" s="548">
        <v>3</v>
      </c>
      <c r="X61" s="548">
        <v>4</v>
      </c>
    </row>
    <row r="62" spans="1:73" ht="22.5" thickTop="1" thickBot="1" x14ac:dyDescent="0.4">
      <c r="C62" s="413" t="s">
        <v>512</v>
      </c>
      <c r="D62" s="414"/>
      <c r="E62" s="415"/>
      <c r="F62" s="415"/>
      <c r="G62" s="416"/>
      <c r="H62" s="417"/>
      <c r="I62" s="416"/>
      <c r="J62" s="418"/>
      <c r="K62" s="419"/>
      <c r="L62" s="416"/>
      <c r="M62" s="416"/>
      <c r="N62" s="420"/>
      <c r="O62" s="421"/>
      <c r="P62" s="14"/>
      <c r="R62" s="349">
        <f t="shared" ref="R62" si="14">IF(F62="X", IF(G62&lt;&gt;"", IF(OR(I62&lt;&gt;"",L62&lt;&gt;""), "✔", "ERROR"),"ERROR"),0)</f>
        <v>0</v>
      </c>
      <c r="S62" s="348"/>
      <c r="T62" s="10" t="s">
        <v>648</v>
      </c>
      <c r="U62" s="38">
        <v>400</v>
      </c>
      <c r="V62" s="38">
        <v>350</v>
      </c>
      <c r="W62" s="36">
        <v>250</v>
      </c>
      <c r="X62" s="36">
        <v>200</v>
      </c>
    </row>
    <row r="63" spans="1:73" ht="15.75" outlineLevel="1" thickTop="1" x14ac:dyDescent="0.25">
      <c r="C63" s="86"/>
      <c r="K63" s="1"/>
      <c r="O63" s="137"/>
    </row>
    <row r="64" spans="1:73" ht="15.75" outlineLevel="1" x14ac:dyDescent="0.25">
      <c r="C64" s="471" t="s">
        <v>484</v>
      </c>
      <c r="D64" s="1" t="s">
        <v>609</v>
      </c>
      <c r="O64" s="87"/>
    </row>
    <row r="65" spans="3:16" outlineLevel="1" x14ac:dyDescent="0.25">
      <c r="C65" s="86"/>
      <c r="D65" s="279" t="s">
        <v>607</v>
      </c>
      <c r="E65" s="56"/>
      <c r="G65" s="56"/>
      <c r="H65" s="549"/>
      <c r="I65">
        <f>IFERROR(INDEX($U$26:$AF$49,MATCH(D81,$T$26:$T$49,0),MATCH(E81,$U$22:$AF$22,0)),0)</f>
        <v>0</v>
      </c>
      <c r="O65" s="87"/>
    </row>
    <row r="66" spans="3:16" ht="15" customHeight="1" outlineLevel="1" x14ac:dyDescent="0.25">
      <c r="C66" s="86"/>
      <c r="D66" s="279" t="s">
        <v>611</v>
      </c>
      <c r="F66"/>
      <c r="G66" s="314">
        <f>I81</f>
        <v>0</v>
      </c>
      <c r="H66" s="549"/>
      <c r="I66" s="83"/>
      <c r="O66" s="87"/>
    </row>
    <row r="67" spans="3:16" outlineLevel="1" x14ac:dyDescent="0.25">
      <c r="C67" s="86"/>
      <c r="D67" s="1" t="s">
        <v>612</v>
      </c>
      <c r="E67" s="56"/>
      <c r="F67"/>
      <c r="G67" s="56"/>
      <c r="H67" s="82"/>
      <c r="I67" s="83"/>
      <c r="J67" s="52"/>
      <c r="K67" s="51"/>
      <c r="L67" s="84"/>
      <c r="M67" s="85"/>
      <c r="O67" s="136"/>
      <c r="P67" s="14"/>
    </row>
    <row r="68" spans="3:16" outlineLevel="1" x14ac:dyDescent="0.25">
      <c r="C68" s="86"/>
      <c r="D68" s="279" t="s">
        <v>613</v>
      </c>
      <c r="E68" s="11" t="s">
        <v>46</v>
      </c>
      <c r="F68" s="11" t="s">
        <v>46</v>
      </c>
      <c r="G68" s="56"/>
      <c r="H68" s="82">
        <f>SUM(H66:H66)</f>
        <v>0</v>
      </c>
      <c r="I68" s="52">
        <f>8/500*(120/65)</f>
        <v>2.9538461538461541E-2</v>
      </c>
      <c r="J68" s="82">
        <f>(G68+H68)*I68</f>
        <v>0</v>
      </c>
      <c r="K68" s="51">
        <f>J68*Summary!$H$4</f>
        <v>0</v>
      </c>
      <c r="L68" s="84"/>
      <c r="M68" s="85"/>
      <c r="O68" s="136">
        <f>N68+K68</f>
        <v>0</v>
      </c>
      <c r="P68" s="14"/>
    </row>
    <row r="69" spans="3:16" outlineLevel="1" x14ac:dyDescent="0.25">
      <c r="C69" s="86"/>
      <c r="D69" s="279" t="s">
        <v>620</v>
      </c>
      <c r="E69" s="11" t="s">
        <v>46</v>
      </c>
      <c r="F69" s="11" t="s">
        <v>46</v>
      </c>
      <c r="G69" s="56"/>
      <c r="H69" s="82">
        <f>SUM(H66:H66)</f>
        <v>0</v>
      </c>
      <c r="I69" s="52">
        <f>IF(H65&lt;4,IFERROR(8/INDEX($U$62:$X$62,MATCH(ROUNDUP(C81/1,0),$U$61:$X$61,0)),0)*300/65*2,0)</f>
        <v>0.18461538461538463</v>
      </c>
      <c r="J69" s="82">
        <f>(G69+H69)*I69</f>
        <v>0</v>
      </c>
      <c r="K69" s="51">
        <f>J69*Summary!$H$4</f>
        <v>0</v>
      </c>
      <c r="L69" s="84"/>
      <c r="M69" s="85"/>
      <c r="O69" s="136">
        <f>N69+K69</f>
        <v>0</v>
      </c>
      <c r="P69" s="14"/>
    </row>
    <row r="70" spans="3:16" outlineLevel="1" x14ac:dyDescent="0.25">
      <c r="C70" s="86"/>
      <c r="D70" s="279" t="s">
        <v>619</v>
      </c>
      <c r="E70" s="11" t="s">
        <v>46</v>
      </c>
      <c r="F70" s="11" t="s">
        <v>46</v>
      </c>
      <c r="G70" s="56"/>
      <c r="H70" s="82">
        <f>G81*1.1</f>
        <v>0</v>
      </c>
      <c r="I70" s="52"/>
      <c r="J70" s="82"/>
      <c r="K70" s="51"/>
      <c r="L70" s="52">
        <v>30</v>
      </c>
      <c r="M70" s="85"/>
      <c r="N70" s="84">
        <f>L70*(H70+G70)</f>
        <v>0</v>
      </c>
      <c r="O70" s="136">
        <f>N70+K70</f>
        <v>0</v>
      </c>
      <c r="P70" s="14"/>
    </row>
    <row r="71" spans="3:16" outlineLevel="1" x14ac:dyDescent="0.25">
      <c r="C71" s="86"/>
      <c r="D71" s="279" t="s">
        <v>614</v>
      </c>
      <c r="E71" s="11" t="s">
        <v>46</v>
      </c>
      <c r="F71" s="11" t="s">
        <v>46</v>
      </c>
      <c r="G71" s="56"/>
      <c r="H71" s="82">
        <f>SUM(H66:H66)</f>
        <v>0</v>
      </c>
      <c r="I71" s="52">
        <f>8/500*(100/65)</f>
        <v>2.4615384615384619E-2</v>
      </c>
      <c r="J71" s="82">
        <f>(G71+H71)*I71</f>
        <v>0</v>
      </c>
      <c r="K71" s="51">
        <f>J71*Summary!$H$4</f>
        <v>0</v>
      </c>
      <c r="L71" s="52"/>
      <c r="M71" s="85"/>
      <c r="O71" s="136">
        <f>N71+K71</f>
        <v>0</v>
      </c>
      <c r="P71" s="14"/>
    </row>
    <row r="72" spans="3:16" outlineLevel="1" x14ac:dyDescent="0.25">
      <c r="C72" s="86"/>
      <c r="D72" s="1" t="s">
        <v>608</v>
      </c>
      <c r="G72" s="56"/>
      <c r="H72" s="82"/>
      <c r="I72" s="52"/>
      <c r="J72" s="82"/>
      <c r="K72" s="51"/>
      <c r="L72" s="52"/>
      <c r="M72" s="85"/>
      <c r="O72" s="136"/>
      <c r="P72" s="14"/>
    </row>
    <row r="73" spans="3:16" outlineLevel="1" x14ac:dyDescent="0.25">
      <c r="C73" s="86"/>
      <c r="D73" s="279" t="s">
        <v>616</v>
      </c>
      <c r="E73" s="11" t="s">
        <v>46</v>
      </c>
      <c r="F73" s="11" t="s">
        <v>46</v>
      </c>
      <c r="G73" s="56"/>
      <c r="H73" s="82">
        <f>(H66*E81*D81)/27*1.4*1.1</f>
        <v>0</v>
      </c>
      <c r="I73" s="52">
        <f>8/50*(128/65)</f>
        <v>0.31507692307692309</v>
      </c>
      <c r="J73" s="82">
        <f>(G73+H73)*I73</f>
        <v>0</v>
      </c>
      <c r="K73" s="51">
        <f>J73*Summary!$H$4</f>
        <v>0</v>
      </c>
      <c r="L73" s="52"/>
      <c r="M73" s="85"/>
      <c r="O73" s="136">
        <f t="shared" ref="O73" si="15">N73+K73</f>
        <v>0</v>
      </c>
      <c r="P73" s="14"/>
    </row>
    <row r="74" spans="3:16" ht="15" customHeight="1" outlineLevel="1" x14ac:dyDescent="0.25">
      <c r="C74" s="86"/>
      <c r="D74" s="279" t="s">
        <v>617</v>
      </c>
      <c r="E74" s="11" t="s">
        <v>46</v>
      </c>
      <c r="F74" s="11" t="s">
        <v>46</v>
      </c>
      <c r="G74" s="56"/>
      <c r="H74" s="82">
        <f>SUM(H73:H73)</f>
        <v>0</v>
      </c>
      <c r="I74" s="52"/>
      <c r="J74" s="82"/>
      <c r="K74" s="51"/>
      <c r="L74" s="52">
        <v>450</v>
      </c>
      <c r="M74" s="85"/>
      <c r="N74" s="84">
        <f>L74*ROUNDUP((H74+G74)/25,0)</f>
        <v>0</v>
      </c>
      <c r="O74" s="136">
        <f>N74+K74</f>
        <v>0</v>
      </c>
      <c r="P74" s="14"/>
    </row>
    <row r="75" spans="3:16" ht="15" customHeight="1" outlineLevel="1" x14ac:dyDescent="0.25">
      <c r="C75" s="86"/>
      <c r="D75" s="1" t="s">
        <v>279</v>
      </c>
      <c r="E75"/>
      <c r="F75"/>
      <c r="K75" s="1"/>
      <c r="O75" s="137"/>
      <c r="P75" s="315"/>
    </row>
    <row r="76" spans="3:16" ht="15" customHeight="1" outlineLevel="1" x14ac:dyDescent="0.25">
      <c r="C76" s="551">
        <v>0</v>
      </c>
      <c r="D76" s="279" t="s">
        <v>654</v>
      </c>
      <c r="E76" s="11" t="s">
        <v>46</v>
      </c>
      <c r="F76" s="11" t="s">
        <v>46</v>
      </c>
      <c r="G76">
        <f>IF(C76="YES",ROUNDUP(J69,0),0)</f>
        <v>0</v>
      </c>
      <c r="K76" s="1"/>
      <c r="L76" s="52">
        <f>1500/8</f>
        <v>187.5</v>
      </c>
      <c r="M76" s="85"/>
      <c r="N76" s="84">
        <f>IF(G76&gt;0,L76*(H76+G76)+3000,0)</f>
        <v>0</v>
      </c>
      <c r="O76" s="136">
        <f t="shared" ref="O76" si="16">N76+K76</f>
        <v>0</v>
      </c>
      <c r="P76" s="315"/>
    </row>
    <row r="77" spans="3:16" ht="15" customHeight="1" outlineLevel="1" x14ac:dyDescent="0.25">
      <c r="C77" s="86"/>
      <c r="D77" s="279" t="s">
        <v>655</v>
      </c>
      <c r="E77" s="11" t="s">
        <v>46</v>
      </c>
      <c r="F77" s="11" t="s">
        <v>46</v>
      </c>
      <c r="G77">
        <f>IF(H65&gt;5,ROUNDUP(J69,0),0)</f>
        <v>0</v>
      </c>
      <c r="K77" s="1"/>
      <c r="L77" s="52">
        <v>30</v>
      </c>
      <c r="M77" s="85"/>
      <c r="N77" s="84">
        <f t="shared" ref="N77" si="17">L77*(H77+G77)</f>
        <v>0</v>
      </c>
      <c r="O77" s="136">
        <f>N77+K77</f>
        <v>0</v>
      </c>
      <c r="P77" s="315"/>
    </row>
    <row r="78" spans="3:16" ht="15" customHeight="1" outlineLevel="1" thickBot="1" x14ac:dyDescent="0.3">
      <c r="C78" s="86"/>
      <c r="E78"/>
      <c r="F78"/>
      <c r="K78" s="1"/>
      <c r="O78" s="137"/>
      <c r="P78" s="315"/>
    </row>
    <row r="79" spans="3:16" ht="15.75" customHeight="1" outlineLevel="1" thickBot="1" x14ac:dyDescent="0.3">
      <c r="C79" s="65" t="s">
        <v>54</v>
      </c>
      <c r="D79" s="428"/>
      <c r="E79" s="381"/>
      <c r="F79" s="381"/>
      <c r="G79" s="544"/>
      <c r="H79" s="1"/>
      <c r="I79" s="1"/>
      <c r="J79" s="1"/>
      <c r="K79" s="1"/>
      <c r="O79" s="137"/>
    </row>
    <row r="80" spans="3:16" outlineLevel="1" x14ac:dyDescent="0.25">
      <c r="C80" s="196" t="s">
        <v>601</v>
      </c>
      <c r="D80" s="197" t="s">
        <v>602</v>
      </c>
      <c r="E80" s="197" t="s">
        <v>603</v>
      </c>
      <c r="F80" s="250" t="s">
        <v>605</v>
      </c>
      <c r="G80" s="318" t="s">
        <v>604</v>
      </c>
      <c r="H80" s="1"/>
      <c r="J80" s="1"/>
      <c r="K80" s="108"/>
      <c r="L80" s="108"/>
      <c r="M80" s="108"/>
      <c r="O80" s="137"/>
    </row>
    <row r="81" spans="3:19" ht="15.75" outlineLevel="1" thickBot="1" x14ac:dyDescent="0.3">
      <c r="C81" s="547">
        <f>3/4</f>
        <v>0.75</v>
      </c>
      <c r="D81" s="546">
        <f>1.5+C81/12</f>
        <v>1.5625</v>
      </c>
      <c r="E81" s="546">
        <f>2+C81/12</f>
        <v>2.0625</v>
      </c>
      <c r="F81" s="545">
        <f>(H66*E81*D81)/27</f>
        <v>0</v>
      </c>
      <c r="G81" s="319">
        <f>ROUNDUP(F81*1.3,0)</f>
        <v>0</v>
      </c>
      <c r="H81" s="1"/>
      <c r="J81" s="1"/>
      <c r="K81" s="108"/>
      <c r="L81" s="108"/>
      <c r="M81" s="108"/>
      <c r="O81" s="137"/>
    </row>
    <row r="82" spans="3:19" outlineLevel="1" x14ac:dyDescent="0.25">
      <c r="C82" s="86"/>
      <c r="D82" s="317" t="s">
        <v>600</v>
      </c>
      <c r="K82" s="1"/>
      <c r="O82" s="137"/>
    </row>
    <row r="83" spans="3:19" outlineLevel="1" x14ac:dyDescent="0.25">
      <c r="C83" s="86"/>
      <c r="D83" s="317" t="s">
        <v>599</v>
      </c>
      <c r="K83" s="1"/>
      <c r="O83" s="137"/>
    </row>
    <row r="84" spans="3:19" outlineLevel="1" x14ac:dyDescent="0.25">
      <c r="C84" s="86"/>
      <c r="F84"/>
      <c r="G84" s="56"/>
      <c r="H84" s="82"/>
      <c r="I84" s="83"/>
      <c r="K84" s="1"/>
      <c r="L84" s="52"/>
      <c r="M84" s="85"/>
      <c r="N84" s="84"/>
      <c r="O84" s="136"/>
    </row>
    <row r="85" spans="3:19" outlineLevel="1" x14ac:dyDescent="0.25">
      <c r="C85" s="86"/>
      <c r="F85"/>
      <c r="G85" s="56"/>
      <c r="H85" s="82"/>
      <c r="I85" s="83"/>
      <c r="K85" s="1"/>
      <c r="L85" s="52"/>
      <c r="M85" s="85"/>
      <c r="N85" s="84"/>
      <c r="O85" s="136"/>
    </row>
    <row r="86" spans="3:19" ht="15.75" outlineLevel="1" thickBot="1" x14ac:dyDescent="0.3">
      <c r="C86" s="86"/>
      <c r="E86"/>
      <c r="F86"/>
      <c r="K86" s="1"/>
      <c r="O86" s="137"/>
      <c r="P86" s="14"/>
    </row>
    <row r="87" spans="3:19" outlineLevel="1" x14ac:dyDescent="0.25">
      <c r="C87" s="405"/>
      <c r="D87" s="406" t="s">
        <v>495</v>
      </c>
      <c r="E87" s="407"/>
      <c r="F87" s="407"/>
      <c r="G87" s="408"/>
      <c r="H87" s="408">
        <f>SUM(H50:H86)</f>
        <v>0</v>
      </c>
      <c r="I87" s="408"/>
      <c r="J87" s="408">
        <f>SUM(J63:J86)</f>
        <v>0</v>
      </c>
      <c r="K87" s="409">
        <f>SUM(K63:K86)</f>
        <v>0</v>
      </c>
      <c r="L87" s="408"/>
      <c r="M87" s="408"/>
      <c r="N87" s="409">
        <f>SUM(N63:N86)</f>
        <v>0</v>
      </c>
      <c r="O87" s="410"/>
      <c r="R87" s="349"/>
      <c r="S87" s="349"/>
    </row>
    <row r="88" spans="3:19" outlineLevel="1" x14ac:dyDescent="0.25">
      <c r="C88" s="86"/>
      <c r="G88" s="11"/>
      <c r="I88" s="161"/>
      <c r="J88" s="159"/>
      <c r="K88" s="51"/>
      <c r="M88" s="161"/>
      <c r="N88" s="162"/>
      <c r="O88" s="163"/>
      <c r="P88" s="14"/>
    </row>
    <row r="89" spans="3:19" ht="15.75" outlineLevel="1" x14ac:dyDescent="0.25">
      <c r="C89" s="629" t="s">
        <v>498</v>
      </c>
      <c r="D89" s="630"/>
      <c r="G89" s="11"/>
      <c r="I89" s="161"/>
      <c r="J89" s="159"/>
      <c r="K89" s="51"/>
      <c r="M89" s="161"/>
      <c r="N89" s="162"/>
      <c r="O89" s="163"/>
      <c r="P89" s="14"/>
    </row>
    <row r="90" spans="3:19" outlineLevel="1" x14ac:dyDescent="0.25">
      <c r="C90" s="86"/>
      <c r="G90" s="11"/>
      <c r="I90" s="161"/>
      <c r="J90" s="159"/>
      <c r="K90" s="51"/>
      <c r="M90" s="161"/>
      <c r="N90" s="162"/>
      <c r="O90" s="163"/>
      <c r="P90" s="14"/>
    </row>
    <row r="91" spans="3:19" outlineLevel="1" x14ac:dyDescent="0.25">
      <c r="C91" s="126" t="s">
        <v>717</v>
      </c>
      <c r="D91" s="537" t="s">
        <v>166</v>
      </c>
      <c r="G91" s="11"/>
      <c r="H91" s="146"/>
      <c r="I91" s="159"/>
      <c r="L91" s="148"/>
      <c r="O91" s="87"/>
      <c r="P91" s="14"/>
    </row>
    <row r="92" spans="3:19" outlineLevel="1" x14ac:dyDescent="0.25">
      <c r="C92" s="133"/>
      <c r="D92" s="15" t="s">
        <v>23</v>
      </c>
      <c r="E92" s="11" t="s">
        <v>46</v>
      </c>
      <c r="F92" s="11" t="s">
        <v>46</v>
      </c>
      <c r="G92" s="11"/>
      <c r="H92" s="41">
        <v>10</v>
      </c>
      <c r="I92" s="52"/>
      <c r="J92" s="82"/>
      <c r="K92" s="170"/>
      <c r="L92" s="52"/>
      <c r="M92" s="56">
        <v>0</v>
      </c>
      <c r="N92" s="84">
        <f t="shared" ref="N92" si="18">((G92+H92)*L92)+((G92+H92)*M92)</f>
        <v>0</v>
      </c>
      <c r="O92" s="167">
        <f t="shared" ref="O92" si="19">N92+K92</f>
        <v>0</v>
      </c>
      <c r="P92" s="14"/>
    </row>
    <row r="93" spans="3:19" outlineLevel="1" x14ac:dyDescent="0.25">
      <c r="C93" s="86"/>
      <c r="G93" s="11"/>
      <c r="I93" s="161"/>
      <c r="J93" s="159"/>
      <c r="K93" s="51"/>
      <c r="M93" s="161"/>
      <c r="N93" s="162"/>
      <c r="O93" s="163"/>
      <c r="P93" s="14"/>
    </row>
    <row r="94" spans="3:19" outlineLevel="1" x14ac:dyDescent="0.25">
      <c r="C94" s="126" t="s">
        <v>693</v>
      </c>
      <c r="D94" s="537" t="s">
        <v>166</v>
      </c>
      <c r="G94" s="11"/>
      <c r="H94" s="146"/>
      <c r="I94" s="159"/>
      <c r="L94" s="148"/>
      <c r="O94" s="87"/>
      <c r="P94" s="14"/>
    </row>
    <row r="95" spans="3:19" outlineLevel="1" x14ac:dyDescent="0.25">
      <c r="C95" s="133"/>
      <c r="D95" s="15" t="s">
        <v>24</v>
      </c>
      <c r="E95" s="11" t="s">
        <v>46</v>
      </c>
      <c r="F95" s="11" t="s">
        <v>46</v>
      </c>
      <c r="G95" s="11"/>
      <c r="H95" s="41">
        <v>10.6</v>
      </c>
      <c r="I95" s="52"/>
      <c r="J95" s="82"/>
      <c r="K95" s="170"/>
      <c r="L95" s="52"/>
      <c r="M95" s="56">
        <v>0</v>
      </c>
      <c r="N95" s="84">
        <f t="shared" ref="N95" si="20">((G95+H95)*L95)+((G95+H95)*M95)</f>
        <v>0</v>
      </c>
      <c r="O95" s="167">
        <f t="shared" ref="O95" si="21">N95+K95</f>
        <v>0</v>
      </c>
      <c r="P95" s="14"/>
    </row>
    <row r="96" spans="3:19" outlineLevel="1" x14ac:dyDescent="0.25">
      <c r="C96" s="86"/>
      <c r="G96" s="11"/>
      <c r="I96" s="161"/>
      <c r="J96" s="159"/>
      <c r="K96" s="51"/>
      <c r="M96" s="161"/>
      <c r="N96" s="162"/>
      <c r="O96" s="163"/>
      <c r="P96" s="14"/>
    </row>
    <row r="97" spans="1:73" outlineLevel="1" x14ac:dyDescent="0.25">
      <c r="C97" s="126" t="s">
        <v>694</v>
      </c>
      <c r="D97" s="537" t="s">
        <v>166</v>
      </c>
      <c r="G97" s="11"/>
      <c r="H97" s="146"/>
      <c r="I97" s="159"/>
      <c r="L97" s="148"/>
      <c r="O97" s="87"/>
      <c r="P97" s="14"/>
    </row>
    <row r="98" spans="1:73" outlineLevel="1" x14ac:dyDescent="0.25">
      <c r="C98" s="133"/>
      <c r="D98" s="15" t="s">
        <v>24</v>
      </c>
      <c r="E98" s="11" t="s">
        <v>46</v>
      </c>
      <c r="F98" s="11" t="s">
        <v>46</v>
      </c>
      <c r="G98" s="11"/>
      <c r="H98" s="41">
        <v>10.6</v>
      </c>
      <c r="I98" s="52"/>
      <c r="J98" s="82"/>
      <c r="K98" s="170"/>
      <c r="L98" s="52"/>
      <c r="M98" s="56">
        <v>0</v>
      </c>
      <c r="N98" s="84">
        <f t="shared" ref="N98" si="22">((G98+H98)*L98)+((G98+H98)*M98)</f>
        <v>0</v>
      </c>
      <c r="O98" s="167">
        <f t="shared" ref="O98" si="23">N98+K98</f>
        <v>0</v>
      </c>
      <c r="P98" s="14"/>
    </row>
    <row r="99" spans="1:73" outlineLevel="1" x14ac:dyDescent="0.25">
      <c r="C99" s="133"/>
      <c r="G99" s="11"/>
      <c r="H99" s="143"/>
      <c r="I99" s="52"/>
      <c r="J99" s="82"/>
      <c r="K99" s="51"/>
      <c r="L99" s="132"/>
      <c r="M99" s="56"/>
      <c r="N99" s="84"/>
      <c r="O99" s="167"/>
      <c r="P99" s="14"/>
    </row>
    <row r="100" spans="1:73" outlineLevel="1" x14ac:dyDescent="0.25">
      <c r="C100" s="133"/>
      <c r="G100" s="11"/>
      <c r="H100" s="143"/>
      <c r="I100" s="52"/>
      <c r="J100" s="82"/>
      <c r="K100" s="51"/>
      <c r="L100" s="132"/>
      <c r="M100" s="56"/>
      <c r="N100" s="84"/>
      <c r="O100" s="88"/>
      <c r="P100" s="14"/>
    </row>
    <row r="101" spans="1:73" ht="15.75" outlineLevel="1" thickBot="1" x14ac:dyDescent="0.3">
      <c r="C101" s="208" t="s">
        <v>516</v>
      </c>
      <c r="D101" s="10"/>
      <c r="G101" s="209">
        <v>0.35</v>
      </c>
      <c r="H101" s="169"/>
      <c r="I101" s="52"/>
      <c r="J101" s="82"/>
      <c r="K101" s="51"/>
      <c r="N101" s="138">
        <f>SUM(N88:N100)*G101</f>
        <v>0</v>
      </c>
      <c r="O101" s="167">
        <f t="shared" ref="O101" si="24">N101+K101</f>
        <v>0</v>
      </c>
      <c r="R101" s="349"/>
      <c r="S101" s="349"/>
    </row>
    <row r="102" spans="1:73" outlineLevel="1" x14ac:dyDescent="0.25">
      <c r="C102" s="405"/>
      <c r="D102" s="406" t="s">
        <v>499</v>
      </c>
      <c r="E102" s="407"/>
      <c r="F102" s="407"/>
      <c r="G102" s="408"/>
      <c r="H102" s="408">
        <f>SUM(H88:H100)</f>
        <v>31.200000000000003</v>
      </c>
      <c r="I102" s="408"/>
      <c r="J102" s="408">
        <f>SUM(J88:J101)</f>
        <v>0</v>
      </c>
      <c r="K102" s="409">
        <f>SUM(K88:K101)</f>
        <v>0</v>
      </c>
      <c r="L102" s="408"/>
      <c r="M102" s="408"/>
      <c r="N102" s="409">
        <f>SUM(N88:N101)</f>
        <v>0</v>
      </c>
      <c r="O102" s="410"/>
      <c r="R102" s="349"/>
      <c r="S102" s="349"/>
    </row>
    <row r="103" spans="1:73" outlineLevel="1" x14ac:dyDescent="0.25">
      <c r="C103" s="86"/>
      <c r="E103"/>
      <c r="F103"/>
      <c r="K103" s="1"/>
      <c r="O103" s="137"/>
      <c r="P103" s="14"/>
    </row>
    <row r="104" spans="1:73" ht="15.75" outlineLevel="1" x14ac:dyDescent="0.25">
      <c r="C104" s="629" t="s">
        <v>510</v>
      </c>
      <c r="D104" s="630"/>
      <c r="G104" s="11"/>
      <c r="I104" s="161"/>
      <c r="J104" s="159"/>
      <c r="K104" s="51"/>
      <c r="M104" s="161"/>
      <c r="N104" s="162"/>
      <c r="O104" s="163"/>
      <c r="P104" s="14"/>
    </row>
    <row r="105" spans="1:73" ht="15" customHeight="1" outlineLevel="1" x14ac:dyDescent="0.25">
      <c r="C105" s="241"/>
      <c r="G105" s="11"/>
      <c r="H105" s="146"/>
      <c r="I105" s="134"/>
      <c r="J105" s="82"/>
      <c r="K105" s="51"/>
      <c r="L105" s="56"/>
      <c r="M105" s="56"/>
      <c r="N105" s="84"/>
      <c r="O105" s="88"/>
    </row>
    <row r="106" spans="1:73" outlineLevel="1" x14ac:dyDescent="0.25">
      <c r="C106" s="86" t="s">
        <v>10</v>
      </c>
      <c r="E106" s="11" t="s">
        <v>46</v>
      </c>
      <c r="F106" s="11" t="s">
        <v>46</v>
      </c>
      <c r="G106" s="11">
        <v>1</v>
      </c>
      <c r="H106" s="143"/>
      <c r="I106" s="56"/>
      <c r="J106" s="82">
        <f>(G106+H106)*I106</f>
        <v>0</v>
      </c>
      <c r="K106" s="51">
        <f>J106*Summary!$H$4</f>
        <v>0</v>
      </c>
      <c r="L106" s="53">
        <v>0</v>
      </c>
      <c r="M106" s="56">
        <v>0</v>
      </c>
      <c r="N106" s="84">
        <f>((G106+H106)*L106)+((G106+H106)*M106)</f>
        <v>0</v>
      </c>
      <c r="O106" s="88">
        <f t="shared" ref="O106" si="25">N106+K106</f>
        <v>0</v>
      </c>
    </row>
    <row r="107" spans="1:73" ht="15.75" outlineLevel="1" thickBot="1" x14ac:dyDescent="0.3">
      <c r="C107" s="86"/>
      <c r="G107" s="11"/>
      <c r="H107" s="143"/>
      <c r="I107" s="56"/>
      <c r="J107" s="82"/>
      <c r="K107" s="51"/>
      <c r="L107" s="53"/>
      <c r="M107" s="56"/>
      <c r="N107" s="84"/>
      <c r="O107" s="88"/>
    </row>
    <row r="108" spans="1:73" outlineLevel="1" x14ac:dyDescent="0.25">
      <c r="C108" s="405"/>
      <c r="D108" s="406" t="s">
        <v>500</v>
      </c>
      <c r="E108" s="407"/>
      <c r="F108" s="407"/>
      <c r="G108" s="408">
        <f>SUM(G103:G107)</f>
        <v>1</v>
      </c>
      <c r="H108" s="408"/>
      <c r="I108" s="408"/>
      <c r="J108" s="408">
        <f>SUM(J103:J107)</f>
        <v>0</v>
      </c>
      <c r="K108" s="409">
        <f>SUM(K103:K107)</f>
        <v>0</v>
      </c>
      <c r="L108" s="408"/>
      <c r="M108" s="408"/>
      <c r="N108" s="409">
        <f>SUM(N103:N107)</f>
        <v>0</v>
      </c>
      <c r="O108" s="410"/>
      <c r="R108" s="349"/>
      <c r="S108" s="349"/>
    </row>
    <row r="109" spans="1:73" outlineLevel="1" x14ac:dyDescent="0.25">
      <c r="C109" s="86"/>
      <c r="K109" s="1"/>
      <c r="O109" s="137"/>
    </row>
    <row r="110" spans="1:73" ht="15.75" outlineLevel="1" thickBot="1" x14ac:dyDescent="0.3">
      <c r="C110" s="86"/>
      <c r="K110" s="1"/>
      <c r="O110" s="137"/>
    </row>
    <row r="111" spans="1:73" s="437" customFormat="1" ht="22.5" customHeight="1" thickBot="1" x14ac:dyDescent="0.3">
      <c r="A111" s="516"/>
      <c r="C111" s="272"/>
      <c r="D111" s="191" t="s">
        <v>513</v>
      </c>
      <c r="E111" s="191"/>
      <c r="F111" s="191"/>
      <c r="G111" s="274"/>
      <c r="H111" s="191"/>
      <c r="I111" s="191"/>
      <c r="J111" s="274">
        <f>J108+J102+J87</f>
        <v>0</v>
      </c>
      <c r="K111" s="433">
        <f>K108+K102+K87</f>
        <v>0</v>
      </c>
      <c r="L111" s="434"/>
      <c r="M111" s="191"/>
      <c r="N111" s="433">
        <f>N108+N102+N87</f>
        <v>0</v>
      </c>
      <c r="O111" s="435"/>
      <c r="P111" s="436">
        <f>SUM(O63:O110)</f>
        <v>0</v>
      </c>
      <c r="Q111" s="437" t="str">
        <f>IF(P111=(N111+K111), "GOOD", "ERROR NEED CHECK")</f>
        <v>GOOD</v>
      </c>
      <c r="R111" s="349">
        <f t="shared" ref="R111" si="26">IF(F111="X", IF(G111&lt;&gt;"", IF(OR(I111&gt;0,O111&gt;0), "✔", "ERROR"),"ERROR"),0)</f>
        <v>0</v>
      </c>
      <c r="S111" s="349">
        <f t="shared" ref="S111" si="27">IF(E111="X", IF(G111&lt;&gt;"", IF(AND(N111&gt;0,O111&gt;0), "✔", "ERROR"),"ERROR"),0)</f>
        <v>0</v>
      </c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</row>
    <row r="112" spans="1:73" ht="15.75" thickBot="1" x14ac:dyDescent="0.3">
      <c r="C112" s="381"/>
      <c r="D112" s="381"/>
      <c r="E112" s="396"/>
      <c r="F112" s="396"/>
      <c r="G112" s="381"/>
      <c r="H112" s="381"/>
      <c r="I112" s="381"/>
      <c r="J112" s="381"/>
      <c r="K112" s="212"/>
      <c r="L112" s="381"/>
      <c r="M112" s="381"/>
      <c r="N112" s="381"/>
      <c r="O112" s="212"/>
    </row>
    <row r="113" spans="3:21" ht="15.75" thickBot="1" x14ac:dyDescent="0.3">
      <c r="C113" s="389"/>
      <c r="D113" s="390"/>
      <c r="E113" s="391"/>
      <c r="F113" s="391"/>
      <c r="G113" s="390"/>
      <c r="H113" s="390"/>
      <c r="I113" s="390"/>
      <c r="J113" s="390"/>
      <c r="K113" s="477"/>
      <c r="L113" s="390"/>
      <c r="M113" s="390"/>
      <c r="N113" s="390"/>
      <c r="O113" s="478"/>
    </row>
    <row r="114" spans="3:21" ht="22.5" thickTop="1" thickBot="1" x14ac:dyDescent="0.4">
      <c r="C114" s="413" t="s">
        <v>569</v>
      </c>
      <c r="D114" s="414"/>
      <c r="E114" s="415"/>
      <c r="F114" s="415"/>
      <c r="G114" s="416"/>
      <c r="H114" s="417"/>
      <c r="I114" s="416"/>
      <c r="J114" s="418"/>
      <c r="K114" s="419"/>
      <c r="L114" s="416"/>
      <c r="M114" s="416"/>
      <c r="N114" s="420"/>
      <c r="O114" s="421"/>
      <c r="P114" s="14"/>
      <c r="R114" s="349">
        <f t="shared" ref="R114" si="28">IF(F114="X", IF(G114&lt;&gt;"", IF(OR(I114&lt;&gt;"",L114&lt;&gt;""), "✔", "ERROR"),"ERROR"),0)</f>
        <v>0</v>
      </c>
      <c r="S114" s="348"/>
      <c r="U114" s="43"/>
    </row>
    <row r="115" spans="3:21" ht="15.75" hidden="1" outlineLevel="1" thickTop="1" x14ac:dyDescent="0.25">
      <c r="C115" s="86"/>
      <c r="K115" s="1"/>
      <c r="O115" s="137"/>
    </row>
    <row r="116" spans="3:21" ht="15.75" hidden="1" outlineLevel="1" x14ac:dyDescent="0.25">
      <c r="C116" s="471" t="s">
        <v>484</v>
      </c>
      <c r="D116" s="1" t="s">
        <v>609</v>
      </c>
      <c r="O116" s="87"/>
    </row>
    <row r="117" spans="3:21" hidden="1" outlineLevel="1" x14ac:dyDescent="0.25">
      <c r="C117" s="86"/>
      <c r="D117" s="279" t="s">
        <v>607</v>
      </c>
      <c r="E117" s="56"/>
      <c r="G117" s="56"/>
      <c r="H117" s="549">
        <v>4</v>
      </c>
      <c r="I117">
        <f>IFERROR(INDEX($U$26:$AF$49,MATCH(D133,$T$26:$T$49,0),MATCH(E133,$U$22:$AF$22,0)),0)</f>
        <v>0</v>
      </c>
      <c r="O117" s="87"/>
    </row>
    <row r="118" spans="3:21" ht="15" hidden="1" customHeight="1" outlineLevel="1" x14ac:dyDescent="0.25">
      <c r="C118" s="86"/>
      <c r="D118" s="279" t="s">
        <v>611</v>
      </c>
      <c r="F118"/>
      <c r="G118" s="314">
        <f>I133</f>
        <v>0</v>
      </c>
      <c r="H118" s="549">
        <f>SUM(H141:H152)</f>
        <v>0</v>
      </c>
      <c r="I118" s="83"/>
      <c r="O118" s="87"/>
    </row>
    <row r="119" spans="3:21" hidden="1" outlineLevel="1" x14ac:dyDescent="0.25">
      <c r="C119" s="86"/>
      <c r="D119" s="1" t="s">
        <v>612</v>
      </c>
      <c r="E119" s="56"/>
      <c r="F119"/>
      <c r="G119" s="56"/>
      <c r="H119" s="82"/>
      <c r="I119" s="83"/>
      <c r="J119" s="52"/>
      <c r="K119" s="51"/>
      <c r="L119" s="84"/>
      <c r="M119" s="85"/>
      <c r="O119" s="136"/>
      <c r="P119" s="14"/>
    </row>
    <row r="120" spans="3:21" hidden="1" outlineLevel="1" x14ac:dyDescent="0.25">
      <c r="C120" s="86"/>
      <c r="D120" s="279" t="s">
        <v>613</v>
      </c>
      <c r="E120" s="11" t="s">
        <v>46</v>
      </c>
      <c r="F120" s="11" t="s">
        <v>46</v>
      </c>
      <c r="G120" s="56"/>
      <c r="H120" s="82">
        <f>SUM(H118:H118)</f>
        <v>0</v>
      </c>
      <c r="I120" s="52">
        <f>8/500*(120/65)</f>
        <v>2.9538461538461541E-2</v>
      </c>
      <c r="J120" s="82">
        <f>(G120+H120)*I120</f>
        <v>0</v>
      </c>
      <c r="K120" s="51">
        <f>J120*Summary!$H$4</f>
        <v>0</v>
      </c>
      <c r="L120" s="84"/>
      <c r="M120" s="85"/>
      <c r="O120" s="136">
        <f>N120+K120</f>
        <v>0</v>
      </c>
      <c r="P120" s="14"/>
    </row>
    <row r="121" spans="3:21" hidden="1" outlineLevel="1" x14ac:dyDescent="0.25">
      <c r="C121" s="86"/>
      <c r="D121" s="279" t="s">
        <v>620</v>
      </c>
      <c r="E121" s="11" t="s">
        <v>46</v>
      </c>
      <c r="F121" s="11" t="s">
        <v>46</v>
      </c>
      <c r="G121" s="56"/>
      <c r="H121" s="82">
        <f>SUM(H118:H118)</f>
        <v>0</v>
      </c>
      <c r="I121" s="52">
        <f>IF(H117&gt;0,8/IFERROR(INDEX($U$9:$Z$9,MATCH(H117,$U$8:$Z$8,0)),$U$9)*300/65*2,0)</f>
        <v>0.18461538461538463</v>
      </c>
      <c r="J121" s="82">
        <f>(G121+H121)*I121</f>
        <v>0</v>
      </c>
      <c r="K121" s="51">
        <f>J121*Summary!$H$4</f>
        <v>0</v>
      </c>
      <c r="L121" s="84"/>
      <c r="M121" s="85"/>
      <c r="O121" s="136">
        <f>N121+K121</f>
        <v>0</v>
      </c>
      <c r="P121" s="14"/>
    </row>
    <row r="122" spans="3:21" hidden="1" outlineLevel="1" x14ac:dyDescent="0.25">
      <c r="C122" s="86"/>
      <c r="D122" s="279" t="s">
        <v>619</v>
      </c>
      <c r="E122" s="11" t="s">
        <v>46</v>
      </c>
      <c r="F122" s="11" t="s">
        <v>46</v>
      </c>
      <c r="G122" s="56"/>
      <c r="H122" s="82">
        <f>G133*1.3</f>
        <v>0</v>
      </c>
      <c r="I122" s="52"/>
      <c r="J122" s="82"/>
      <c r="K122" s="51"/>
      <c r="L122" s="52">
        <v>30</v>
      </c>
      <c r="M122" s="85"/>
      <c r="N122" s="84">
        <f>L122*(H122+G122)</f>
        <v>0</v>
      </c>
      <c r="O122" s="136">
        <f>N122+K122</f>
        <v>0</v>
      </c>
      <c r="P122" s="14"/>
    </row>
    <row r="123" spans="3:21" hidden="1" outlineLevel="1" x14ac:dyDescent="0.25">
      <c r="C123" s="86"/>
      <c r="D123" s="279" t="s">
        <v>614</v>
      </c>
      <c r="E123" s="11" t="s">
        <v>46</v>
      </c>
      <c r="F123" s="11" t="s">
        <v>46</v>
      </c>
      <c r="G123" s="56"/>
      <c r="H123" s="82">
        <f>SUM(H118:H118)</f>
        <v>0</v>
      </c>
      <c r="I123" s="52">
        <f>8/500*(100/65)</f>
        <v>2.4615384615384619E-2</v>
      </c>
      <c r="J123" s="82">
        <f>(G123+H123)*I123</f>
        <v>0</v>
      </c>
      <c r="K123" s="51">
        <f>J123*Summary!$H$4</f>
        <v>0</v>
      </c>
      <c r="L123" s="52"/>
      <c r="M123" s="85"/>
      <c r="O123" s="136">
        <f>N123+K123</f>
        <v>0</v>
      </c>
      <c r="P123" s="14"/>
    </row>
    <row r="124" spans="3:21" hidden="1" outlineLevel="1" x14ac:dyDescent="0.25">
      <c r="C124" s="86"/>
      <c r="D124" s="1" t="s">
        <v>608</v>
      </c>
      <c r="G124" s="56"/>
      <c r="H124" s="82"/>
      <c r="I124" s="52"/>
      <c r="J124" s="82"/>
      <c r="K124" s="51"/>
      <c r="L124" s="52"/>
      <c r="M124" s="85"/>
      <c r="O124" s="136"/>
      <c r="P124" s="14"/>
    </row>
    <row r="125" spans="3:21" hidden="1" outlineLevel="1" x14ac:dyDescent="0.25">
      <c r="C125" s="86"/>
      <c r="D125" s="279" t="s">
        <v>616</v>
      </c>
      <c r="E125" s="11" t="s">
        <v>46</v>
      </c>
      <c r="F125" s="11" t="s">
        <v>46</v>
      </c>
      <c r="G125" s="56"/>
      <c r="H125" s="82">
        <f>(H118*E133*D133)/27*1.4*1.1</f>
        <v>0</v>
      </c>
      <c r="I125" s="52">
        <f>8/50*(128/65)</f>
        <v>0.31507692307692309</v>
      </c>
      <c r="J125" s="82">
        <f>(G125+H125)*I125</f>
        <v>0</v>
      </c>
      <c r="K125" s="51">
        <f>J125*Summary!$H$4</f>
        <v>0</v>
      </c>
      <c r="L125" s="52"/>
      <c r="M125" s="85"/>
      <c r="O125" s="136">
        <f t="shared" ref="O125" si="29">N125+K125</f>
        <v>0</v>
      </c>
      <c r="P125" s="14"/>
    </row>
    <row r="126" spans="3:21" ht="15" hidden="1" customHeight="1" outlineLevel="1" x14ac:dyDescent="0.25">
      <c r="C126" s="86"/>
      <c r="D126" s="279" t="s">
        <v>617</v>
      </c>
      <c r="E126" s="11" t="s">
        <v>46</v>
      </c>
      <c r="F126" s="11" t="s">
        <v>46</v>
      </c>
      <c r="G126" s="56"/>
      <c r="H126" s="82">
        <f>SUM(H125:H125)</f>
        <v>0</v>
      </c>
      <c r="I126" s="52"/>
      <c r="J126" s="82"/>
      <c r="K126" s="51"/>
      <c r="L126" s="52">
        <v>450</v>
      </c>
      <c r="M126" s="85"/>
      <c r="N126" s="84">
        <f>L126*ROUNDUP((H126+G126)/25,0)</f>
        <v>0</v>
      </c>
      <c r="O126" s="136">
        <f>N126+K126</f>
        <v>0</v>
      </c>
      <c r="P126" s="14"/>
    </row>
    <row r="127" spans="3:21" ht="15" hidden="1" customHeight="1" outlineLevel="1" x14ac:dyDescent="0.25">
      <c r="C127" s="86"/>
      <c r="D127" s="1" t="s">
        <v>279</v>
      </c>
      <c r="E127"/>
      <c r="F127"/>
      <c r="K127" s="1"/>
      <c r="O127" s="137"/>
      <c r="P127" s="315"/>
    </row>
    <row r="128" spans="3:21" ht="15" hidden="1" customHeight="1" outlineLevel="1" x14ac:dyDescent="0.25">
      <c r="C128" s="551">
        <v>0</v>
      </c>
      <c r="D128" s="279" t="s">
        <v>654</v>
      </c>
      <c r="E128" s="11" t="s">
        <v>46</v>
      </c>
      <c r="F128" s="11" t="s">
        <v>46</v>
      </c>
      <c r="G128">
        <f>IF(C128="YES",ROUNDUP(J121,0),0)</f>
        <v>0</v>
      </c>
      <c r="K128" s="1"/>
      <c r="L128" s="52">
        <f>1500/8</f>
        <v>187.5</v>
      </c>
      <c r="M128" s="85"/>
      <c r="N128" s="84">
        <f>IF(G128&gt;0,L128*(H128+G128)+3000,0)</f>
        <v>0</v>
      </c>
      <c r="O128" s="136">
        <f t="shared" ref="O128" si="30">N128+K128</f>
        <v>0</v>
      </c>
      <c r="P128" s="315"/>
    </row>
    <row r="129" spans="3:19" ht="15" hidden="1" customHeight="1" outlineLevel="1" x14ac:dyDescent="0.25">
      <c r="C129" s="86"/>
      <c r="D129" s="279" t="s">
        <v>655</v>
      </c>
      <c r="E129" s="11" t="s">
        <v>46</v>
      </c>
      <c r="F129" s="11" t="s">
        <v>46</v>
      </c>
      <c r="G129">
        <f>IF(H117&gt;5,ROUNDUP(J121,0),0)</f>
        <v>0</v>
      </c>
      <c r="K129" s="1"/>
      <c r="L129" s="52">
        <v>30</v>
      </c>
      <c r="M129" s="85"/>
      <c r="N129" s="84">
        <f t="shared" ref="N129" si="31">L129*(H129+G129)</f>
        <v>0</v>
      </c>
      <c r="O129" s="136">
        <f>N129+K129</f>
        <v>0</v>
      </c>
      <c r="P129" s="315"/>
    </row>
    <row r="130" spans="3:19" ht="15" hidden="1" customHeight="1" outlineLevel="1" thickBot="1" x14ac:dyDescent="0.3">
      <c r="C130" s="86"/>
      <c r="E130"/>
      <c r="F130"/>
      <c r="K130" s="1"/>
      <c r="O130" s="137"/>
      <c r="P130" s="315"/>
    </row>
    <row r="131" spans="3:19" ht="15.75" hidden="1" customHeight="1" outlineLevel="1" thickBot="1" x14ac:dyDescent="0.3">
      <c r="C131" s="65" t="s">
        <v>54</v>
      </c>
      <c r="D131" s="428"/>
      <c r="E131" s="381"/>
      <c r="F131" s="381"/>
      <c r="G131" s="544"/>
      <c r="H131" s="1"/>
      <c r="I131" s="1"/>
      <c r="J131" s="1"/>
      <c r="K131" s="1"/>
      <c r="O131" s="137"/>
    </row>
    <row r="132" spans="3:19" hidden="1" outlineLevel="1" x14ac:dyDescent="0.25">
      <c r="C132" s="196" t="s">
        <v>601</v>
      </c>
      <c r="D132" s="197" t="s">
        <v>602</v>
      </c>
      <c r="E132" s="197" t="s">
        <v>603</v>
      </c>
      <c r="F132" s="250" t="s">
        <v>605</v>
      </c>
      <c r="G132" s="318" t="s">
        <v>604</v>
      </c>
      <c r="H132" s="1"/>
      <c r="J132" s="1"/>
      <c r="K132" s="108"/>
      <c r="L132" s="108"/>
      <c r="M132" s="108"/>
      <c r="O132" s="137"/>
    </row>
    <row r="133" spans="3:19" ht="15.75" hidden="1" outlineLevel="1" thickBot="1" x14ac:dyDescent="0.3">
      <c r="C133" s="547">
        <v>0</v>
      </c>
      <c r="D133" s="546">
        <f>1.5+C133/12</f>
        <v>1.5</v>
      </c>
      <c r="E133" s="546">
        <f>2+C133/12</f>
        <v>2</v>
      </c>
      <c r="F133" s="545">
        <f>(H118*E133*D133)/27</f>
        <v>0</v>
      </c>
      <c r="G133" s="319">
        <f>ROUNDUP(F133*1.3,0)</f>
        <v>0</v>
      </c>
      <c r="H133" s="1"/>
      <c r="J133" s="1"/>
      <c r="K133" s="108"/>
      <c r="L133" s="108"/>
      <c r="M133" s="108"/>
      <c r="O133" s="137"/>
    </row>
    <row r="134" spans="3:19" hidden="1" outlineLevel="1" x14ac:dyDescent="0.25">
      <c r="C134" s="86"/>
      <c r="D134" s="317" t="s">
        <v>600</v>
      </c>
      <c r="K134" s="1"/>
      <c r="O134" s="137"/>
    </row>
    <row r="135" spans="3:19" hidden="1" outlineLevel="1" x14ac:dyDescent="0.25">
      <c r="C135" s="86"/>
      <c r="D135" s="317" t="s">
        <v>599</v>
      </c>
      <c r="K135" s="1"/>
      <c r="O135" s="137"/>
    </row>
    <row r="136" spans="3:19" hidden="1" outlineLevel="1" x14ac:dyDescent="0.25">
      <c r="C136" s="86"/>
      <c r="E136" s="56"/>
      <c r="F136"/>
      <c r="G136" s="56"/>
      <c r="H136" s="82"/>
      <c r="I136" s="83"/>
      <c r="J136" s="52"/>
      <c r="K136" s="51"/>
      <c r="L136" s="84"/>
      <c r="M136" s="85"/>
      <c r="O136" s="136"/>
      <c r="P136" s="14"/>
    </row>
    <row r="137" spans="3:19" hidden="1" outlineLevel="1" x14ac:dyDescent="0.25">
      <c r="C137" s="86"/>
      <c r="E137" s="56"/>
      <c r="F137"/>
      <c r="G137" s="313"/>
      <c r="H137" s="82"/>
      <c r="I137" s="83"/>
      <c r="J137" s="52"/>
      <c r="K137" s="51"/>
      <c r="L137" s="53"/>
      <c r="M137" s="56"/>
      <c r="N137" s="84"/>
      <c r="O137" s="88"/>
      <c r="P137" s="14"/>
    </row>
    <row r="138" spans="3:19" ht="15.75" hidden="1" outlineLevel="1" thickBot="1" x14ac:dyDescent="0.3">
      <c r="C138" s="86"/>
      <c r="E138"/>
      <c r="F138"/>
      <c r="K138" s="1"/>
      <c r="O138" s="137"/>
      <c r="P138" s="14"/>
    </row>
    <row r="139" spans="3:19" hidden="1" outlineLevel="1" x14ac:dyDescent="0.25">
      <c r="C139" s="405"/>
      <c r="D139" s="406" t="s">
        <v>625</v>
      </c>
      <c r="E139" s="407"/>
      <c r="F139" s="407"/>
      <c r="G139" s="408"/>
      <c r="H139" s="408"/>
      <c r="I139" s="408"/>
      <c r="J139" s="408">
        <f>SUM(J115:J138)</f>
        <v>0</v>
      </c>
      <c r="K139" s="409">
        <f>SUM(K115:K138)</f>
        <v>0</v>
      </c>
      <c r="L139" s="408"/>
      <c r="M139" s="408"/>
      <c r="N139" s="409">
        <f>SUM(N115:N138)</f>
        <v>0</v>
      </c>
      <c r="O139" s="410"/>
      <c r="R139" s="349"/>
      <c r="S139" s="349"/>
    </row>
    <row r="140" spans="3:19" hidden="1" outlineLevel="1" x14ac:dyDescent="0.25">
      <c r="C140" s="86"/>
      <c r="G140" s="11"/>
      <c r="I140" s="161"/>
      <c r="J140" s="159"/>
      <c r="K140" s="51"/>
      <c r="M140" s="161"/>
      <c r="N140" s="162"/>
      <c r="O140" s="163"/>
      <c r="P140" s="14"/>
    </row>
    <row r="141" spans="3:19" ht="15.75" hidden="1" outlineLevel="1" x14ac:dyDescent="0.25">
      <c r="C141" s="629" t="s">
        <v>583</v>
      </c>
      <c r="D141" s="630"/>
      <c r="G141" s="11"/>
      <c r="I141" s="161"/>
      <c r="J141" s="159"/>
      <c r="K141" s="51"/>
      <c r="M141" s="161"/>
      <c r="N141" s="162"/>
      <c r="O141" s="163"/>
      <c r="P141" s="14"/>
    </row>
    <row r="142" spans="3:19" hidden="1" outlineLevel="1" x14ac:dyDescent="0.25">
      <c r="C142" s="86"/>
      <c r="G142" s="11"/>
      <c r="I142" s="161"/>
      <c r="J142" s="159"/>
      <c r="K142" s="51"/>
      <c r="M142" s="161"/>
      <c r="N142" s="162"/>
      <c r="O142" s="163"/>
      <c r="P142" s="14"/>
    </row>
    <row r="143" spans="3:19" hidden="1" outlineLevel="1" x14ac:dyDescent="0.25">
      <c r="C143" s="126" t="s">
        <v>488</v>
      </c>
      <c r="D143" s="537"/>
      <c r="G143" s="11"/>
      <c r="H143" s="146"/>
      <c r="I143" s="159"/>
      <c r="L143" s="148"/>
      <c r="O143" s="87"/>
      <c r="P143" s="14"/>
    </row>
    <row r="144" spans="3:19" hidden="1" outlineLevel="1" x14ac:dyDescent="0.25">
      <c r="C144" s="133"/>
      <c r="D144" s="15" t="s">
        <v>38</v>
      </c>
      <c r="E144" s="11" t="s">
        <v>46</v>
      </c>
      <c r="F144" s="11" t="s">
        <v>46</v>
      </c>
      <c r="G144" s="11"/>
      <c r="H144" s="41"/>
      <c r="I144" s="52"/>
      <c r="J144" s="82"/>
      <c r="K144" s="170"/>
      <c r="L144" s="52" cm="1">
        <f t="array" ref="L144">IFERROR(INDEX(Table3[Material Cost], MATCH(1, (Table3[Material]=$D$143) * (Table3[Size]=D144), 0)),0)</f>
        <v>0</v>
      </c>
      <c r="M144" s="56">
        <v>0</v>
      </c>
      <c r="N144" s="84">
        <f t="shared" ref="N144:N149" si="32">((G144+H144)*L144)+((G144+H144)*M144)</f>
        <v>0</v>
      </c>
      <c r="O144" s="167">
        <f t="shared" ref="O144:O149" si="33">N144+K144</f>
        <v>0</v>
      </c>
      <c r="P144" s="14"/>
    </row>
    <row r="145" spans="3:19" hidden="1" outlineLevel="1" x14ac:dyDescent="0.25">
      <c r="C145" s="133"/>
      <c r="D145" s="15" t="s">
        <v>26</v>
      </c>
      <c r="E145" s="11" t="s">
        <v>46</v>
      </c>
      <c r="F145" s="11" t="s">
        <v>46</v>
      </c>
      <c r="G145" s="11"/>
      <c r="H145" s="41"/>
      <c r="I145" s="52"/>
      <c r="J145" s="82"/>
      <c r="K145" s="170"/>
      <c r="L145" s="52" cm="1">
        <f t="array" ref="L145">IFERROR(INDEX(Table3[Material Cost], MATCH(1, (Table3[Material]=$D$143) * (Table3[Size]=D145), 0)),0)</f>
        <v>0</v>
      </c>
      <c r="M145" s="56">
        <v>0</v>
      </c>
      <c r="N145" s="84">
        <f t="shared" si="32"/>
        <v>0</v>
      </c>
      <c r="O145" s="167">
        <f t="shared" si="33"/>
        <v>0</v>
      </c>
      <c r="P145" s="14"/>
    </row>
    <row r="146" spans="3:19" hidden="1" outlineLevel="1" x14ac:dyDescent="0.25">
      <c r="C146" s="133"/>
      <c r="D146" s="15" t="s">
        <v>129</v>
      </c>
      <c r="E146" s="11" t="s">
        <v>46</v>
      </c>
      <c r="F146" s="11" t="s">
        <v>46</v>
      </c>
      <c r="G146" s="11"/>
      <c r="H146" s="41"/>
      <c r="I146" s="52"/>
      <c r="J146" s="82"/>
      <c r="K146" s="170"/>
      <c r="L146" s="52" cm="1">
        <f t="array" ref="L146">IFERROR(INDEX(Table3[Material Cost], MATCH(1, (Table3[Material]=$D$143) * (Table3[Size]=D146), 0)),0)</f>
        <v>0</v>
      </c>
      <c r="M146" s="56">
        <v>0</v>
      </c>
      <c r="N146" s="84">
        <f t="shared" si="32"/>
        <v>0</v>
      </c>
      <c r="O146" s="167">
        <f t="shared" si="33"/>
        <v>0</v>
      </c>
      <c r="P146" s="14"/>
    </row>
    <row r="147" spans="3:19" hidden="1" outlineLevel="1" x14ac:dyDescent="0.25">
      <c r="C147" s="133"/>
      <c r="D147" s="15" t="s">
        <v>27</v>
      </c>
      <c r="E147" s="11" t="s">
        <v>46</v>
      </c>
      <c r="F147" s="11" t="s">
        <v>46</v>
      </c>
      <c r="G147" s="11"/>
      <c r="H147" s="41"/>
      <c r="I147" s="52"/>
      <c r="J147" s="82"/>
      <c r="K147" s="170"/>
      <c r="L147" s="52" cm="1">
        <f t="array" ref="L147">IFERROR(INDEX(Table3[Material Cost], MATCH(1, (Table3[Material]=$D$143) * (Table3[Size]=D147), 0)),0)</f>
        <v>0</v>
      </c>
      <c r="M147" s="56">
        <v>0</v>
      </c>
      <c r="N147" s="84">
        <f t="shared" si="32"/>
        <v>0</v>
      </c>
      <c r="O147" s="167">
        <f t="shared" si="33"/>
        <v>0</v>
      </c>
      <c r="P147" s="14"/>
    </row>
    <row r="148" spans="3:19" hidden="1" outlineLevel="1" x14ac:dyDescent="0.25">
      <c r="C148" s="133"/>
      <c r="D148" s="15" t="s">
        <v>154</v>
      </c>
      <c r="E148" s="11" t="s">
        <v>46</v>
      </c>
      <c r="F148" s="11" t="s">
        <v>46</v>
      </c>
      <c r="G148" s="11"/>
      <c r="H148" s="41"/>
      <c r="I148" s="52"/>
      <c r="J148" s="82"/>
      <c r="K148" s="170"/>
      <c r="L148" s="52" cm="1">
        <f t="array" ref="L148">IFERROR(INDEX(Table3[Material Cost], MATCH(1, (Table3[Material]=$D$143) * (Table3[Size]=D148), 0)),0)</f>
        <v>0</v>
      </c>
      <c r="M148" s="56">
        <v>0</v>
      </c>
      <c r="N148" s="84">
        <f t="shared" si="32"/>
        <v>0</v>
      </c>
      <c r="O148" s="167">
        <f t="shared" si="33"/>
        <v>0</v>
      </c>
      <c r="P148" s="14"/>
    </row>
    <row r="149" spans="3:19" hidden="1" outlineLevel="1" x14ac:dyDescent="0.25">
      <c r="C149" s="133"/>
      <c r="D149" s="15" t="s">
        <v>155</v>
      </c>
      <c r="E149" s="11" t="s">
        <v>46</v>
      </c>
      <c r="F149" s="11" t="s">
        <v>46</v>
      </c>
      <c r="G149" s="11"/>
      <c r="H149" s="41"/>
      <c r="I149" s="52"/>
      <c r="J149" s="82"/>
      <c r="K149" s="170"/>
      <c r="L149" s="52" cm="1">
        <f t="array" ref="L149">IFERROR(INDEX(Table3[Material Cost], MATCH(1, (Table3[Material]=$D$143) * (Table3[Size]=D149), 0)),0)</f>
        <v>0</v>
      </c>
      <c r="M149" s="56">
        <v>0</v>
      </c>
      <c r="N149" s="84">
        <f t="shared" si="32"/>
        <v>0</v>
      </c>
      <c r="O149" s="167">
        <f t="shared" si="33"/>
        <v>0</v>
      </c>
      <c r="P149" s="14"/>
    </row>
    <row r="150" spans="3:19" hidden="1" outlineLevel="1" x14ac:dyDescent="0.25">
      <c r="C150" s="133"/>
      <c r="D150" s="15"/>
      <c r="G150" s="11"/>
      <c r="H150" s="41"/>
      <c r="I150" s="52"/>
      <c r="J150" s="82"/>
      <c r="K150" s="170"/>
      <c r="L150" s="52"/>
      <c r="M150" s="56"/>
      <c r="N150" s="84"/>
      <c r="O150" s="167"/>
      <c r="P150" s="14"/>
    </row>
    <row r="151" spans="3:19" hidden="1" outlineLevel="1" x14ac:dyDescent="0.25">
      <c r="C151" s="133"/>
      <c r="G151" s="11"/>
      <c r="H151" s="143"/>
      <c r="I151" s="52"/>
      <c r="J151" s="82"/>
      <c r="K151" s="51"/>
      <c r="L151" s="132"/>
      <c r="M151" s="56"/>
      <c r="N151" s="84"/>
      <c r="O151" s="88"/>
      <c r="P151" s="14"/>
    </row>
    <row r="152" spans="3:19" ht="15.75" hidden="1" outlineLevel="1" thickBot="1" x14ac:dyDescent="0.3">
      <c r="C152" s="208" t="s">
        <v>516</v>
      </c>
      <c r="D152" s="10"/>
      <c r="G152" s="209">
        <v>0.35</v>
      </c>
      <c r="H152" s="169"/>
      <c r="I152" s="52"/>
      <c r="J152" s="52"/>
      <c r="K152" s="52"/>
      <c r="N152" s="138">
        <f>SUM(N140:N151)*G152</f>
        <v>0</v>
      </c>
      <c r="O152" s="167">
        <f t="shared" ref="O152" si="34">N152+K152</f>
        <v>0</v>
      </c>
      <c r="R152" s="349"/>
      <c r="S152" s="349"/>
    </row>
    <row r="153" spans="3:19" hidden="1" outlineLevel="1" x14ac:dyDescent="0.25">
      <c r="C153" s="405"/>
      <c r="D153" s="406" t="s">
        <v>475</v>
      </c>
      <c r="E153" s="407"/>
      <c r="F153" s="407"/>
      <c r="G153" s="408"/>
      <c r="H153" s="408">
        <f>SUM(H140:H151)</f>
        <v>0</v>
      </c>
      <c r="I153" s="408"/>
      <c r="J153" s="408">
        <f>SUM(J140:J152)</f>
        <v>0</v>
      </c>
      <c r="K153" s="409">
        <f>SUM(K140:K152)</f>
        <v>0</v>
      </c>
      <c r="L153" s="408"/>
      <c r="M153" s="408"/>
      <c r="N153" s="409">
        <f>SUM(N140:N152)</f>
        <v>0</v>
      </c>
      <c r="O153" s="410"/>
      <c r="R153" s="349"/>
      <c r="S153" s="349"/>
    </row>
    <row r="154" spans="3:19" hidden="1" outlineLevel="1" x14ac:dyDescent="0.25">
      <c r="C154" s="86"/>
      <c r="E154"/>
      <c r="F154"/>
      <c r="K154" s="1"/>
      <c r="O154" s="137"/>
      <c r="P154" s="14"/>
    </row>
    <row r="155" spans="3:19" ht="15.75" hidden="1" outlineLevel="1" x14ac:dyDescent="0.25">
      <c r="C155" s="629" t="s">
        <v>510</v>
      </c>
      <c r="D155" s="630"/>
      <c r="G155" s="11"/>
      <c r="I155" s="161"/>
      <c r="J155" s="159"/>
      <c r="K155" s="51"/>
      <c r="M155" s="161"/>
      <c r="N155" s="162"/>
      <c r="O155" s="163"/>
      <c r="P155" s="14"/>
    </row>
    <row r="156" spans="3:19" ht="15" hidden="1" customHeight="1" outlineLevel="1" x14ac:dyDescent="0.25">
      <c r="C156" s="241"/>
      <c r="G156" s="11"/>
      <c r="H156" s="146"/>
      <c r="I156" s="134"/>
      <c r="J156" s="82"/>
      <c r="K156" s="51"/>
      <c r="L156" s="56"/>
      <c r="M156" s="56"/>
      <c r="N156" s="84"/>
      <c r="O156" s="88"/>
    </row>
    <row r="157" spans="3:19" hidden="1" outlineLevel="1" x14ac:dyDescent="0.25">
      <c r="C157" s="86" t="s">
        <v>488</v>
      </c>
      <c r="E157" s="11" t="s">
        <v>46</v>
      </c>
      <c r="F157" s="11" t="s">
        <v>46</v>
      </c>
      <c r="G157" s="11"/>
      <c r="H157" s="143"/>
      <c r="I157" s="56">
        <v>1</v>
      </c>
      <c r="J157" s="82">
        <f>(G157+H157)*I157</f>
        <v>0</v>
      </c>
      <c r="K157" s="51">
        <f>J157*Summary!$H$4</f>
        <v>0</v>
      </c>
      <c r="L157" s="53">
        <v>0</v>
      </c>
      <c r="M157" s="56">
        <v>0</v>
      </c>
      <c r="N157" s="84">
        <f>((G157+H157)*L157)+((G157+H157)*M157)</f>
        <v>0</v>
      </c>
      <c r="O157" s="88">
        <f t="shared" ref="O157" si="35">N157+K157</f>
        <v>0</v>
      </c>
    </row>
    <row r="158" spans="3:19" ht="15.75" hidden="1" outlineLevel="1" thickBot="1" x14ac:dyDescent="0.3">
      <c r="C158" s="86"/>
      <c r="G158" s="11"/>
      <c r="H158" s="143"/>
      <c r="I158" s="56"/>
      <c r="J158" s="82"/>
      <c r="K158" s="51"/>
      <c r="L158" s="53"/>
      <c r="M158" s="56"/>
      <c r="N158" s="84"/>
      <c r="O158" s="88"/>
    </row>
    <row r="159" spans="3:19" hidden="1" outlineLevel="1" x14ac:dyDescent="0.25">
      <c r="C159" s="405"/>
      <c r="D159" s="406" t="s">
        <v>570</v>
      </c>
      <c r="E159" s="407"/>
      <c r="F159" s="407"/>
      <c r="G159" s="408">
        <f>SUM(G154:G158)</f>
        <v>0</v>
      </c>
      <c r="H159" s="408"/>
      <c r="I159" s="408"/>
      <c r="J159" s="408">
        <f>SUM(J154:J158)</f>
        <v>0</v>
      </c>
      <c r="K159" s="409">
        <f>SUM(K154:K158)</f>
        <v>0</v>
      </c>
      <c r="L159" s="408"/>
      <c r="M159" s="408"/>
      <c r="N159" s="409">
        <f>SUM(N154:N158)</f>
        <v>0</v>
      </c>
      <c r="O159" s="410"/>
      <c r="R159" s="349"/>
      <c r="S159" s="349"/>
    </row>
    <row r="160" spans="3:19" hidden="1" outlineLevel="1" x14ac:dyDescent="0.25">
      <c r="C160" s="86"/>
      <c r="K160" s="1"/>
      <c r="O160" s="137"/>
    </row>
    <row r="161" spans="1:73" ht="15.75" hidden="1" outlineLevel="1" thickBot="1" x14ac:dyDescent="0.3">
      <c r="C161" s="86"/>
      <c r="K161" s="1"/>
      <c r="O161" s="137"/>
    </row>
    <row r="162" spans="1:73" s="437" customFormat="1" ht="22.5" customHeight="1" collapsed="1" thickTop="1" thickBot="1" x14ac:dyDescent="0.3">
      <c r="A162" s="516"/>
      <c r="C162" s="272"/>
      <c r="D162" s="191" t="s">
        <v>571</v>
      </c>
      <c r="E162" s="191"/>
      <c r="F162" s="191"/>
      <c r="G162" s="274"/>
      <c r="H162" s="191"/>
      <c r="I162" s="191"/>
      <c r="J162" s="274">
        <f>J159+J153+J139</f>
        <v>0</v>
      </c>
      <c r="K162" s="433">
        <f>K159+K153+K139</f>
        <v>0</v>
      </c>
      <c r="L162" s="434"/>
      <c r="M162" s="191"/>
      <c r="N162" s="433">
        <f>N159+N153+N139</f>
        <v>0</v>
      </c>
      <c r="O162" s="435"/>
      <c r="P162" s="436">
        <f>SUM(O115:O161)</f>
        <v>0</v>
      </c>
      <c r="Q162" s="437" t="str">
        <f>IF(P162=(N162+K162), "GOOD", "ERROR NEED CHECK")</f>
        <v>GOOD</v>
      </c>
      <c r="R162" s="349">
        <f t="shared" ref="R162" si="36">IF(F162="X", IF(G162&lt;&gt;"", IF(OR(I162&gt;0,O162&gt;0), "✔", "ERROR"),"ERROR"),0)</f>
        <v>0</v>
      </c>
      <c r="S162" s="349">
        <f t="shared" ref="S162" si="37">IF(E162="X", IF(G162&lt;&gt;"", IF(AND(N162&gt;0,O162&gt;0), "✔", "ERROR"),"ERROR"),0)</f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</row>
    <row r="163" spans="1:73" ht="15.75" thickBot="1" x14ac:dyDescent="0.3">
      <c r="C163" s="381"/>
      <c r="D163" s="381"/>
      <c r="E163" s="396"/>
      <c r="F163" s="396"/>
      <c r="G163" s="381"/>
      <c r="H163" s="381"/>
      <c r="I163" s="381"/>
      <c r="J163" s="381"/>
      <c r="K163" s="212"/>
      <c r="L163" s="381"/>
      <c r="M163" s="381"/>
      <c r="N163" s="381"/>
      <c r="O163" s="212"/>
    </row>
    <row r="164" spans="1:73" ht="15.75" thickBot="1" x14ac:dyDescent="0.3">
      <c r="C164" s="389"/>
      <c r="D164" s="390"/>
      <c r="E164" s="391"/>
      <c r="F164" s="391"/>
      <c r="G164" s="390"/>
      <c r="H164" s="390"/>
      <c r="I164" s="390"/>
      <c r="J164" s="390"/>
      <c r="K164" s="477"/>
      <c r="L164" s="390"/>
      <c r="M164" s="390"/>
      <c r="N164" s="390"/>
      <c r="O164" s="478"/>
    </row>
    <row r="165" spans="1:73" ht="22.5" thickTop="1" thickBot="1" x14ac:dyDescent="0.4">
      <c r="C165" s="413" t="s">
        <v>572</v>
      </c>
      <c r="D165" s="414"/>
      <c r="E165" s="415"/>
      <c r="F165" s="415"/>
      <c r="G165" s="416"/>
      <c r="H165" s="417"/>
      <c r="I165" s="416"/>
      <c r="J165" s="418"/>
      <c r="K165" s="419"/>
      <c r="L165" s="416"/>
      <c r="M165" s="416"/>
      <c r="N165" s="420"/>
      <c r="O165" s="421"/>
      <c r="P165" s="14"/>
      <c r="R165" s="349">
        <f t="shared" ref="R165" si="38">IF(F165="X", IF(G165&lt;&gt;"", IF(OR(I165&lt;&gt;"",L165&lt;&gt;""), "✔", "ERROR"),"ERROR"),0)</f>
        <v>0</v>
      </c>
      <c r="S165" s="348"/>
      <c r="U165" s="43"/>
    </row>
    <row r="166" spans="1:73" ht="15.75" outlineLevel="1" thickTop="1" x14ac:dyDescent="0.25">
      <c r="C166" s="86"/>
      <c r="K166" s="1"/>
      <c r="O166" s="137"/>
    </row>
    <row r="167" spans="1:73" ht="15.75" outlineLevel="1" x14ac:dyDescent="0.25">
      <c r="C167" s="471" t="s">
        <v>484</v>
      </c>
      <c r="D167" s="1" t="s">
        <v>609</v>
      </c>
      <c r="O167" s="87"/>
    </row>
    <row r="168" spans="1:73" outlineLevel="1" x14ac:dyDescent="0.25">
      <c r="C168" s="86"/>
      <c r="D168" s="279" t="s">
        <v>607</v>
      </c>
      <c r="E168" s="56"/>
      <c r="G168" s="56"/>
      <c r="H168" s="549">
        <v>2</v>
      </c>
      <c r="I168">
        <f>IFERROR(INDEX($U$26:$AF$49,MATCH(D184,$T$26:$T$49,0),MATCH(E184,$U$22:$AF$22,0)),0)</f>
        <v>0</v>
      </c>
      <c r="O168" s="87"/>
    </row>
    <row r="169" spans="1:73" ht="15" customHeight="1" outlineLevel="1" x14ac:dyDescent="0.25">
      <c r="C169" s="86"/>
      <c r="D169" s="279" t="s">
        <v>611</v>
      </c>
      <c r="F169"/>
      <c r="G169" s="314">
        <f>I184</f>
        <v>0</v>
      </c>
      <c r="H169" s="549">
        <f>SUM(H191:H205)</f>
        <v>0</v>
      </c>
      <c r="I169" s="83"/>
      <c r="O169" s="87"/>
    </row>
    <row r="170" spans="1:73" outlineLevel="1" x14ac:dyDescent="0.25">
      <c r="C170" s="86"/>
      <c r="D170" s="1" t="s">
        <v>612</v>
      </c>
      <c r="E170" s="56"/>
      <c r="F170"/>
      <c r="G170" s="56"/>
      <c r="H170" s="82"/>
      <c r="I170" s="83"/>
      <c r="J170" s="52"/>
      <c r="K170" s="51"/>
      <c r="L170" s="84"/>
      <c r="M170" s="85"/>
      <c r="O170" s="136"/>
      <c r="P170" s="14"/>
    </row>
    <row r="171" spans="1:73" outlineLevel="1" x14ac:dyDescent="0.25">
      <c r="C171" s="86"/>
      <c r="D171" s="279" t="s">
        <v>613</v>
      </c>
      <c r="E171" s="11" t="s">
        <v>46</v>
      </c>
      <c r="F171" s="11" t="s">
        <v>46</v>
      </c>
      <c r="G171" s="56"/>
      <c r="H171" s="82">
        <f>SUM(H169:H169)</f>
        <v>0</v>
      </c>
      <c r="I171" s="52">
        <f>8/500*(120/65)</f>
        <v>2.9538461538461541E-2</v>
      </c>
      <c r="J171" s="82">
        <f>(G171+H171)*I171</f>
        <v>0</v>
      </c>
      <c r="K171" s="51">
        <f>J171*Summary!$H$4</f>
        <v>0</v>
      </c>
      <c r="L171" s="84"/>
      <c r="M171" s="85"/>
      <c r="O171" s="136">
        <f>N171+K171</f>
        <v>0</v>
      </c>
      <c r="P171" s="14"/>
    </row>
    <row r="172" spans="1:73" outlineLevel="1" x14ac:dyDescent="0.25">
      <c r="C172" s="86"/>
      <c r="D172" s="279" t="s">
        <v>620</v>
      </c>
      <c r="E172" s="11" t="s">
        <v>46</v>
      </c>
      <c r="F172" s="11" t="s">
        <v>46</v>
      </c>
      <c r="G172" s="56"/>
      <c r="H172" s="82">
        <f>SUM(H169:H169)</f>
        <v>0</v>
      </c>
      <c r="I172" s="52">
        <f>IF(H168&lt;4,IFERROR(8/INDEX($U$62:$X$62,MATCH(ROUNDUP(C184/1,0),$U$61:$X$61,0)),0)*300/65*2,0)</f>
        <v>0</v>
      </c>
      <c r="J172" s="82">
        <f>(G172+H172)*I172</f>
        <v>0</v>
      </c>
      <c r="K172" s="51">
        <f>J172*Summary!$H$4</f>
        <v>0</v>
      </c>
      <c r="L172" s="84"/>
      <c r="M172" s="85"/>
      <c r="O172" s="136">
        <f>N172+K172</f>
        <v>0</v>
      </c>
      <c r="P172" s="14"/>
    </row>
    <row r="173" spans="1:73" outlineLevel="1" x14ac:dyDescent="0.25">
      <c r="C173" s="86"/>
      <c r="D173" s="279" t="s">
        <v>619</v>
      </c>
      <c r="E173" s="11" t="s">
        <v>46</v>
      </c>
      <c r="F173" s="11" t="s">
        <v>46</v>
      </c>
      <c r="G173" s="56"/>
      <c r="H173" s="82">
        <f>G184*1.3</f>
        <v>0</v>
      </c>
      <c r="I173" s="52"/>
      <c r="J173" s="82"/>
      <c r="K173" s="51"/>
      <c r="L173" s="52">
        <v>30</v>
      </c>
      <c r="M173" s="85"/>
      <c r="N173" s="84">
        <f>L173*(H173+G173)</f>
        <v>0</v>
      </c>
      <c r="O173" s="136">
        <f>N173+K173</f>
        <v>0</v>
      </c>
      <c r="P173" s="14"/>
    </row>
    <row r="174" spans="1:73" outlineLevel="1" x14ac:dyDescent="0.25">
      <c r="C174" s="86"/>
      <c r="D174" s="279" t="s">
        <v>614</v>
      </c>
      <c r="E174" s="11" t="s">
        <v>46</v>
      </c>
      <c r="F174" s="11" t="s">
        <v>46</v>
      </c>
      <c r="G174" s="56"/>
      <c r="H174" s="82">
        <f>SUM(H169:H169)</f>
        <v>0</v>
      </c>
      <c r="I174" s="52">
        <f>8/500*(100/65)</f>
        <v>2.4615384615384619E-2</v>
      </c>
      <c r="J174" s="82">
        <f>(G174+H174)*I174</f>
        <v>0</v>
      </c>
      <c r="K174" s="51">
        <f>J174*Summary!$H$4</f>
        <v>0</v>
      </c>
      <c r="L174" s="52"/>
      <c r="M174" s="85"/>
      <c r="O174" s="136">
        <f>N174+K174</f>
        <v>0</v>
      </c>
      <c r="P174" s="14"/>
    </row>
    <row r="175" spans="1:73" outlineLevel="1" x14ac:dyDescent="0.25">
      <c r="C175" s="86"/>
      <c r="D175" s="1" t="s">
        <v>608</v>
      </c>
      <c r="G175" s="56"/>
      <c r="H175" s="82"/>
      <c r="I175" s="52"/>
      <c r="J175" s="82"/>
      <c r="K175" s="51"/>
      <c r="L175" s="52"/>
      <c r="M175" s="85"/>
      <c r="O175" s="136"/>
      <c r="P175" s="14"/>
    </row>
    <row r="176" spans="1:73" outlineLevel="1" x14ac:dyDescent="0.25">
      <c r="C176" s="86"/>
      <c r="D176" s="279" t="s">
        <v>616</v>
      </c>
      <c r="E176" s="11" t="s">
        <v>46</v>
      </c>
      <c r="F176" s="11" t="s">
        <v>46</v>
      </c>
      <c r="G176" s="56"/>
      <c r="H176" s="82">
        <f>(H169*E184*D184)/27*1.4*1.1</f>
        <v>0</v>
      </c>
      <c r="I176" s="52">
        <f>8/50*(128/65)</f>
        <v>0.31507692307692309</v>
      </c>
      <c r="J176" s="82">
        <f>(G176+H176)*I176</f>
        <v>0</v>
      </c>
      <c r="K176" s="51">
        <f>J176*Summary!$H$4</f>
        <v>0</v>
      </c>
      <c r="L176" s="52"/>
      <c r="M176" s="85"/>
      <c r="O176" s="136">
        <f t="shared" ref="O176" si="39">N176+K176</f>
        <v>0</v>
      </c>
      <c r="P176" s="14"/>
    </row>
    <row r="177" spans="3:19" ht="15" customHeight="1" outlineLevel="1" x14ac:dyDescent="0.25">
      <c r="C177" s="86"/>
      <c r="D177" s="279" t="s">
        <v>617</v>
      </c>
      <c r="E177" s="11" t="s">
        <v>46</v>
      </c>
      <c r="F177" s="11" t="s">
        <v>46</v>
      </c>
      <c r="G177" s="56"/>
      <c r="H177" s="82">
        <f>SUM(H176:H176)</f>
        <v>0</v>
      </c>
      <c r="I177" s="52"/>
      <c r="J177" s="82"/>
      <c r="K177" s="51"/>
      <c r="L177" s="52">
        <v>450</v>
      </c>
      <c r="M177" s="85"/>
      <c r="N177" s="84">
        <f>L177*ROUNDUP((H177+G177)/25,0)</f>
        <v>0</v>
      </c>
      <c r="O177" s="136">
        <f>N177+K177</f>
        <v>0</v>
      </c>
      <c r="P177" s="14"/>
    </row>
    <row r="178" spans="3:19" ht="15" customHeight="1" outlineLevel="1" x14ac:dyDescent="0.25">
      <c r="C178" s="86"/>
      <c r="D178" s="1" t="s">
        <v>279</v>
      </c>
      <c r="E178"/>
      <c r="F178"/>
      <c r="K178" s="1"/>
      <c r="O178" s="137"/>
      <c r="P178" s="315"/>
    </row>
    <row r="179" spans="3:19" ht="15" customHeight="1" outlineLevel="1" x14ac:dyDescent="0.25">
      <c r="C179" s="551">
        <v>0</v>
      </c>
      <c r="D179" s="279" t="s">
        <v>654</v>
      </c>
      <c r="E179" s="11" t="s">
        <v>46</v>
      </c>
      <c r="F179" s="11" t="s">
        <v>46</v>
      </c>
      <c r="G179">
        <f>IF(C179="YES",ROUNDUP(J172,0),0)</f>
        <v>0</v>
      </c>
      <c r="K179" s="1"/>
      <c r="L179" s="52">
        <f>1500/8</f>
        <v>187.5</v>
      </c>
      <c r="M179" s="85"/>
      <c r="N179" s="84">
        <f>IF(G179&gt;0,L179*(H179+G179)+3000,0)</f>
        <v>0</v>
      </c>
      <c r="O179" s="136">
        <f t="shared" ref="O179" si="40">N179+K179</f>
        <v>0</v>
      </c>
      <c r="P179" s="315"/>
    </row>
    <row r="180" spans="3:19" ht="15" customHeight="1" outlineLevel="1" x14ac:dyDescent="0.25">
      <c r="C180" s="86"/>
      <c r="D180" s="279" t="s">
        <v>655</v>
      </c>
      <c r="E180" s="11" t="s">
        <v>46</v>
      </c>
      <c r="F180" s="11" t="s">
        <v>46</v>
      </c>
      <c r="G180">
        <f>IF(H168&gt;5,ROUNDUP(J172,0),0)</f>
        <v>0</v>
      </c>
      <c r="K180" s="1"/>
      <c r="L180" s="52">
        <v>30</v>
      </c>
      <c r="M180" s="85"/>
      <c r="N180" s="84">
        <f t="shared" ref="N180" si="41">L180*(H180+G180)</f>
        <v>0</v>
      </c>
      <c r="O180" s="136">
        <f>N180+K180</f>
        <v>0</v>
      </c>
      <c r="P180" s="315"/>
    </row>
    <row r="181" spans="3:19" ht="15" customHeight="1" outlineLevel="1" thickBot="1" x14ac:dyDescent="0.3">
      <c r="C181" s="86"/>
      <c r="E181"/>
      <c r="F181"/>
      <c r="K181" s="1"/>
      <c r="O181" s="137"/>
      <c r="P181" s="315"/>
    </row>
    <row r="182" spans="3:19" ht="15.75" customHeight="1" outlineLevel="1" thickBot="1" x14ac:dyDescent="0.3">
      <c r="C182" s="65" t="s">
        <v>54</v>
      </c>
      <c r="D182" s="428"/>
      <c r="E182" s="381"/>
      <c r="F182" s="381"/>
      <c r="G182" s="544"/>
      <c r="H182" s="1"/>
      <c r="I182" s="1"/>
      <c r="J182" s="1"/>
      <c r="K182" s="1"/>
      <c r="O182" s="137"/>
    </row>
    <row r="183" spans="3:19" outlineLevel="1" x14ac:dyDescent="0.25">
      <c r="C183" s="196" t="s">
        <v>601</v>
      </c>
      <c r="D183" s="197" t="s">
        <v>602</v>
      </c>
      <c r="E183" s="197" t="s">
        <v>603</v>
      </c>
      <c r="F183" s="250" t="s">
        <v>605</v>
      </c>
      <c r="G183" s="318" t="s">
        <v>604</v>
      </c>
      <c r="H183" s="1"/>
      <c r="J183" s="1"/>
      <c r="K183" s="108"/>
      <c r="L183" s="108"/>
      <c r="M183" s="108"/>
      <c r="O183" s="137"/>
    </row>
    <row r="184" spans="3:19" ht="15.75" outlineLevel="1" thickBot="1" x14ac:dyDescent="0.3">
      <c r="C184" s="547">
        <v>0</v>
      </c>
      <c r="D184" s="546">
        <f>1.5+C184/12</f>
        <v>1.5</v>
      </c>
      <c r="E184" s="546">
        <f>2+C184/12</f>
        <v>2</v>
      </c>
      <c r="F184" s="545">
        <f>(H169*E184*D184)/27</f>
        <v>0</v>
      </c>
      <c r="G184" s="319">
        <f>ROUNDUP(F184*1.3,0)</f>
        <v>0</v>
      </c>
      <c r="H184" s="1"/>
      <c r="J184" s="1"/>
      <c r="K184" s="108"/>
      <c r="L184" s="108"/>
      <c r="M184" s="108"/>
      <c r="O184" s="137"/>
    </row>
    <row r="185" spans="3:19" outlineLevel="1" x14ac:dyDescent="0.25">
      <c r="C185" s="86"/>
      <c r="D185" s="317" t="s">
        <v>600</v>
      </c>
      <c r="K185" s="1"/>
      <c r="O185" s="137"/>
    </row>
    <row r="186" spans="3:19" outlineLevel="1" x14ac:dyDescent="0.25">
      <c r="C186" s="86"/>
      <c r="D186" s="317" t="s">
        <v>599</v>
      </c>
      <c r="K186" s="1"/>
      <c r="O186" s="137"/>
    </row>
    <row r="187" spans="3:19" outlineLevel="1" x14ac:dyDescent="0.25">
      <c r="C187" s="86"/>
      <c r="E187" s="56"/>
      <c r="F187"/>
      <c r="G187" s="56"/>
      <c r="H187" s="82"/>
      <c r="I187" s="83"/>
      <c r="J187" s="52"/>
      <c r="K187" s="51"/>
      <c r="L187" s="84"/>
      <c r="M187" s="85"/>
      <c r="O187" s="136"/>
      <c r="P187" s="14"/>
    </row>
    <row r="188" spans="3:19" outlineLevel="1" x14ac:dyDescent="0.25">
      <c r="C188" s="86"/>
      <c r="E188" s="56"/>
      <c r="F188"/>
      <c r="G188" s="313"/>
      <c r="H188" s="82"/>
      <c r="I188" s="83"/>
      <c r="J188" s="52"/>
      <c r="K188" s="51"/>
      <c r="L188" s="53"/>
      <c r="M188" s="56"/>
      <c r="N188" s="84"/>
      <c r="O188" s="88"/>
      <c r="P188" s="14"/>
    </row>
    <row r="189" spans="3:19" ht="15.75" outlineLevel="1" thickBot="1" x14ac:dyDescent="0.3">
      <c r="C189" s="86"/>
      <c r="E189"/>
      <c r="F189"/>
      <c r="K189" s="1"/>
      <c r="O189" s="137"/>
      <c r="P189" s="14"/>
    </row>
    <row r="190" spans="3:19" outlineLevel="1" x14ac:dyDescent="0.25">
      <c r="C190" s="405"/>
      <c r="D190" s="406" t="s">
        <v>573</v>
      </c>
      <c r="E190" s="407"/>
      <c r="F190" s="407"/>
      <c r="G190" s="408"/>
      <c r="H190" s="408"/>
      <c r="I190" s="408"/>
      <c r="J190" s="408">
        <f>SUM(J166:J189)</f>
        <v>0</v>
      </c>
      <c r="K190" s="409">
        <f>SUM(K166:K189)</f>
        <v>0</v>
      </c>
      <c r="L190" s="408"/>
      <c r="M190" s="408"/>
      <c r="N190" s="409">
        <f>SUM(N166:N189)</f>
        <v>0</v>
      </c>
      <c r="O190" s="410"/>
      <c r="R190" s="349"/>
      <c r="S190" s="349"/>
    </row>
    <row r="191" spans="3:19" outlineLevel="1" x14ac:dyDescent="0.25">
      <c r="C191" s="86"/>
      <c r="G191" s="11"/>
      <c r="I191" s="161"/>
      <c r="J191" s="159"/>
      <c r="K191" s="51"/>
      <c r="M191" s="161"/>
      <c r="N191" s="162"/>
      <c r="O191" s="163"/>
      <c r="P191" s="14"/>
    </row>
    <row r="192" spans="3:19" ht="15.75" outlineLevel="1" x14ac:dyDescent="0.25">
      <c r="C192" s="629" t="s">
        <v>505</v>
      </c>
      <c r="D192" s="630"/>
      <c r="G192" s="11"/>
      <c r="I192" s="161"/>
      <c r="J192" s="159"/>
      <c r="K192" s="51"/>
      <c r="M192" s="161"/>
      <c r="N192" s="162"/>
      <c r="O192" s="163"/>
      <c r="P192" s="14"/>
    </row>
    <row r="193" spans="3:19" outlineLevel="1" x14ac:dyDescent="0.25">
      <c r="C193" s="86"/>
      <c r="G193" s="11"/>
      <c r="I193" s="161"/>
      <c r="J193" s="159"/>
      <c r="K193" s="51"/>
      <c r="M193" s="161"/>
      <c r="N193" s="162"/>
      <c r="O193" s="163"/>
      <c r="P193" s="14"/>
    </row>
    <row r="194" spans="3:19" outlineLevel="1" x14ac:dyDescent="0.25">
      <c r="C194" s="126" t="s">
        <v>139</v>
      </c>
      <c r="D194" s="537"/>
      <c r="G194" s="11"/>
      <c r="H194" s="146"/>
      <c r="I194" s="159"/>
      <c r="L194" s="148"/>
      <c r="O194" s="87"/>
      <c r="P194" s="14"/>
    </row>
    <row r="195" spans="3:19" outlineLevel="1" x14ac:dyDescent="0.25">
      <c r="C195" s="133"/>
      <c r="D195" s="15" t="s">
        <v>23</v>
      </c>
      <c r="E195" s="11" t="s">
        <v>46</v>
      </c>
      <c r="F195" s="11" t="s">
        <v>46</v>
      </c>
      <c r="G195" s="11"/>
      <c r="H195" s="41"/>
      <c r="I195" s="52"/>
      <c r="J195" s="82"/>
      <c r="K195" s="170"/>
      <c r="L195" s="52" cm="1">
        <f t="array" ref="L195">IFERROR(INDEX(Table3[Material Cost], MATCH(1, (Table3[Material]=$D$194) * (Table3[Size]=D195), 0)),0)</f>
        <v>0</v>
      </c>
      <c r="M195" s="56">
        <v>0</v>
      </c>
      <c r="N195" s="84">
        <f t="shared" ref="N195:N201" si="42">((G195+H195)*L195)+((G195+H195)*M195)</f>
        <v>0</v>
      </c>
      <c r="O195" s="167">
        <f t="shared" ref="O195:O201" si="43">N195+K195</f>
        <v>0</v>
      </c>
      <c r="P195" s="14"/>
    </row>
    <row r="196" spans="3:19" outlineLevel="1" x14ac:dyDescent="0.25">
      <c r="C196" s="133"/>
      <c r="D196" s="15" t="s">
        <v>24</v>
      </c>
      <c r="E196" s="11" t="s">
        <v>46</v>
      </c>
      <c r="F196" s="11" t="s">
        <v>46</v>
      </c>
      <c r="G196" s="11"/>
      <c r="H196" s="41"/>
      <c r="I196" s="52"/>
      <c r="J196" s="82"/>
      <c r="K196" s="170"/>
      <c r="L196" s="52" cm="1">
        <f t="array" ref="L196">IFERROR(INDEX(Table3[Material Cost], MATCH(1, (Table3[Material]=$D$194) * (Table3[Size]=D196), 0)),0)</f>
        <v>0</v>
      </c>
      <c r="M196" s="56">
        <v>0</v>
      </c>
      <c r="N196" s="84">
        <f t="shared" si="42"/>
        <v>0</v>
      </c>
      <c r="O196" s="167">
        <f t="shared" si="43"/>
        <v>0</v>
      </c>
      <c r="P196" s="14"/>
    </row>
    <row r="197" spans="3:19" outlineLevel="1" x14ac:dyDescent="0.25">
      <c r="C197" s="133"/>
      <c r="D197" s="15" t="s">
        <v>25</v>
      </c>
      <c r="E197" s="11" t="s">
        <v>46</v>
      </c>
      <c r="F197" s="11" t="s">
        <v>46</v>
      </c>
      <c r="G197" s="11"/>
      <c r="H197" s="41"/>
      <c r="I197" s="52"/>
      <c r="J197" s="82"/>
      <c r="K197" s="170"/>
      <c r="L197" s="52" cm="1">
        <f t="array" ref="L197">IFERROR(INDEX(Table3[Material Cost], MATCH(1, (Table3[Material]=$D$194) * (Table3[Size]=D197), 0)),0)</f>
        <v>0</v>
      </c>
      <c r="M197" s="56">
        <v>0</v>
      </c>
      <c r="N197" s="84">
        <f t="shared" si="42"/>
        <v>0</v>
      </c>
      <c r="O197" s="167">
        <f t="shared" si="43"/>
        <v>0</v>
      </c>
      <c r="P197" s="14"/>
    </row>
    <row r="198" spans="3:19" outlineLevel="1" x14ac:dyDescent="0.25">
      <c r="C198" s="133"/>
      <c r="D198" s="15" t="s">
        <v>151</v>
      </c>
      <c r="E198" s="11" t="s">
        <v>46</v>
      </c>
      <c r="F198" s="11" t="s">
        <v>46</v>
      </c>
      <c r="G198" s="11"/>
      <c r="H198" s="41"/>
      <c r="I198" s="52"/>
      <c r="J198" s="82"/>
      <c r="K198" s="170"/>
      <c r="L198" s="52" cm="1">
        <f t="array" ref="L198">IFERROR(INDEX(Table3[Material Cost], MATCH(1, (Table3[Material]=$D$194) * (Table3[Size]=D198), 0)),0)</f>
        <v>0</v>
      </c>
      <c r="M198" s="56">
        <v>0</v>
      </c>
      <c r="N198" s="84">
        <f t="shared" si="42"/>
        <v>0</v>
      </c>
      <c r="O198" s="167">
        <f t="shared" si="43"/>
        <v>0</v>
      </c>
      <c r="P198" s="14"/>
    </row>
    <row r="199" spans="3:19" outlineLevel="1" x14ac:dyDescent="0.25">
      <c r="C199" s="133"/>
      <c r="D199" s="15" t="s">
        <v>38</v>
      </c>
      <c r="E199" s="11" t="s">
        <v>46</v>
      </c>
      <c r="F199" s="11" t="s">
        <v>46</v>
      </c>
      <c r="G199" s="11"/>
      <c r="H199" s="41"/>
      <c r="I199" s="52"/>
      <c r="J199" s="82"/>
      <c r="K199" s="170"/>
      <c r="L199" s="52" cm="1">
        <f t="array" ref="L199">IFERROR(INDEX(Table3[Material Cost], MATCH(1, (Table3[Material]=$D$194) * (Table3[Size]=D199), 0)),0)</f>
        <v>0</v>
      </c>
      <c r="M199" s="56">
        <v>0</v>
      </c>
      <c r="N199" s="84">
        <f t="shared" si="42"/>
        <v>0</v>
      </c>
      <c r="O199" s="167">
        <f t="shared" si="43"/>
        <v>0</v>
      </c>
      <c r="P199" s="14"/>
    </row>
    <row r="200" spans="3:19" outlineLevel="1" x14ac:dyDescent="0.25">
      <c r="C200" s="133"/>
      <c r="D200" s="15" t="s">
        <v>26</v>
      </c>
      <c r="E200" s="11" t="s">
        <v>46</v>
      </c>
      <c r="F200" s="11" t="s">
        <v>46</v>
      </c>
      <c r="G200" s="11"/>
      <c r="H200" s="41"/>
      <c r="I200" s="52"/>
      <c r="J200" s="82"/>
      <c r="K200" s="170"/>
      <c r="L200" s="52" cm="1">
        <f t="array" ref="L200">IFERROR(INDEX(Table3[Material Cost], MATCH(1, (Table3[Material]=$D$194) * (Table3[Size]=D200), 0)),0)</f>
        <v>0</v>
      </c>
      <c r="M200" s="56">
        <v>0</v>
      </c>
      <c r="N200" s="84">
        <f t="shared" si="42"/>
        <v>0</v>
      </c>
      <c r="O200" s="167">
        <f t="shared" si="43"/>
        <v>0</v>
      </c>
      <c r="P200" s="14"/>
    </row>
    <row r="201" spans="3:19" outlineLevel="1" x14ac:dyDescent="0.25">
      <c r="C201" s="133"/>
      <c r="D201" s="15" t="s">
        <v>129</v>
      </c>
      <c r="E201" s="11" t="s">
        <v>46</v>
      </c>
      <c r="F201" s="11" t="s">
        <v>46</v>
      </c>
      <c r="G201" s="11"/>
      <c r="H201" s="41"/>
      <c r="I201" s="52"/>
      <c r="J201" s="82"/>
      <c r="K201" s="170"/>
      <c r="L201" s="52" cm="1">
        <f t="array" ref="L201">IFERROR(INDEX(Table3[Material Cost], MATCH(1, (Table3[Material]=$D$194) * (Table3[Size]=D201), 0)),0)</f>
        <v>0</v>
      </c>
      <c r="M201" s="56">
        <v>0</v>
      </c>
      <c r="N201" s="84">
        <f t="shared" si="42"/>
        <v>0</v>
      </c>
      <c r="O201" s="167">
        <f t="shared" si="43"/>
        <v>0</v>
      </c>
      <c r="P201" s="14"/>
    </row>
    <row r="202" spans="3:19" outlineLevel="1" x14ac:dyDescent="0.25">
      <c r="C202" s="133"/>
      <c r="D202" s="15" t="s">
        <v>27</v>
      </c>
      <c r="E202" s="11" t="s">
        <v>46</v>
      </c>
      <c r="F202" s="11" t="s">
        <v>46</v>
      </c>
      <c r="G202" s="11"/>
      <c r="H202" s="41"/>
      <c r="I202" s="52"/>
      <c r="J202" s="82"/>
      <c r="K202" s="170"/>
      <c r="L202" s="52" cm="1">
        <f t="array" ref="L202">IFERROR(INDEX(Table3[Material Cost], MATCH(1, (Table3[Material]=$D$194) * (Table3[Size]=D202), 0)),0)</f>
        <v>0</v>
      </c>
      <c r="M202" s="56">
        <v>0</v>
      </c>
      <c r="N202" s="84">
        <f t="shared" ref="N202" si="44">((G202+H202)*L202)+((G202+H202)*M202)</f>
        <v>0</v>
      </c>
      <c r="O202" s="167">
        <f t="shared" ref="O202" si="45">N202+K202</f>
        <v>0</v>
      </c>
      <c r="P202" s="14"/>
    </row>
    <row r="203" spans="3:19" outlineLevel="1" x14ac:dyDescent="0.25">
      <c r="C203" s="133"/>
      <c r="D203" s="15"/>
      <c r="G203" s="11"/>
      <c r="H203" s="41"/>
      <c r="I203" s="52"/>
      <c r="J203" s="82"/>
      <c r="K203" s="170"/>
      <c r="L203" s="52"/>
      <c r="M203" s="56"/>
      <c r="N203" s="84"/>
      <c r="O203" s="167"/>
      <c r="P203" s="14"/>
    </row>
    <row r="204" spans="3:19" outlineLevel="1" x14ac:dyDescent="0.25">
      <c r="C204" s="133"/>
      <c r="G204" s="11"/>
      <c r="H204" s="143"/>
      <c r="I204" s="52"/>
      <c r="J204" s="82"/>
      <c r="K204" s="51"/>
      <c r="L204" s="132"/>
      <c r="M204" s="56"/>
      <c r="N204" s="84"/>
      <c r="O204" s="88"/>
      <c r="P204" s="14"/>
    </row>
    <row r="205" spans="3:19" ht="15.75" outlineLevel="1" thickBot="1" x14ac:dyDescent="0.3">
      <c r="C205" s="208" t="s">
        <v>516</v>
      </c>
      <c r="D205" s="10"/>
      <c r="G205" s="209">
        <v>0.35</v>
      </c>
      <c r="H205" s="169"/>
      <c r="I205" s="52"/>
      <c r="J205" s="52"/>
      <c r="K205" s="52"/>
      <c r="N205" s="138">
        <f>SUM(N191:N204)*G205</f>
        <v>0</v>
      </c>
      <c r="O205" s="167">
        <f t="shared" ref="O205" si="46">N205+K205</f>
        <v>0</v>
      </c>
      <c r="R205" s="349"/>
      <c r="S205" s="349"/>
    </row>
    <row r="206" spans="3:19" outlineLevel="1" x14ac:dyDescent="0.25">
      <c r="C206" s="405"/>
      <c r="D206" s="406" t="s">
        <v>499</v>
      </c>
      <c r="E206" s="407"/>
      <c r="F206" s="407"/>
      <c r="G206" s="408"/>
      <c r="H206" s="408">
        <f>SUM(H191:H204)</f>
        <v>0</v>
      </c>
      <c r="I206" s="408"/>
      <c r="J206" s="408">
        <f>SUM(J191:J205)</f>
        <v>0</v>
      </c>
      <c r="K206" s="409">
        <f>SUM(K191:K205)</f>
        <v>0</v>
      </c>
      <c r="L206" s="408"/>
      <c r="M206" s="408"/>
      <c r="N206" s="409">
        <f>SUM(N191:N205)</f>
        <v>0</v>
      </c>
      <c r="O206" s="410"/>
      <c r="R206" s="349"/>
      <c r="S206" s="349"/>
    </row>
    <row r="207" spans="3:19" outlineLevel="1" x14ac:dyDescent="0.25">
      <c r="C207" s="86"/>
      <c r="E207"/>
      <c r="F207"/>
      <c r="K207" s="1"/>
      <c r="O207" s="137"/>
      <c r="P207" s="14"/>
    </row>
    <row r="208" spans="3:19" ht="15.75" outlineLevel="1" x14ac:dyDescent="0.25">
      <c r="C208" s="629" t="s">
        <v>510</v>
      </c>
      <c r="D208" s="630"/>
      <c r="G208" s="11"/>
      <c r="I208" s="161"/>
      <c r="J208" s="159"/>
      <c r="K208" s="51"/>
      <c r="M208" s="161"/>
      <c r="N208" s="162"/>
      <c r="O208" s="163"/>
      <c r="P208" s="14"/>
    </row>
    <row r="209" spans="1:73" ht="15" customHeight="1" outlineLevel="1" x14ac:dyDescent="0.25">
      <c r="C209" s="241"/>
      <c r="G209" s="11"/>
      <c r="H209" s="146"/>
      <c r="I209" s="134"/>
      <c r="J209" s="82"/>
      <c r="K209" s="51"/>
      <c r="L209" s="56"/>
      <c r="M209" s="56"/>
      <c r="N209" s="84"/>
      <c r="O209" s="88"/>
    </row>
    <row r="210" spans="1:73" outlineLevel="1" x14ac:dyDescent="0.25">
      <c r="C210" s="86" t="s">
        <v>139</v>
      </c>
      <c r="E210" s="11" t="s">
        <v>46</v>
      </c>
      <c r="F210" s="11" t="s">
        <v>46</v>
      </c>
      <c r="G210" s="11">
        <v>1</v>
      </c>
      <c r="H210" s="143"/>
      <c r="I210" s="56"/>
      <c r="J210" s="82">
        <f>(G210+H210)*I210</f>
        <v>0</v>
      </c>
      <c r="K210" s="51">
        <f>J210*Summary!$H$4</f>
        <v>0</v>
      </c>
      <c r="L210" s="53">
        <v>0</v>
      </c>
      <c r="M210" s="56">
        <v>0</v>
      </c>
      <c r="N210" s="84">
        <f>((G210+H210)*L210)+((G210+H210)*M210)</f>
        <v>0</v>
      </c>
      <c r="O210" s="88">
        <f t="shared" ref="O210" si="47">N210+K210</f>
        <v>0</v>
      </c>
    </row>
    <row r="211" spans="1:73" ht="15.75" outlineLevel="1" thickBot="1" x14ac:dyDescent="0.3">
      <c r="C211" s="86"/>
      <c r="G211" s="11"/>
      <c r="H211" s="143"/>
      <c r="I211" s="56"/>
      <c r="J211" s="82"/>
      <c r="K211" s="51"/>
      <c r="L211" s="53"/>
      <c r="M211" s="56"/>
      <c r="N211" s="84"/>
      <c r="O211" s="88"/>
    </row>
    <row r="212" spans="1:73" outlineLevel="1" x14ac:dyDescent="0.25">
      <c r="C212" s="405"/>
      <c r="D212" s="406" t="s">
        <v>506</v>
      </c>
      <c r="E212" s="407"/>
      <c r="F212" s="407"/>
      <c r="G212" s="408">
        <f>SUM(G207:G211)</f>
        <v>1</v>
      </c>
      <c r="H212" s="408"/>
      <c r="I212" s="408"/>
      <c r="J212" s="408">
        <f>SUM(J207:J211)</f>
        <v>0</v>
      </c>
      <c r="K212" s="409">
        <f>SUM(K207:K211)</f>
        <v>0</v>
      </c>
      <c r="L212" s="408"/>
      <c r="M212" s="408"/>
      <c r="N212" s="409">
        <f>SUM(N207:N211)</f>
        <v>0</v>
      </c>
      <c r="O212" s="410"/>
      <c r="R212" s="349"/>
      <c r="S212" s="349"/>
    </row>
    <row r="213" spans="1:73" outlineLevel="1" x14ac:dyDescent="0.25">
      <c r="C213" s="86"/>
      <c r="K213" s="1"/>
      <c r="O213" s="137"/>
    </row>
    <row r="214" spans="1:73" ht="15.75" outlineLevel="1" thickBot="1" x14ac:dyDescent="0.3">
      <c r="C214" s="86"/>
      <c r="K214" s="1"/>
      <c r="O214" s="137"/>
    </row>
    <row r="215" spans="1:73" s="437" customFormat="1" ht="22.5" customHeight="1" thickBot="1" x14ac:dyDescent="0.3">
      <c r="A215" s="516"/>
      <c r="C215" s="272"/>
      <c r="D215" s="191" t="s">
        <v>574</v>
      </c>
      <c r="E215" s="191"/>
      <c r="F215" s="191"/>
      <c r="G215" s="274"/>
      <c r="H215" s="191"/>
      <c r="I215" s="191"/>
      <c r="J215" s="274">
        <f>J212+J206+J190</f>
        <v>0</v>
      </c>
      <c r="K215" s="433">
        <f>K212+K206+K190</f>
        <v>0</v>
      </c>
      <c r="L215" s="434"/>
      <c r="M215" s="191"/>
      <c r="N215" s="433">
        <f>N212+N206+N190</f>
        <v>0</v>
      </c>
      <c r="O215" s="435"/>
      <c r="P215" s="436">
        <f>SUM(O166:O214)</f>
        <v>0</v>
      </c>
      <c r="Q215" s="437" t="str">
        <f>IF(P215=(N215+K215), "GOOD", "ERROR NEED CHECK")</f>
        <v>GOOD</v>
      </c>
      <c r="R215" s="349">
        <f t="shared" ref="R215" si="48">IF(F215="X", IF(G215&lt;&gt;"", IF(OR(I215&gt;0,O215&gt;0), "✔", "ERROR"),"ERROR"),0)</f>
        <v>0</v>
      </c>
      <c r="S215" s="349">
        <f t="shared" ref="S215" si="49">IF(E215="X", IF(G215&lt;&gt;"", IF(AND(N215&gt;0,O215&gt;0), "✔", "ERROR"),"ERROR"),0)</f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</row>
    <row r="216" spans="1:73" ht="15.75" thickBot="1" x14ac:dyDescent="0.3">
      <c r="C216" s="381"/>
      <c r="D216" s="381"/>
      <c r="E216" s="396"/>
      <c r="F216" s="396"/>
      <c r="G216" s="381"/>
      <c r="H216" s="381"/>
      <c r="I216" s="381"/>
      <c r="J216" s="381"/>
      <c r="K216" s="212"/>
      <c r="L216" s="381"/>
      <c r="M216" s="381"/>
      <c r="N216" s="381"/>
      <c r="O216" s="212"/>
    </row>
    <row r="217" spans="1:73" ht="15.75" thickBot="1" x14ac:dyDescent="0.3">
      <c r="C217" s="389"/>
      <c r="D217" s="390"/>
      <c r="E217" s="391"/>
      <c r="F217" s="391"/>
      <c r="G217" s="390"/>
      <c r="H217" s="390"/>
      <c r="I217" s="390"/>
      <c r="J217" s="390"/>
      <c r="K217" s="477"/>
      <c r="L217" s="390"/>
      <c r="M217" s="390"/>
      <c r="N217" s="390"/>
      <c r="O217" s="478"/>
    </row>
    <row r="218" spans="1:73" ht="22.5" thickTop="1" thickBot="1" x14ac:dyDescent="0.4">
      <c r="C218" s="413" t="s">
        <v>575</v>
      </c>
      <c r="D218" s="414"/>
      <c r="E218" s="415"/>
      <c r="F218" s="415"/>
      <c r="G218" s="416"/>
      <c r="H218" s="417"/>
      <c r="I218" s="416"/>
      <c r="J218" s="418"/>
      <c r="K218" s="419"/>
      <c r="L218" s="416"/>
      <c r="M218" s="416"/>
      <c r="N218" s="420"/>
      <c r="O218" s="421"/>
      <c r="P218" s="14"/>
      <c r="R218" s="349">
        <f t="shared" ref="R218" si="50">IF(F218="X", IF(G218&lt;&gt;"", IF(OR(I218&lt;&gt;"",L218&lt;&gt;""), "✔", "ERROR"),"ERROR"),0)</f>
        <v>0</v>
      </c>
      <c r="S218" s="348"/>
      <c r="U218" s="43"/>
    </row>
    <row r="219" spans="1:73" ht="15.75" hidden="1" outlineLevel="1" thickTop="1" x14ac:dyDescent="0.25">
      <c r="C219" s="86"/>
      <c r="K219" s="1"/>
      <c r="O219" s="137"/>
    </row>
    <row r="220" spans="1:73" ht="15.75" hidden="1" outlineLevel="1" x14ac:dyDescent="0.25">
      <c r="C220" s="471" t="s">
        <v>484</v>
      </c>
      <c r="D220" s="1" t="s">
        <v>609</v>
      </c>
      <c r="O220" s="87"/>
    </row>
    <row r="221" spans="1:73" hidden="1" outlineLevel="1" x14ac:dyDescent="0.25">
      <c r="C221" s="86"/>
      <c r="D221" s="279" t="s">
        <v>607</v>
      </c>
      <c r="E221" s="56"/>
      <c r="G221" s="56"/>
      <c r="H221" s="549">
        <v>2</v>
      </c>
      <c r="I221">
        <f>IFERROR(INDEX($U$26:$AF$49,MATCH(D237,$T$26:$T$49,0),MATCH(E237,$U$22:$AF$22,0)),0)</f>
        <v>0</v>
      </c>
      <c r="O221" s="87"/>
    </row>
    <row r="222" spans="1:73" ht="15" hidden="1" customHeight="1" outlineLevel="1" x14ac:dyDescent="0.25">
      <c r="C222" s="86"/>
      <c r="D222" s="279" t="s">
        <v>611</v>
      </c>
      <c r="F222"/>
      <c r="G222" s="314">
        <f>I237</f>
        <v>0</v>
      </c>
      <c r="H222" s="549">
        <f>SUM(H245:H255)</f>
        <v>0</v>
      </c>
      <c r="I222" s="83"/>
      <c r="O222" s="87"/>
    </row>
    <row r="223" spans="1:73" hidden="1" outlineLevel="1" x14ac:dyDescent="0.25">
      <c r="C223" s="86"/>
      <c r="D223" s="1" t="s">
        <v>612</v>
      </c>
      <c r="E223" s="56"/>
      <c r="F223"/>
      <c r="G223" s="56"/>
      <c r="H223" s="82"/>
      <c r="I223" s="83"/>
      <c r="J223" s="52"/>
      <c r="K223" s="51"/>
      <c r="L223" s="84"/>
      <c r="M223" s="85"/>
      <c r="O223" s="136"/>
      <c r="P223" s="14"/>
    </row>
    <row r="224" spans="1:73" hidden="1" outlineLevel="1" x14ac:dyDescent="0.25">
      <c r="C224" s="86"/>
      <c r="D224" s="279" t="s">
        <v>613</v>
      </c>
      <c r="E224" s="11" t="s">
        <v>46</v>
      </c>
      <c r="F224" s="11" t="s">
        <v>46</v>
      </c>
      <c r="G224" s="56"/>
      <c r="H224" s="82">
        <f>SUM(H222:H222)</f>
        <v>0</v>
      </c>
      <c r="I224" s="52">
        <f>8/500*(120/65)</f>
        <v>2.9538461538461541E-2</v>
      </c>
      <c r="J224" s="82">
        <f>(G224+H224)*I224</f>
        <v>0</v>
      </c>
      <c r="K224" s="51">
        <f>J224*Summary!$H$4</f>
        <v>0</v>
      </c>
      <c r="L224" s="84"/>
      <c r="M224" s="85"/>
      <c r="O224" s="136">
        <f>N224+K224</f>
        <v>0</v>
      </c>
      <c r="P224" s="14"/>
    </row>
    <row r="225" spans="3:16" hidden="1" outlineLevel="1" x14ac:dyDescent="0.25">
      <c r="C225" s="86"/>
      <c r="D225" s="279" t="s">
        <v>620</v>
      </c>
      <c r="E225" s="11" t="s">
        <v>46</v>
      </c>
      <c r="F225" s="11" t="s">
        <v>46</v>
      </c>
      <c r="G225" s="56"/>
      <c r="H225" s="82">
        <f>SUM(H222:H222)</f>
        <v>0</v>
      </c>
      <c r="I225" s="52">
        <f>IF(H221&gt;0,8/IFERROR(INDEX($U$9:$Z$9,MATCH(H221,$U$8:$Z$8,0)),$U$9)*300/65*2,0)</f>
        <v>0.18461538461538463</v>
      </c>
      <c r="J225" s="82">
        <f>(G225+H225)*I225</f>
        <v>0</v>
      </c>
      <c r="K225" s="51">
        <f>J225*Summary!$H$4</f>
        <v>0</v>
      </c>
      <c r="L225" s="84"/>
      <c r="M225" s="85"/>
      <c r="O225" s="136">
        <f>N225+K225</f>
        <v>0</v>
      </c>
      <c r="P225" s="14"/>
    </row>
    <row r="226" spans="3:16" hidden="1" outlineLevel="1" x14ac:dyDescent="0.25">
      <c r="C226" s="86"/>
      <c r="D226" s="279" t="s">
        <v>619</v>
      </c>
      <c r="E226" s="11" t="s">
        <v>46</v>
      </c>
      <c r="F226" s="11" t="s">
        <v>46</v>
      </c>
      <c r="G226" s="56"/>
      <c r="H226" s="82">
        <f>G237*1.3</f>
        <v>0</v>
      </c>
      <c r="I226" s="52"/>
      <c r="J226" s="82"/>
      <c r="K226" s="51"/>
      <c r="L226" s="52">
        <v>30</v>
      </c>
      <c r="M226" s="85"/>
      <c r="N226" s="84">
        <f>L226*(H226+G226)</f>
        <v>0</v>
      </c>
      <c r="O226" s="136">
        <f>N226+K226</f>
        <v>0</v>
      </c>
      <c r="P226" s="14"/>
    </row>
    <row r="227" spans="3:16" hidden="1" outlineLevel="1" x14ac:dyDescent="0.25">
      <c r="C227" s="86"/>
      <c r="D227" s="279" t="s">
        <v>614</v>
      </c>
      <c r="E227" s="11" t="s">
        <v>46</v>
      </c>
      <c r="F227" s="11" t="s">
        <v>46</v>
      </c>
      <c r="G227" s="56"/>
      <c r="H227" s="82">
        <f>SUM(H222:H222)</f>
        <v>0</v>
      </c>
      <c r="I227" s="52">
        <f>8/500*(100/65)</f>
        <v>2.4615384615384619E-2</v>
      </c>
      <c r="J227" s="82">
        <f>(G227+H227)*I227</f>
        <v>0</v>
      </c>
      <c r="K227" s="51">
        <f>J227*Summary!$H$4</f>
        <v>0</v>
      </c>
      <c r="L227" s="52"/>
      <c r="M227" s="85"/>
      <c r="O227" s="136">
        <f>N227+K227</f>
        <v>0</v>
      </c>
      <c r="P227" s="14"/>
    </row>
    <row r="228" spans="3:16" hidden="1" outlineLevel="1" x14ac:dyDescent="0.25">
      <c r="C228" s="86"/>
      <c r="D228" s="1" t="s">
        <v>608</v>
      </c>
      <c r="G228" s="56"/>
      <c r="H228" s="82"/>
      <c r="I228" s="52"/>
      <c r="J228" s="82"/>
      <c r="K228" s="51"/>
      <c r="L228" s="52"/>
      <c r="M228" s="85"/>
      <c r="O228" s="136"/>
      <c r="P228" s="14"/>
    </row>
    <row r="229" spans="3:16" hidden="1" outlineLevel="1" x14ac:dyDescent="0.25">
      <c r="C229" s="86"/>
      <c r="D229" s="279" t="s">
        <v>616</v>
      </c>
      <c r="E229" s="11" t="s">
        <v>46</v>
      </c>
      <c r="F229" s="11" t="s">
        <v>46</v>
      </c>
      <c r="G229" s="56"/>
      <c r="H229" s="82">
        <f>(H222*E237*D237)/27*1.4*1.1</f>
        <v>0</v>
      </c>
      <c r="I229" s="52">
        <f>8/50*(128/65)</f>
        <v>0.31507692307692309</v>
      </c>
      <c r="J229" s="82">
        <f>(G229+H229)*I229</f>
        <v>0</v>
      </c>
      <c r="K229" s="51">
        <f>J229*Summary!$H$4</f>
        <v>0</v>
      </c>
      <c r="L229" s="52"/>
      <c r="M229" s="85"/>
      <c r="O229" s="136">
        <f t="shared" ref="O229" si="51">N229+K229</f>
        <v>0</v>
      </c>
      <c r="P229" s="14"/>
    </row>
    <row r="230" spans="3:16" ht="15" hidden="1" customHeight="1" outlineLevel="1" x14ac:dyDescent="0.25">
      <c r="C230" s="86"/>
      <c r="D230" s="279" t="s">
        <v>617</v>
      </c>
      <c r="E230" s="11" t="s">
        <v>46</v>
      </c>
      <c r="F230" s="11" t="s">
        <v>46</v>
      </c>
      <c r="G230" s="56"/>
      <c r="H230" s="82">
        <f>SUM(H229:H229)</f>
        <v>0</v>
      </c>
      <c r="I230" s="52"/>
      <c r="J230" s="82"/>
      <c r="K230" s="51"/>
      <c r="L230" s="52">
        <v>450</v>
      </c>
      <c r="M230" s="85"/>
      <c r="N230" s="84">
        <f>L230*ROUNDUP((H230+G230)/25,0)</f>
        <v>0</v>
      </c>
      <c r="O230" s="136">
        <f>N230+K230</f>
        <v>0</v>
      </c>
      <c r="P230" s="14"/>
    </row>
    <row r="231" spans="3:16" ht="15" hidden="1" customHeight="1" outlineLevel="1" x14ac:dyDescent="0.25">
      <c r="C231" s="86"/>
      <c r="D231" s="1" t="s">
        <v>279</v>
      </c>
      <c r="E231"/>
      <c r="F231"/>
      <c r="K231" s="1"/>
      <c r="O231" s="137"/>
      <c r="P231" s="315"/>
    </row>
    <row r="232" spans="3:16" ht="15" hidden="1" customHeight="1" outlineLevel="1" x14ac:dyDescent="0.25">
      <c r="C232" s="551">
        <v>0</v>
      </c>
      <c r="D232" s="279" t="s">
        <v>654</v>
      </c>
      <c r="E232" s="11" t="s">
        <v>46</v>
      </c>
      <c r="F232" s="11" t="s">
        <v>46</v>
      </c>
      <c r="G232">
        <f>IF(C232="YES",ROUNDUP(J225,0),0)</f>
        <v>0</v>
      </c>
      <c r="K232" s="1"/>
      <c r="L232" s="52">
        <f>1500/8</f>
        <v>187.5</v>
      </c>
      <c r="M232" s="85"/>
      <c r="N232" s="84">
        <f>IF(G232&gt;0,L232*(H232+G232)+3000,0)</f>
        <v>0</v>
      </c>
      <c r="O232" s="136">
        <f t="shared" ref="O232" si="52">N232+K232</f>
        <v>0</v>
      </c>
      <c r="P232" s="315"/>
    </row>
    <row r="233" spans="3:16" ht="15" hidden="1" customHeight="1" outlineLevel="1" x14ac:dyDescent="0.25">
      <c r="C233" s="86"/>
      <c r="D233" s="279" t="s">
        <v>655</v>
      </c>
      <c r="E233" s="11" t="s">
        <v>46</v>
      </c>
      <c r="F233" s="11" t="s">
        <v>46</v>
      </c>
      <c r="G233">
        <f>IF(H221&gt;5,ROUNDUP(J225,0),0)</f>
        <v>0</v>
      </c>
      <c r="K233" s="1"/>
      <c r="L233" s="52">
        <v>30</v>
      </c>
      <c r="M233" s="85"/>
      <c r="N233" s="84">
        <f t="shared" ref="N233" si="53">L233*(H233+G233)</f>
        <v>0</v>
      </c>
      <c r="O233" s="136">
        <f>N233+K233</f>
        <v>0</v>
      </c>
      <c r="P233" s="315"/>
    </row>
    <row r="234" spans="3:16" ht="15" hidden="1" customHeight="1" outlineLevel="1" thickBot="1" x14ac:dyDescent="0.3">
      <c r="C234" s="86"/>
      <c r="E234"/>
      <c r="F234"/>
      <c r="K234" s="1"/>
      <c r="O234" s="137"/>
      <c r="P234" s="315"/>
    </row>
    <row r="235" spans="3:16" ht="15.75" hidden="1" customHeight="1" outlineLevel="1" thickBot="1" x14ac:dyDescent="0.3">
      <c r="C235" s="65" t="s">
        <v>54</v>
      </c>
      <c r="D235" s="428"/>
      <c r="E235" s="381"/>
      <c r="F235" s="381"/>
      <c r="G235" s="544"/>
      <c r="H235" s="1"/>
      <c r="I235" s="1"/>
      <c r="J235" s="1"/>
      <c r="K235" s="1"/>
      <c r="O235" s="137"/>
    </row>
    <row r="236" spans="3:16" hidden="1" outlineLevel="1" x14ac:dyDescent="0.25">
      <c r="C236" s="196" t="s">
        <v>601</v>
      </c>
      <c r="D236" s="197" t="s">
        <v>602</v>
      </c>
      <c r="E236" s="197" t="s">
        <v>603</v>
      </c>
      <c r="F236" s="250" t="s">
        <v>605</v>
      </c>
      <c r="G236" s="318" t="s">
        <v>604</v>
      </c>
      <c r="H236" s="1"/>
      <c r="J236" s="1"/>
      <c r="K236" s="108"/>
      <c r="L236" s="108"/>
      <c r="M236" s="108"/>
      <c r="O236" s="137"/>
    </row>
    <row r="237" spans="3:16" ht="15.75" hidden="1" outlineLevel="1" thickBot="1" x14ac:dyDescent="0.3">
      <c r="C237" s="547">
        <v>0</v>
      </c>
      <c r="D237" s="546">
        <f>1.5+C237/12</f>
        <v>1.5</v>
      </c>
      <c r="E237" s="546">
        <f>2+C237/12</f>
        <v>2</v>
      </c>
      <c r="F237" s="545">
        <f>(H222*E237*D237)/27</f>
        <v>0</v>
      </c>
      <c r="G237" s="319">
        <f>ROUNDUP(F237*1.3,0)</f>
        <v>0</v>
      </c>
      <c r="H237" s="1"/>
      <c r="J237" s="1"/>
      <c r="K237" s="108"/>
      <c r="L237" s="108"/>
      <c r="M237" s="108"/>
      <c r="O237" s="137"/>
    </row>
    <row r="238" spans="3:16" hidden="1" outlineLevel="1" x14ac:dyDescent="0.25">
      <c r="C238" s="86"/>
      <c r="D238" s="317" t="s">
        <v>600</v>
      </c>
      <c r="K238" s="1"/>
      <c r="O238" s="137"/>
    </row>
    <row r="239" spans="3:16" hidden="1" outlineLevel="1" x14ac:dyDescent="0.25">
      <c r="C239" s="86"/>
      <c r="D239" s="317" t="s">
        <v>599</v>
      </c>
      <c r="K239" s="1"/>
      <c r="O239" s="137"/>
    </row>
    <row r="240" spans="3:16" hidden="1" outlineLevel="1" x14ac:dyDescent="0.25">
      <c r="C240" s="86"/>
      <c r="F240"/>
      <c r="G240" s="56"/>
      <c r="H240" s="82"/>
      <c r="I240" s="83"/>
      <c r="K240" s="1"/>
      <c r="L240" s="52"/>
      <c r="M240" s="85"/>
      <c r="N240" s="84"/>
      <c r="O240" s="136"/>
    </row>
    <row r="241" spans="3:19" hidden="1" outlineLevel="1" x14ac:dyDescent="0.25">
      <c r="C241" s="86"/>
      <c r="E241" s="56"/>
      <c r="F241"/>
      <c r="G241" s="56"/>
      <c r="H241" s="82"/>
      <c r="I241" s="83"/>
      <c r="J241" s="52"/>
      <c r="K241" s="51"/>
      <c r="L241" s="84"/>
      <c r="M241" s="85"/>
      <c r="O241" s="136"/>
      <c r="P241" s="14"/>
    </row>
    <row r="242" spans="3:19" ht="15.75" hidden="1" outlineLevel="1" thickBot="1" x14ac:dyDescent="0.3">
      <c r="C242" s="86"/>
      <c r="E242"/>
      <c r="F242"/>
      <c r="K242" s="1"/>
      <c r="O242" s="137"/>
      <c r="P242" s="14"/>
    </row>
    <row r="243" spans="3:19" hidden="1" outlineLevel="1" x14ac:dyDescent="0.25">
      <c r="C243" s="405"/>
      <c r="D243" s="406" t="s">
        <v>638</v>
      </c>
      <c r="E243" s="407"/>
      <c r="F243" s="407"/>
      <c r="G243" s="408"/>
      <c r="H243" s="408"/>
      <c r="I243" s="408"/>
      <c r="J243" s="408">
        <f>SUM(J219:J242)</f>
        <v>0</v>
      </c>
      <c r="K243" s="409">
        <f>SUM(K219:K242)</f>
        <v>0</v>
      </c>
      <c r="L243" s="408"/>
      <c r="M243" s="408"/>
      <c r="N243" s="409">
        <f>SUM(N219:N242)</f>
        <v>0</v>
      </c>
      <c r="O243" s="410"/>
      <c r="R243" s="349"/>
      <c r="S243" s="349"/>
    </row>
    <row r="244" spans="3:19" hidden="1" outlineLevel="1" x14ac:dyDescent="0.25">
      <c r="C244" s="86"/>
      <c r="G244" s="11"/>
      <c r="I244" s="161"/>
      <c r="J244" s="159"/>
      <c r="K244" s="51"/>
      <c r="M244" s="161"/>
      <c r="N244" s="162"/>
      <c r="O244" s="163"/>
      <c r="P244" s="14"/>
    </row>
    <row r="245" spans="3:19" ht="15.75" hidden="1" outlineLevel="1" x14ac:dyDescent="0.25">
      <c r="C245" s="629" t="s">
        <v>595</v>
      </c>
      <c r="D245" s="630"/>
      <c r="G245" s="11"/>
      <c r="I245" s="161"/>
      <c r="J245" s="159"/>
      <c r="K245" s="51"/>
      <c r="M245" s="161"/>
      <c r="N245" s="162"/>
      <c r="O245" s="163"/>
      <c r="P245" s="14"/>
    </row>
    <row r="246" spans="3:19" hidden="1" outlineLevel="1" x14ac:dyDescent="0.25">
      <c r="C246" s="86"/>
      <c r="G246" s="11"/>
      <c r="I246" s="161"/>
      <c r="J246" s="159"/>
      <c r="K246" s="51"/>
      <c r="M246" s="161"/>
      <c r="N246" s="162"/>
      <c r="O246" s="163"/>
      <c r="P246" s="14"/>
    </row>
    <row r="247" spans="3:19" hidden="1" outlineLevel="1" x14ac:dyDescent="0.25">
      <c r="C247" s="126" t="s">
        <v>207</v>
      </c>
      <c r="D247" s="537"/>
      <c r="G247" s="11"/>
      <c r="H247" s="146"/>
      <c r="I247" s="159"/>
      <c r="L247" s="148"/>
      <c r="O247" s="87"/>
      <c r="P247" s="14"/>
    </row>
    <row r="248" spans="3:19" hidden="1" outlineLevel="1" x14ac:dyDescent="0.25">
      <c r="C248" s="133"/>
      <c r="D248" s="15" t="s">
        <v>23</v>
      </c>
      <c r="E248" s="11" t="s">
        <v>46</v>
      </c>
      <c r="F248" s="11" t="s">
        <v>46</v>
      </c>
      <c r="G248" s="11"/>
      <c r="H248" s="41"/>
      <c r="I248" s="52"/>
      <c r="J248" s="82"/>
      <c r="K248" s="170"/>
      <c r="L248" s="52" cm="1">
        <f t="array" ref="L248">IFERROR(INDEX(Table3[Material Cost], MATCH(1, (Table3[Material]=$D$247) * (Table3[Size]=D248), 0)),0)</f>
        <v>0</v>
      </c>
      <c r="M248" s="56">
        <v>0</v>
      </c>
      <c r="N248" s="84">
        <f t="shared" ref="N248:N253" si="54">((G248+H248)*L248)+((G248+H248)*M248)</f>
        <v>0</v>
      </c>
      <c r="O248" s="167">
        <f t="shared" ref="O248:O253" si="55">N248+K248</f>
        <v>0</v>
      </c>
      <c r="P248" s="14"/>
    </row>
    <row r="249" spans="3:19" hidden="1" outlineLevel="1" x14ac:dyDescent="0.25">
      <c r="C249" s="133"/>
      <c r="D249" s="15" t="s">
        <v>24</v>
      </c>
      <c r="E249" s="11" t="s">
        <v>46</v>
      </c>
      <c r="F249" s="11" t="s">
        <v>46</v>
      </c>
      <c r="G249" s="11"/>
      <c r="H249" s="41"/>
      <c r="I249" s="52"/>
      <c r="J249" s="82"/>
      <c r="K249" s="170"/>
      <c r="L249" s="52" cm="1">
        <f t="array" ref="L249">IFERROR(INDEX(Table3[Material Cost], MATCH(1, (Table3[Material]=$D$247) * (Table3[Size]=D249), 0)),0)</f>
        <v>0</v>
      </c>
      <c r="M249" s="56">
        <v>0</v>
      </c>
      <c r="N249" s="84">
        <f t="shared" si="54"/>
        <v>0</v>
      </c>
      <c r="O249" s="167">
        <f t="shared" si="55"/>
        <v>0</v>
      </c>
      <c r="P249" s="14"/>
    </row>
    <row r="250" spans="3:19" hidden="1" outlineLevel="1" x14ac:dyDescent="0.25">
      <c r="C250" s="133"/>
      <c r="D250" s="15" t="s">
        <v>25</v>
      </c>
      <c r="E250" s="11" t="s">
        <v>46</v>
      </c>
      <c r="F250" s="11" t="s">
        <v>46</v>
      </c>
      <c r="G250" s="11"/>
      <c r="H250" s="41"/>
      <c r="I250" s="52"/>
      <c r="J250" s="82"/>
      <c r="K250" s="170"/>
      <c r="L250" s="52" cm="1">
        <f t="array" ref="L250">IFERROR(INDEX(Table3[Material Cost], MATCH(1, (Table3[Material]=$D$247) * (Table3[Size]=D250), 0)),0)</f>
        <v>0</v>
      </c>
      <c r="M250" s="56">
        <v>0</v>
      </c>
      <c r="N250" s="84">
        <f t="shared" si="54"/>
        <v>0</v>
      </c>
      <c r="O250" s="167">
        <f t="shared" si="55"/>
        <v>0</v>
      </c>
      <c r="P250" s="14"/>
    </row>
    <row r="251" spans="3:19" hidden="1" outlineLevel="1" x14ac:dyDescent="0.25">
      <c r="C251" s="133"/>
      <c r="D251" s="15" t="s">
        <v>38</v>
      </c>
      <c r="E251" s="11" t="s">
        <v>46</v>
      </c>
      <c r="F251" s="11" t="s">
        <v>46</v>
      </c>
      <c r="G251" s="11"/>
      <c r="H251" s="41"/>
      <c r="I251" s="52"/>
      <c r="J251" s="82"/>
      <c r="K251" s="170"/>
      <c r="L251" s="52" cm="1">
        <f t="array" ref="L251">IFERROR(INDEX(Table3[Material Cost], MATCH(1, (Table3[Material]=$D$247) * (Table3[Size]=D251), 0)),0)</f>
        <v>0</v>
      </c>
      <c r="M251" s="56">
        <v>0</v>
      </c>
      <c r="N251" s="84">
        <f t="shared" si="54"/>
        <v>0</v>
      </c>
      <c r="O251" s="167">
        <f t="shared" si="55"/>
        <v>0</v>
      </c>
      <c r="P251" s="14"/>
    </row>
    <row r="252" spans="3:19" hidden="1" outlineLevel="1" x14ac:dyDescent="0.25">
      <c r="C252" s="133"/>
      <c r="D252" s="15" t="s">
        <v>26</v>
      </c>
      <c r="E252" s="11" t="s">
        <v>46</v>
      </c>
      <c r="F252" s="11" t="s">
        <v>46</v>
      </c>
      <c r="G252" s="11"/>
      <c r="H252" s="41"/>
      <c r="I252" s="52"/>
      <c r="J252" s="82"/>
      <c r="K252" s="170"/>
      <c r="L252" s="52" cm="1">
        <f t="array" ref="L252">IFERROR(INDEX(Table3[Material Cost], MATCH(1, (Table3[Material]=$D$247) * (Table3[Size]=D252), 0)),0)</f>
        <v>0</v>
      </c>
      <c r="M252" s="56">
        <v>0</v>
      </c>
      <c r="N252" s="84">
        <f t="shared" si="54"/>
        <v>0</v>
      </c>
      <c r="O252" s="167">
        <f t="shared" si="55"/>
        <v>0</v>
      </c>
      <c r="P252" s="14"/>
    </row>
    <row r="253" spans="3:19" hidden="1" outlineLevel="1" x14ac:dyDescent="0.25">
      <c r="C253" s="133"/>
      <c r="D253" s="15" t="s">
        <v>129</v>
      </c>
      <c r="E253" s="11" t="s">
        <v>46</v>
      </c>
      <c r="F253" s="11" t="s">
        <v>46</v>
      </c>
      <c r="G253" s="11"/>
      <c r="H253" s="41"/>
      <c r="I253" s="52"/>
      <c r="J253" s="82"/>
      <c r="K253" s="170"/>
      <c r="L253" s="52" cm="1">
        <f t="array" ref="L253">IFERROR(INDEX(Table3[Material Cost], MATCH(1, (Table3[Material]=$D$247) * (Table3[Size]=D253), 0)),0)</f>
        <v>0</v>
      </c>
      <c r="M253" s="56">
        <v>0</v>
      </c>
      <c r="N253" s="84">
        <f t="shared" si="54"/>
        <v>0</v>
      </c>
      <c r="O253" s="167">
        <f t="shared" si="55"/>
        <v>0</v>
      </c>
      <c r="P253" s="14"/>
    </row>
    <row r="254" spans="3:19" hidden="1" outlineLevel="1" x14ac:dyDescent="0.25">
      <c r="C254" s="133"/>
      <c r="D254" s="15"/>
      <c r="G254" s="11"/>
      <c r="H254" s="41"/>
      <c r="I254" s="52"/>
      <c r="J254" s="82"/>
      <c r="K254" s="170"/>
      <c r="L254" s="52"/>
      <c r="M254" s="56"/>
      <c r="N254" s="84"/>
      <c r="O254" s="167"/>
      <c r="P254" s="14"/>
    </row>
    <row r="255" spans="3:19" hidden="1" outlineLevel="1" x14ac:dyDescent="0.25">
      <c r="C255" s="133"/>
      <c r="G255" s="11"/>
      <c r="H255" s="143"/>
      <c r="I255" s="52"/>
      <c r="J255" s="82"/>
      <c r="K255" s="51"/>
      <c r="L255" s="132"/>
      <c r="M255" s="56"/>
      <c r="N255" s="84"/>
      <c r="O255" s="88"/>
      <c r="P255" s="14"/>
    </row>
    <row r="256" spans="3:19" ht="15.75" hidden="1" outlineLevel="1" thickBot="1" x14ac:dyDescent="0.3">
      <c r="C256" s="208" t="s">
        <v>516</v>
      </c>
      <c r="D256" s="10"/>
      <c r="G256" s="209">
        <v>0.35</v>
      </c>
      <c r="H256" s="169"/>
      <c r="I256" s="52"/>
      <c r="J256" s="52"/>
      <c r="K256" s="52"/>
      <c r="N256" s="138">
        <f>SUM(N244:N255)*G256</f>
        <v>0</v>
      </c>
      <c r="O256" s="167">
        <f t="shared" ref="O256" si="56">N256+K256</f>
        <v>0</v>
      </c>
      <c r="R256" s="349"/>
      <c r="S256" s="349"/>
    </row>
    <row r="257" spans="1:73" hidden="1" outlineLevel="1" x14ac:dyDescent="0.25">
      <c r="C257" s="405"/>
      <c r="D257" s="406" t="s">
        <v>563</v>
      </c>
      <c r="E257" s="407"/>
      <c r="F257" s="407"/>
      <c r="G257" s="408"/>
      <c r="H257" s="408">
        <f>SUM(H244:H255)</f>
        <v>0</v>
      </c>
      <c r="I257" s="408"/>
      <c r="J257" s="408">
        <f>SUM(J244:J256)</f>
        <v>0</v>
      </c>
      <c r="K257" s="409">
        <f>SUM(K244:K256)</f>
        <v>0</v>
      </c>
      <c r="L257" s="408"/>
      <c r="M257" s="408"/>
      <c r="N257" s="409">
        <f>SUM(N244:N256)</f>
        <v>0</v>
      </c>
      <c r="O257" s="410"/>
      <c r="R257" s="349"/>
      <c r="S257" s="349"/>
    </row>
    <row r="258" spans="1:73" hidden="1" outlineLevel="1" x14ac:dyDescent="0.25">
      <c r="C258" s="86"/>
      <c r="E258"/>
      <c r="F258"/>
      <c r="K258" s="1"/>
      <c r="O258" s="137"/>
      <c r="P258" s="14"/>
    </row>
    <row r="259" spans="1:73" ht="15.75" hidden="1" outlineLevel="1" x14ac:dyDescent="0.25">
      <c r="C259" s="629" t="s">
        <v>510</v>
      </c>
      <c r="D259" s="630"/>
      <c r="G259" s="11"/>
      <c r="I259" s="161"/>
      <c r="J259" s="159"/>
      <c r="K259" s="51"/>
      <c r="M259" s="161"/>
      <c r="N259" s="162"/>
      <c r="O259" s="163"/>
      <c r="P259" s="14"/>
    </row>
    <row r="260" spans="1:73" ht="15" hidden="1" customHeight="1" outlineLevel="1" x14ac:dyDescent="0.25">
      <c r="C260" s="241"/>
      <c r="G260" s="11"/>
      <c r="H260" s="146"/>
      <c r="I260" s="134"/>
      <c r="J260" s="82"/>
      <c r="K260" s="51"/>
      <c r="L260" s="56"/>
      <c r="M260" s="56"/>
      <c r="N260" s="84"/>
      <c r="O260" s="88"/>
    </row>
    <row r="261" spans="1:73" hidden="1" outlineLevel="1" x14ac:dyDescent="0.25">
      <c r="C261" s="86" t="s">
        <v>207</v>
      </c>
      <c r="E261" s="11" t="s">
        <v>46</v>
      </c>
      <c r="F261" s="11" t="s">
        <v>46</v>
      </c>
      <c r="G261" s="11"/>
      <c r="H261" s="143"/>
      <c r="I261" s="56">
        <v>1</v>
      </c>
      <c r="J261" s="82">
        <f>(G261+H261)*I261</f>
        <v>0</v>
      </c>
      <c r="K261" s="51">
        <f>J261*Summary!$H$4</f>
        <v>0</v>
      </c>
      <c r="L261" s="53">
        <v>0</v>
      </c>
      <c r="M261" s="56">
        <v>0</v>
      </c>
      <c r="N261" s="84">
        <f>((G261+H261)*L261)+((G261+H261)*M261)</f>
        <v>0</v>
      </c>
      <c r="O261" s="88">
        <f t="shared" ref="O261" si="57">N261+K261</f>
        <v>0</v>
      </c>
    </row>
    <row r="262" spans="1:73" ht="15.75" hidden="1" outlineLevel="1" thickBot="1" x14ac:dyDescent="0.3">
      <c r="C262" s="86"/>
      <c r="G262" s="11"/>
      <c r="H262" s="143"/>
      <c r="I262" s="56"/>
      <c r="J262" s="82"/>
      <c r="K262" s="51"/>
      <c r="L262" s="53"/>
      <c r="M262" s="56"/>
      <c r="N262" s="84"/>
      <c r="O262" s="88"/>
    </row>
    <row r="263" spans="1:73" hidden="1" outlineLevel="1" x14ac:dyDescent="0.25">
      <c r="C263" s="405"/>
      <c r="D263" s="406" t="s">
        <v>639</v>
      </c>
      <c r="E263" s="407"/>
      <c r="F263" s="407"/>
      <c r="G263" s="408">
        <f>SUM(G258:G262)</f>
        <v>0</v>
      </c>
      <c r="H263" s="408"/>
      <c r="I263" s="408"/>
      <c r="J263" s="408">
        <f>SUM(J258:J262)</f>
        <v>0</v>
      </c>
      <c r="K263" s="409">
        <f>SUM(K258:K262)</f>
        <v>0</v>
      </c>
      <c r="L263" s="408"/>
      <c r="M263" s="408"/>
      <c r="N263" s="409">
        <f>SUM(N258:N262)</f>
        <v>0</v>
      </c>
      <c r="O263" s="410"/>
      <c r="R263" s="349"/>
      <c r="S263" s="349"/>
    </row>
    <row r="264" spans="1:73" hidden="1" outlineLevel="1" x14ac:dyDescent="0.25">
      <c r="C264" s="86"/>
      <c r="K264" s="1"/>
      <c r="O264" s="137"/>
    </row>
    <row r="265" spans="1:73" ht="15.75" hidden="1" outlineLevel="1" thickBot="1" x14ac:dyDescent="0.3">
      <c r="C265" s="86"/>
      <c r="K265" s="1"/>
      <c r="O265" s="137"/>
    </row>
    <row r="266" spans="1:73" s="437" customFormat="1" ht="22.5" customHeight="1" collapsed="1" thickTop="1" thickBot="1" x14ac:dyDescent="0.3">
      <c r="A266" s="516"/>
      <c r="C266" s="272"/>
      <c r="D266" s="191" t="s">
        <v>576</v>
      </c>
      <c r="E266" s="191"/>
      <c r="F266" s="191"/>
      <c r="G266" s="274"/>
      <c r="H266" s="191"/>
      <c r="I266" s="191"/>
      <c r="J266" s="274">
        <f>J263+J257+J243</f>
        <v>0</v>
      </c>
      <c r="K266" s="433">
        <f>K263+K257+K243</f>
        <v>0</v>
      </c>
      <c r="L266" s="434"/>
      <c r="M266" s="191"/>
      <c r="N266" s="433">
        <f>N263+N257+N243</f>
        <v>0</v>
      </c>
      <c r="O266" s="435"/>
      <c r="P266" s="436">
        <f>SUM(O219:O265)</f>
        <v>0</v>
      </c>
      <c r="Q266" s="437" t="str">
        <f>IF(P266=(N266+K266), "GOOD", "ERROR NEED CHECK")</f>
        <v>GOOD</v>
      </c>
      <c r="R266" s="349">
        <f t="shared" ref="R266" si="58">IF(F266="X", IF(G266&lt;&gt;"", IF(OR(I266&gt;0,O266&gt;0), "✔", "ERROR"),"ERROR"),0)</f>
        <v>0</v>
      </c>
      <c r="S266" s="349">
        <f t="shared" ref="S266" si="59">IF(E266="X", IF(G266&lt;&gt;"", IF(AND(N266&gt;0,O266&gt;0), "✔", "ERROR"),"ERROR"),0)</f>
        <v>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</row>
    <row r="267" spans="1:73" ht="15.75" thickBot="1" x14ac:dyDescent="0.3">
      <c r="C267" s="381"/>
      <c r="D267" s="381"/>
      <c r="E267" s="396"/>
      <c r="F267" s="396"/>
      <c r="G267" s="381"/>
      <c r="H267" s="381"/>
      <c r="I267" s="381"/>
      <c r="J267" s="381"/>
      <c r="K267" s="212"/>
      <c r="L267" s="381"/>
      <c r="M267" s="381"/>
      <c r="N267" s="381"/>
      <c r="O267" s="212"/>
    </row>
    <row r="268" spans="1:73" ht="15.75" thickBot="1" x14ac:dyDescent="0.3">
      <c r="C268" s="389"/>
      <c r="D268" s="390"/>
      <c r="E268" s="391"/>
      <c r="F268" s="391"/>
      <c r="G268" s="390"/>
      <c r="H268" s="390"/>
      <c r="I268" s="390"/>
      <c r="J268" s="390"/>
      <c r="K268" s="477"/>
      <c r="L268" s="390"/>
      <c r="M268" s="390"/>
      <c r="N268" s="390"/>
      <c r="O268" s="478"/>
    </row>
    <row r="269" spans="1:73" ht="22.5" thickTop="1" thickBot="1" x14ac:dyDescent="0.4">
      <c r="C269" s="413" t="s">
        <v>577</v>
      </c>
      <c r="D269" s="414"/>
      <c r="E269" s="415"/>
      <c r="F269" s="415"/>
      <c r="G269" s="416"/>
      <c r="H269" s="417"/>
      <c r="I269" s="416"/>
      <c r="J269" s="418"/>
      <c r="K269" s="419"/>
      <c r="L269" s="416"/>
      <c r="M269" s="416"/>
      <c r="N269" s="420"/>
      <c r="O269" s="421"/>
      <c r="P269" s="14"/>
      <c r="R269" s="349">
        <f t="shared" ref="R269" si="60">IF(F269="X", IF(G269&lt;&gt;"", IF(OR(I269&lt;&gt;"",L269&lt;&gt;""), "✔", "ERROR"),"ERROR"),0)</f>
        <v>0</v>
      </c>
      <c r="S269" s="348"/>
      <c r="U269" s="43"/>
    </row>
    <row r="270" spans="1:73" ht="15.75" hidden="1" outlineLevel="1" thickTop="1" x14ac:dyDescent="0.25">
      <c r="C270" s="86"/>
      <c r="K270" s="1"/>
      <c r="O270" s="137"/>
    </row>
    <row r="271" spans="1:73" ht="15.75" hidden="1" outlineLevel="1" x14ac:dyDescent="0.25">
      <c r="C271" s="471" t="s">
        <v>484</v>
      </c>
      <c r="D271" s="1" t="s">
        <v>609</v>
      </c>
      <c r="O271" s="87"/>
    </row>
    <row r="272" spans="1:73" hidden="1" outlineLevel="1" x14ac:dyDescent="0.25">
      <c r="C272" s="86"/>
      <c r="D272" s="279" t="s">
        <v>607</v>
      </c>
      <c r="E272" s="56"/>
      <c r="G272" s="56"/>
      <c r="H272" s="549">
        <v>0</v>
      </c>
      <c r="I272">
        <f>IFERROR(INDEX($U$26:$AF$49,MATCH(D288,$T$26:$T$49,0),MATCH(E288,$U$22:$AF$22,0)),0)</f>
        <v>0</v>
      </c>
      <c r="O272" s="87"/>
    </row>
    <row r="273" spans="3:16" ht="15" hidden="1" customHeight="1" outlineLevel="1" x14ac:dyDescent="0.25">
      <c r="C273" s="86"/>
      <c r="D273" s="279" t="s">
        <v>611</v>
      </c>
      <c r="F273"/>
      <c r="G273" s="314">
        <f>I288</f>
        <v>0</v>
      </c>
      <c r="H273" s="549">
        <f>SUM(H296:H307)</f>
        <v>0</v>
      </c>
      <c r="I273" s="83"/>
      <c r="O273" s="87"/>
    </row>
    <row r="274" spans="3:16" hidden="1" outlineLevel="1" x14ac:dyDescent="0.25">
      <c r="C274" s="86"/>
      <c r="D274" s="1" t="s">
        <v>612</v>
      </c>
      <c r="E274" s="56"/>
      <c r="F274"/>
      <c r="G274" s="56"/>
      <c r="H274" s="82"/>
      <c r="I274" s="83"/>
      <c r="J274" s="52"/>
      <c r="K274" s="51"/>
      <c r="L274" s="84"/>
      <c r="M274" s="85"/>
      <c r="O274" s="136"/>
      <c r="P274" s="14"/>
    </row>
    <row r="275" spans="3:16" hidden="1" outlineLevel="1" x14ac:dyDescent="0.25">
      <c r="C275" s="86"/>
      <c r="D275" s="279" t="s">
        <v>613</v>
      </c>
      <c r="E275" s="11" t="s">
        <v>46</v>
      </c>
      <c r="F275" s="11" t="s">
        <v>46</v>
      </c>
      <c r="G275" s="56"/>
      <c r="H275" s="82">
        <f>SUM(H273:H273)</f>
        <v>0</v>
      </c>
      <c r="I275" s="52">
        <f>8/500*(120/65)</f>
        <v>2.9538461538461541E-2</v>
      </c>
      <c r="J275" s="82">
        <f>(G275+H275)*I275</f>
        <v>0</v>
      </c>
      <c r="K275" s="51">
        <f>J275*Summary!$H$4</f>
        <v>0</v>
      </c>
      <c r="L275" s="84"/>
      <c r="M275" s="85"/>
      <c r="O275" s="136">
        <f>N275+K275</f>
        <v>0</v>
      </c>
      <c r="P275" s="14"/>
    </row>
    <row r="276" spans="3:16" hidden="1" outlineLevel="1" x14ac:dyDescent="0.25">
      <c r="C276" s="86"/>
      <c r="D276" s="279" t="s">
        <v>620</v>
      </c>
      <c r="E276" s="11" t="s">
        <v>46</v>
      </c>
      <c r="F276" s="11" t="s">
        <v>46</v>
      </c>
      <c r="G276" s="56"/>
      <c r="H276" s="82">
        <f>SUM(H273:H273)</f>
        <v>0</v>
      </c>
      <c r="I276" s="52">
        <f>IF(H272&gt;0,8/IFERROR(INDEX($U$9:$Z$9,MATCH(H272,$U$8:$Z$8,0)),$U$9)*300/65*2,0)</f>
        <v>0</v>
      </c>
      <c r="J276" s="82">
        <f>(G276+H276)*I276</f>
        <v>0</v>
      </c>
      <c r="K276" s="51">
        <f>J276*Summary!$H$4</f>
        <v>0</v>
      </c>
      <c r="L276" s="84"/>
      <c r="M276" s="85"/>
      <c r="O276" s="136">
        <f>N276+K276</f>
        <v>0</v>
      </c>
      <c r="P276" s="14"/>
    </row>
    <row r="277" spans="3:16" hidden="1" outlineLevel="1" x14ac:dyDescent="0.25">
      <c r="C277" s="86"/>
      <c r="D277" s="279" t="s">
        <v>619</v>
      </c>
      <c r="E277" s="11" t="s">
        <v>46</v>
      </c>
      <c r="F277" s="11" t="s">
        <v>46</v>
      </c>
      <c r="G277" s="56"/>
      <c r="H277" s="82">
        <f>G288*1.3</f>
        <v>0</v>
      </c>
      <c r="I277" s="52"/>
      <c r="J277" s="82"/>
      <c r="K277" s="51"/>
      <c r="L277" s="52">
        <v>30</v>
      </c>
      <c r="M277" s="85"/>
      <c r="N277" s="84">
        <f>L277*(H277+G277)</f>
        <v>0</v>
      </c>
      <c r="O277" s="136">
        <f>N277+K277</f>
        <v>0</v>
      </c>
      <c r="P277" s="14"/>
    </row>
    <row r="278" spans="3:16" hidden="1" outlineLevel="1" x14ac:dyDescent="0.25">
      <c r="C278" s="86"/>
      <c r="D278" s="279" t="s">
        <v>614</v>
      </c>
      <c r="E278" s="11" t="s">
        <v>46</v>
      </c>
      <c r="F278" s="11" t="s">
        <v>46</v>
      </c>
      <c r="G278" s="56"/>
      <c r="H278" s="82">
        <f>SUM(H273:H273)</f>
        <v>0</v>
      </c>
      <c r="I278" s="52">
        <f>8/500*(100/65)</f>
        <v>2.4615384615384619E-2</v>
      </c>
      <c r="J278" s="82">
        <f>(G278+H278)*I278</f>
        <v>0</v>
      </c>
      <c r="K278" s="51">
        <f>J278*Summary!$H$4</f>
        <v>0</v>
      </c>
      <c r="L278" s="52"/>
      <c r="M278" s="85"/>
      <c r="O278" s="136">
        <f>N278+K278</f>
        <v>0</v>
      </c>
      <c r="P278" s="14"/>
    </row>
    <row r="279" spans="3:16" hidden="1" outlineLevel="1" x14ac:dyDescent="0.25">
      <c r="C279" s="86"/>
      <c r="D279" s="1" t="s">
        <v>608</v>
      </c>
      <c r="G279" s="56"/>
      <c r="H279" s="82"/>
      <c r="I279" s="52"/>
      <c r="J279" s="82"/>
      <c r="K279" s="51"/>
      <c r="L279" s="52"/>
      <c r="M279" s="85"/>
      <c r="O279" s="136"/>
      <c r="P279" s="14"/>
    </row>
    <row r="280" spans="3:16" hidden="1" outlineLevel="1" x14ac:dyDescent="0.25">
      <c r="C280" s="86"/>
      <c r="D280" s="279" t="s">
        <v>616</v>
      </c>
      <c r="E280" s="11" t="s">
        <v>46</v>
      </c>
      <c r="F280" s="11" t="s">
        <v>46</v>
      </c>
      <c r="G280" s="56"/>
      <c r="H280" s="82">
        <f>(H273*E288*D288)/27*1.4*1.1</f>
        <v>0</v>
      </c>
      <c r="I280" s="52">
        <f>8/50*(128/65)</f>
        <v>0.31507692307692309</v>
      </c>
      <c r="J280" s="82">
        <f>(G280+H280)*I280</f>
        <v>0</v>
      </c>
      <c r="K280" s="51">
        <f>J280*Summary!$H$4</f>
        <v>0</v>
      </c>
      <c r="L280" s="52"/>
      <c r="M280" s="85"/>
      <c r="O280" s="136">
        <f t="shared" ref="O280" si="61">N280+K280</f>
        <v>0</v>
      </c>
      <c r="P280" s="14"/>
    </row>
    <row r="281" spans="3:16" ht="15" hidden="1" customHeight="1" outlineLevel="1" x14ac:dyDescent="0.25">
      <c r="C281" s="86"/>
      <c r="D281" s="279" t="s">
        <v>617</v>
      </c>
      <c r="E281" s="11" t="s">
        <v>46</v>
      </c>
      <c r="F281" s="11" t="s">
        <v>46</v>
      </c>
      <c r="G281" s="56"/>
      <c r="H281" s="82">
        <f>SUM(H280:H280)</f>
        <v>0</v>
      </c>
      <c r="I281" s="52"/>
      <c r="J281" s="82"/>
      <c r="K281" s="51"/>
      <c r="L281" s="52">
        <v>450</v>
      </c>
      <c r="M281" s="85"/>
      <c r="N281" s="84">
        <f>L281*ROUNDUP((H281+G281)/25,0)</f>
        <v>0</v>
      </c>
      <c r="O281" s="136">
        <f>N281+K281</f>
        <v>0</v>
      </c>
      <c r="P281" s="14"/>
    </row>
    <row r="282" spans="3:16" ht="15" hidden="1" customHeight="1" outlineLevel="1" x14ac:dyDescent="0.25">
      <c r="C282" s="86"/>
      <c r="D282" s="1" t="s">
        <v>279</v>
      </c>
      <c r="E282"/>
      <c r="F282"/>
      <c r="K282" s="1"/>
      <c r="O282" s="137"/>
      <c r="P282" s="315"/>
    </row>
    <row r="283" spans="3:16" ht="15" hidden="1" customHeight="1" outlineLevel="1" x14ac:dyDescent="0.25">
      <c r="C283" s="551">
        <v>0</v>
      </c>
      <c r="D283" s="279" t="s">
        <v>654</v>
      </c>
      <c r="E283" s="11" t="s">
        <v>46</v>
      </c>
      <c r="F283" s="11" t="s">
        <v>46</v>
      </c>
      <c r="G283">
        <f>IF(C283="YES",ROUNDUP(J276,0),0)</f>
        <v>0</v>
      </c>
      <c r="K283" s="1"/>
      <c r="L283" s="52">
        <f>1500/8</f>
        <v>187.5</v>
      </c>
      <c r="M283" s="85"/>
      <c r="N283" s="84">
        <f>IF(G283&gt;0,L283*(H283+G283)+3000,0)</f>
        <v>0</v>
      </c>
      <c r="O283" s="136">
        <f t="shared" ref="O283" si="62">N283+K283</f>
        <v>0</v>
      </c>
      <c r="P283" s="315"/>
    </row>
    <row r="284" spans="3:16" ht="15" hidden="1" customHeight="1" outlineLevel="1" x14ac:dyDescent="0.25">
      <c r="C284" s="86"/>
      <c r="D284" s="279" t="s">
        <v>655</v>
      </c>
      <c r="E284" s="11" t="s">
        <v>46</v>
      </c>
      <c r="F284" s="11" t="s">
        <v>46</v>
      </c>
      <c r="G284">
        <f>IF(H272&gt;5,ROUNDUP(J276,0),0)</f>
        <v>0</v>
      </c>
      <c r="K284" s="1"/>
      <c r="L284" s="52">
        <v>30</v>
      </c>
      <c r="M284" s="85"/>
      <c r="N284" s="84">
        <f t="shared" ref="N284" si="63">L284*(H284+G284)</f>
        <v>0</v>
      </c>
      <c r="O284" s="136">
        <f>N284+K284</f>
        <v>0</v>
      </c>
      <c r="P284" s="315"/>
    </row>
    <row r="285" spans="3:16" ht="15" hidden="1" customHeight="1" outlineLevel="1" thickBot="1" x14ac:dyDescent="0.3">
      <c r="C285" s="86"/>
      <c r="E285"/>
      <c r="F285"/>
      <c r="K285" s="1"/>
      <c r="O285" s="137"/>
      <c r="P285" s="315"/>
    </row>
    <row r="286" spans="3:16" ht="15.75" hidden="1" customHeight="1" outlineLevel="1" thickBot="1" x14ac:dyDescent="0.3">
      <c r="C286" s="65" t="s">
        <v>54</v>
      </c>
      <c r="D286" s="428"/>
      <c r="E286" s="381"/>
      <c r="F286" s="381"/>
      <c r="G286" s="544"/>
      <c r="H286" s="1"/>
      <c r="I286" s="1"/>
      <c r="J286" s="1"/>
      <c r="K286" s="1"/>
      <c r="O286" s="137"/>
    </row>
    <row r="287" spans="3:16" hidden="1" outlineLevel="1" x14ac:dyDescent="0.25">
      <c r="C287" s="196" t="s">
        <v>601</v>
      </c>
      <c r="D287" s="197" t="s">
        <v>602</v>
      </c>
      <c r="E287" s="197" t="s">
        <v>603</v>
      </c>
      <c r="F287" s="250" t="s">
        <v>605</v>
      </c>
      <c r="G287" s="318" t="s">
        <v>604</v>
      </c>
      <c r="H287" s="1"/>
      <c r="J287" s="1"/>
      <c r="K287" s="108"/>
      <c r="L287" s="108"/>
      <c r="M287" s="108"/>
      <c r="O287" s="137"/>
    </row>
    <row r="288" spans="3:16" ht="15.75" hidden="1" outlineLevel="1" thickBot="1" x14ac:dyDescent="0.3">
      <c r="C288" s="547">
        <v>0</v>
      </c>
      <c r="D288" s="546">
        <f>1.5+C288/12</f>
        <v>1.5</v>
      </c>
      <c r="E288" s="546">
        <f>2+C288/12</f>
        <v>2</v>
      </c>
      <c r="F288" s="545">
        <f>(H273*E288*D288)/27</f>
        <v>0</v>
      </c>
      <c r="G288" s="319">
        <f>ROUNDUP(F288*1.3,0)</f>
        <v>0</v>
      </c>
      <c r="H288" s="1"/>
      <c r="J288" s="1"/>
      <c r="K288" s="108"/>
      <c r="L288" s="108"/>
      <c r="M288" s="108"/>
      <c r="O288" s="137"/>
    </row>
    <row r="289" spans="3:19" hidden="1" outlineLevel="1" x14ac:dyDescent="0.25">
      <c r="C289" s="86"/>
      <c r="D289" s="317" t="s">
        <v>600</v>
      </c>
      <c r="K289" s="1"/>
      <c r="O289" s="137"/>
    </row>
    <row r="290" spans="3:19" hidden="1" outlineLevel="1" x14ac:dyDescent="0.25">
      <c r="C290" s="86"/>
      <c r="D290" s="317" t="s">
        <v>599</v>
      </c>
      <c r="K290" s="1"/>
      <c r="O290" s="137"/>
    </row>
    <row r="291" spans="3:19" hidden="1" outlineLevel="1" x14ac:dyDescent="0.25">
      <c r="C291" s="86"/>
      <c r="F291"/>
      <c r="G291" s="56"/>
      <c r="H291" s="82"/>
      <c r="I291" s="83"/>
      <c r="K291" s="1"/>
      <c r="L291" s="52"/>
      <c r="M291" s="85"/>
      <c r="N291" s="84"/>
      <c r="O291" s="136"/>
    </row>
    <row r="292" spans="3:19" hidden="1" outlineLevel="1" x14ac:dyDescent="0.25">
      <c r="C292" s="86"/>
      <c r="F292"/>
      <c r="G292" s="56"/>
      <c r="H292" s="82"/>
      <c r="I292" s="83"/>
      <c r="K292" s="1"/>
      <c r="L292" s="52"/>
      <c r="M292" s="85"/>
      <c r="N292" s="84"/>
      <c r="O292" s="136"/>
    </row>
    <row r="293" spans="3:19" ht="15.75" hidden="1" outlineLevel="1" thickBot="1" x14ac:dyDescent="0.3">
      <c r="C293" s="86"/>
      <c r="E293"/>
      <c r="F293"/>
      <c r="K293" s="1"/>
      <c r="O293" s="137"/>
      <c r="P293" s="14"/>
    </row>
    <row r="294" spans="3:19" hidden="1" outlineLevel="1" x14ac:dyDescent="0.25">
      <c r="C294" s="405"/>
      <c r="D294" s="406" t="s">
        <v>640</v>
      </c>
      <c r="E294" s="407"/>
      <c r="F294" s="407"/>
      <c r="G294" s="408"/>
      <c r="H294" s="408"/>
      <c r="I294" s="408"/>
      <c r="J294" s="408">
        <f>SUM(J270:J293)</f>
        <v>0</v>
      </c>
      <c r="K294" s="409">
        <f>SUM(K270:K293)</f>
        <v>0</v>
      </c>
      <c r="L294" s="408"/>
      <c r="M294" s="408"/>
      <c r="N294" s="409">
        <f>SUM(N270:N293)</f>
        <v>0</v>
      </c>
      <c r="O294" s="410"/>
      <c r="R294" s="349"/>
      <c r="S294" s="349"/>
    </row>
    <row r="295" spans="3:19" hidden="1" outlineLevel="1" x14ac:dyDescent="0.25">
      <c r="C295" s="86"/>
      <c r="G295" s="11"/>
      <c r="I295" s="161"/>
      <c r="J295" s="159"/>
      <c r="K295" s="51"/>
      <c r="M295" s="161"/>
      <c r="N295" s="162"/>
      <c r="O295" s="163"/>
      <c r="P295" s="14"/>
    </row>
    <row r="296" spans="3:19" ht="15.75" hidden="1" outlineLevel="1" x14ac:dyDescent="0.25">
      <c r="C296" s="629" t="s">
        <v>594</v>
      </c>
      <c r="D296" s="630"/>
      <c r="G296" s="11"/>
      <c r="I296" s="161"/>
      <c r="J296" s="159"/>
      <c r="K296" s="51"/>
      <c r="M296" s="161"/>
      <c r="N296" s="162"/>
      <c r="O296" s="163"/>
      <c r="P296" s="14"/>
    </row>
    <row r="297" spans="3:19" hidden="1" outlineLevel="1" x14ac:dyDescent="0.25">
      <c r="C297" s="86"/>
      <c r="G297" s="11"/>
      <c r="I297" s="161"/>
      <c r="J297" s="159"/>
      <c r="K297" s="51"/>
      <c r="M297" s="161"/>
      <c r="N297" s="162"/>
      <c r="O297" s="163"/>
      <c r="P297" s="14"/>
    </row>
    <row r="298" spans="3:19" hidden="1" outlineLevel="1" x14ac:dyDescent="0.25">
      <c r="C298" s="126" t="s">
        <v>578</v>
      </c>
      <c r="D298" s="537"/>
      <c r="G298" s="11"/>
      <c r="H298" s="146"/>
      <c r="I298" s="159"/>
      <c r="L298" s="148"/>
      <c r="O298" s="87"/>
      <c r="P298" s="14"/>
    </row>
    <row r="299" spans="3:19" hidden="1" outlineLevel="1" x14ac:dyDescent="0.25">
      <c r="C299" s="133"/>
      <c r="D299" s="15" t="s">
        <v>23</v>
      </c>
      <c r="E299" s="11" t="s">
        <v>46</v>
      </c>
      <c r="F299" s="11" t="s">
        <v>46</v>
      </c>
      <c r="G299" s="11"/>
      <c r="H299" s="41"/>
      <c r="I299" s="52" cm="1">
        <f t="array" ref="I299">IFERROR(INDEX(Table3[Labor rate], MATCH(1, (Table3[Material]=$D$298) * (Table3[Size]=D299), 0)),0)</f>
        <v>0</v>
      </c>
      <c r="J299" s="82">
        <f t="shared" ref="J299" si="64">(G299+H299)*I299</f>
        <v>0</v>
      </c>
      <c r="K299" s="170">
        <f>J299*Summary!$H$4</f>
        <v>0</v>
      </c>
      <c r="L299" s="52" cm="1">
        <f t="array" ref="L299">IFERROR(INDEX(Table3[Material Cost], MATCH(1, (Table3[Material]=$D$298) * (Table3[Size]=D299), 0)),0)</f>
        <v>0</v>
      </c>
      <c r="M299" s="56">
        <v>0</v>
      </c>
      <c r="N299" s="84">
        <f t="shared" ref="N299:N305" si="65">((G299+H299)*L299)+((G299+H299)*M299)</f>
        <v>0</v>
      </c>
      <c r="O299" s="167">
        <f t="shared" ref="O299:O305" si="66">N299+K299</f>
        <v>0</v>
      </c>
      <c r="P299" s="14"/>
    </row>
    <row r="300" spans="3:19" hidden="1" outlineLevel="1" x14ac:dyDescent="0.25">
      <c r="C300" s="133"/>
      <c r="D300" s="15" t="s">
        <v>24</v>
      </c>
      <c r="E300" s="11" t="s">
        <v>46</v>
      </c>
      <c r="F300" s="11" t="s">
        <v>46</v>
      </c>
      <c r="G300" s="11"/>
      <c r="H300" s="41"/>
      <c r="I300" s="52" cm="1">
        <f t="array" ref="I300">IFERROR(INDEX(Table3[Labor rate], MATCH(1, (Table3[Material]=$D$298) * (Table3[Size]=D300), 0)),0)</f>
        <v>0</v>
      </c>
      <c r="J300" s="82">
        <f t="shared" ref="J300" si="67">(G300+H300)*I300</f>
        <v>0</v>
      </c>
      <c r="K300" s="170">
        <f>J300*Summary!$H$4</f>
        <v>0</v>
      </c>
      <c r="L300" s="52" cm="1">
        <f t="array" ref="L300">IFERROR(INDEX(Table3[Material Cost], MATCH(1, (Table3[Material]=$D$298) * (Table3[Size]=D300), 0)),0)</f>
        <v>0</v>
      </c>
      <c r="M300" s="56">
        <v>0</v>
      </c>
      <c r="N300" s="84">
        <f t="shared" si="65"/>
        <v>0</v>
      </c>
      <c r="O300" s="167">
        <f t="shared" si="66"/>
        <v>0</v>
      </c>
      <c r="P300" s="14"/>
    </row>
    <row r="301" spans="3:19" hidden="1" outlineLevel="1" x14ac:dyDescent="0.25">
      <c r="C301" s="133"/>
      <c r="D301" s="15" t="s">
        <v>25</v>
      </c>
      <c r="E301" s="11" t="s">
        <v>46</v>
      </c>
      <c r="F301" s="11" t="s">
        <v>46</v>
      </c>
      <c r="G301" s="11"/>
      <c r="H301" s="41"/>
      <c r="I301" s="52" cm="1">
        <f t="array" ref="I301">IFERROR(INDEX(Table3[Labor rate], MATCH(1, (Table3[Material]=$D$298) * (Table3[Size]=D301), 0)),0)</f>
        <v>0</v>
      </c>
      <c r="J301" s="82">
        <f t="shared" ref="J301:J305" si="68">(G301+H301)*I301</f>
        <v>0</v>
      </c>
      <c r="K301" s="170">
        <f>J301*Summary!$H$4</f>
        <v>0</v>
      </c>
      <c r="L301" s="52" cm="1">
        <f t="array" ref="L301">IFERROR(INDEX(Table3[Material Cost], MATCH(1, (Table3[Material]=$D$298) * (Table3[Size]=D301), 0)),0)</f>
        <v>0</v>
      </c>
      <c r="M301" s="56">
        <v>0</v>
      </c>
      <c r="N301" s="84">
        <f t="shared" si="65"/>
        <v>0</v>
      </c>
      <c r="O301" s="167">
        <f t="shared" si="66"/>
        <v>0</v>
      </c>
      <c r="P301" s="14"/>
    </row>
    <row r="302" spans="3:19" hidden="1" outlineLevel="1" x14ac:dyDescent="0.25">
      <c r="C302" s="133"/>
      <c r="D302" s="15" t="s">
        <v>151</v>
      </c>
      <c r="E302" s="11" t="s">
        <v>46</v>
      </c>
      <c r="F302" s="11" t="s">
        <v>46</v>
      </c>
      <c r="G302" s="11"/>
      <c r="H302" s="41"/>
      <c r="I302" s="52" cm="1">
        <f t="array" ref="I302">IFERROR(INDEX(Table3[Labor rate], MATCH(1, (Table3[Material]=$D$298) * (Table3[Size]=D302), 0)),0)</f>
        <v>0</v>
      </c>
      <c r="J302" s="82">
        <f t="shared" si="68"/>
        <v>0</v>
      </c>
      <c r="K302" s="170">
        <f>J302*Summary!$H$4</f>
        <v>0</v>
      </c>
      <c r="L302" s="52" cm="1">
        <f t="array" ref="L302">IFERROR(INDEX(Table3[Material Cost], MATCH(1, (Table3[Material]=$D$298) * (Table3[Size]=D302), 0)),0)</f>
        <v>0</v>
      </c>
      <c r="M302" s="56">
        <v>0</v>
      </c>
      <c r="N302" s="84">
        <f t="shared" si="65"/>
        <v>0</v>
      </c>
      <c r="O302" s="167">
        <f t="shared" si="66"/>
        <v>0</v>
      </c>
      <c r="P302" s="14"/>
    </row>
    <row r="303" spans="3:19" hidden="1" outlineLevel="1" x14ac:dyDescent="0.25">
      <c r="C303" s="133"/>
      <c r="D303" s="15" t="s">
        <v>38</v>
      </c>
      <c r="E303" s="11" t="s">
        <v>46</v>
      </c>
      <c r="F303" s="11" t="s">
        <v>46</v>
      </c>
      <c r="G303" s="11"/>
      <c r="H303" s="41"/>
      <c r="I303" s="52" cm="1">
        <f t="array" ref="I303">IFERROR(INDEX(Table3[Labor rate], MATCH(1, (Table3[Material]=$D$298) * (Table3[Size]=D303), 0)),0)</f>
        <v>0</v>
      </c>
      <c r="J303" s="82">
        <f t="shared" si="68"/>
        <v>0</v>
      </c>
      <c r="K303" s="170">
        <f>J303*Summary!$H$4</f>
        <v>0</v>
      </c>
      <c r="L303" s="52" cm="1">
        <f t="array" ref="L303">IFERROR(INDEX(Table3[Material Cost], MATCH(1, (Table3[Material]=$D$298) * (Table3[Size]=D303), 0)),0)</f>
        <v>0</v>
      </c>
      <c r="M303" s="56">
        <v>0</v>
      </c>
      <c r="N303" s="84">
        <f t="shared" si="65"/>
        <v>0</v>
      </c>
      <c r="O303" s="167">
        <f t="shared" si="66"/>
        <v>0</v>
      </c>
      <c r="P303" s="14"/>
    </row>
    <row r="304" spans="3:19" hidden="1" outlineLevel="1" x14ac:dyDescent="0.25">
      <c r="C304" s="133"/>
      <c r="D304" s="15" t="s">
        <v>26</v>
      </c>
      <c r="E304" s="11" t="s">
        <v>46</v>
      </c>
      <c r="F304" s="11" t="s">
        <v>46</v>
      </c>
      <c r="G304" s="11"/>
      <c r="H304" s="41"/>
      <c r="I304" s="52" cm="1">
        <f t="array" ref="I304">IFERROR(INDEX(Table3[Labor rate], MATCH(1, (Table3[Material]=$D$298) * (Table3[Size]=D304), 0)),0)</f>
        <v>0</v>
      </c>
      <c r="J304" s="82">
        <f t="shared" si="68"/>
        <v>0</v>
      </c>
      <c r="K304" s="170">
        <f>J304*Summary!$H$4</f>
        <v>0</v>
      </c>
      <c r="L304" s="52" cm="1">
        <f t="array" ref="L304">IFERROR(INDEX(Table3[Material Cost], MATCH(1, (Table3[Material]=$D$298) * (Table3[Size]=D304), 0)),0)</f>
        <v>0</v>
      </c>
      <c r="M304" s="56">
        <v>0</v>
      </c>
      <c r="N304" s="84">
        <f t="shared" si="65"/>
        <v>0</v>
      </c>
      <c r="O304" s="167">
        <f t="shared" si="66"/>
        <v>0</v>
      </c>
      <c r="P304" s="14"/>
    </row>
    <row r="305" spans="1:73" hidden="1" outlineLevel="1" x14ac:dyDescent="0.25">
      <c r="C305" s="133"/>
      <c r="D305" s="15" t="s">
        <v>129</v>
      </c>
      <c r="E305" s="11" t="s">
        <v>46</v>
      </c>
      <c r="F305" s="11" t="s">
        <v>46</v>
      </c>
      <c r="G305" s="11"/>
      <c r="H305" s="41"/>
      <c r="I305" s="52" cm="1">
        <f t="array" ref="I305">IFERROR(INDEX(Table3[Labor rate], MATCH(1, (Table3[Material]=$D$298) * (Table3[Size]=D305), 0)),0)</f>
        <v>0</v>
      </c>
      <c r="J305" s="82">
        <f t="shared" si="68"/>
        <v>0</v>
      </c>
      <c r="K305" s="170">
        <f>J305*Summary!$H$4</f>
        <v>0</v>
      </c>
      <c r="L305" s="52" cm="1">
        <f t="array" ref="L305">IFERROR(INDEX(Table3[Material Cost], MATCH(1, (Table3[Material]=$D$298) * (Table3[Size]=D305), 0)),0)</f>
        <v>0</v>
      </c>
      <c r="M305" s="56">
        <v>0</v>
      </c>
      <c r="N305" s="84">
        <f t="shared" si="65"/>
        <v>0</v>
      </c>
      <c r="O305" s="167">
        <f t="shared" si="66"/>
        <v>0</v>
      </c>
      <c r="P305" s="14"/>
    </row>
    <row r="306" spans="1:73" hidden="1" outlineLevel="1" x14ac:dyDescent="0.25">
      <c r="C306" s="133"/>
      <c r="D306" s="15"/>
      <c r="G306" s="11"/>
      <c r="H306" s="41"/>
      <c r="I306" s="52"/>
      <c r="J306" s="82"/>
      <c r="K306" s="170"/>
      <c r="L306" s="52"/>
      <c r="M306" s="56"/>
      <c r="N306" s="84"/>
      <c r="O306" s="167"/>
      <c r="P306" s="14"/>
    </row>
    <row r="307" spans="1:73" hidden="1" outlineLevel="1" x14ac:dyDescent="0.25">
      <c r="C307" s="133"/>
      <c r="G307" s="11"/>
      <c r="H307" s="143"/>
      <c r="I307" s="52"/>
      <c r="J307" s="82"/>
      <c r="K307" s="51"/>
      <c r="L307" s="132"/>
      <c r="M307" s="56"/>
      <c r="N307" s="84"/>
      <c r="O307" s="88"/>
      <c r="P307" s="14"/>
    </row>
    <row r="308" spans="1:73" ht="15.75" hidden="1" outlineLevel="1" thickBot="1" x14ac:dyDescent="0.3">
      <c r="C308" s="208" t="s">
        <v>516</v>
      </c>
      <c r="D308" s="10"/>
      <c r="G308" s="209">
        <v>0.35</v>
      </c>
      <c r="H308" s="169"/>
      <c r="I308" s="52"/>
      <c r="J308" s="207">
        <f>SUM(J295:J307)*G308</f>
        <v>0</v>
      </c>
      <c r="K308" s="138">
        <f>SUM(K295:K307)*G308</f>
        <v>0</v>
      </c>
      <c r="N308" s="138">
        <f>SUM(N295:N307)*G308</f>
        <v>0</v>
      </c>
      <c r="O308" s="167">
        <f t="shared" ref="O308" si="69">N308+K308</f>
        <v>0</v>
      </c>
      <c r="R308" s="349"/>
      <c r="S308" s="349"/>
    </row>
    <row r="309" spans="1:73" hidden="1" outlineLevel="1" x14ac:dyDescent="0.25">
      <c r="C309" s="405"/>
      <c r="D309" s="406" t="s">
        <v>568</v>
      </c>
      <c r="E309" s="407"/>
      <c r="F309" s="407"/>
      <c r="G309" s="408"/>
      <c r="H309" s="408">
        <f>SUM(H295:H307)</f>
        <v>0</v>
      </c>
      <c r="I309" s="408"/>
      <c r="J309" s="408">
        <f>SUM(J295:J308)</f>
        <v>0</v>
      </c>
      <c r="K309" s="409">
        <f>SUM(K295:K308)</f>
        <v>0</v>
      </c>
      <c r="L309" s="408"/>
      <c r="M309" s="408"/>
      <c r="N309" s="409">
        <f>SUM(N295:N308)</f>
        <v>0</v>
      </c>
      <c r="O309" s="410"/>
      <c r="R309" s="349"/>
      <c r="S309" s="349"/>
    </row>
    <row r="310" spans="1:73" hidden="1" outlineLevel="1" x14ac:dyDescent="0.25">
      <c r="C310" s="86"/>
      <c r="E310"/>
      <c r="F310"/>
      <c r="K310" s="1"/>
      <c r="O310" s="137"/>
      <c r="P310" s="14"/>
    </row>
    <row r="311" spans="1:73" ht="15.75" hidden="1" outlineLevel="1" x14ac:dyDescent="0.25">
      <c r="C311" s="629" t="s">
        <v>510</v>
      </c>
      <c r="D311" s="630"/>
      <c r="G311" s="11"/>
      <c r="I311" s="161"/>
      <c r="J311" s="159"/>
      <c r="K311" s="51"/>
      <c r="M311" s="161"/>
      <c r="N311" s="162"/>
      <c r="O311" s="163"/>
      <c r="P311" s="14"/>
    </row>
    <row r="312" spans="1:73" ht="15" hidden="1" customHeight="1" outlineLevel="1" x14ac:dyDescent="0.25">
      <c r="C312" s="241"/>
      <c r="G312" s="11"/>
      <c r="H312" s="146"/>
      <c r="I312" s="134"/>
      <c r="J312" s="82"/>
      <c r="K312" s="51"/>
      <c r="L312" s="56"/>
      <c r="M312" s="56"/>
      <c r="N312" s="84"/>
      <c r="O312" s="88"/>
    </row>
    <row r="313" spans="1:73" hidden="1" outlineLevel="1" x14ac:dyDescent="0.25">
      <c r="C313" s="86" t="s">
        <v>579</v>
      </c>
      <c r="E313" s="11" t="s">
        <v>46</v>
      </c>
      <c r="F313" s="11" t="s">
        <v>46</v>
      </c>
      <c r="G313" s="11"/>
      <c r="H313" s="143"/>
      <c r="I313" s="56">
        <v>1</v>
      </c>
      <c r="J313" s="82">
        <f>(G313+H313)*I313</f>
        <v>0</v>
      </c>
      <c r="K313" s="51">
        <f>J313*Summary!$H$4</f>
        <v>0</v>
      </c>
      <c r="L313" s="53">
        <v>0</v>
      </c>
      <c r="M313" s="56">
        <v>0</v>
      </c>
      <c r="N313" s="84">
        <f>((G313+H313)*L313)+((G313+H313)*M313)</f>
        <v>0</v>
      </c>
      <c r="O313" s="88">
        <f t="shared" ref="O313" si="70">N313+K313</f>
        <v>0</v>
      </c>
    </row>
    <row r="314" spans="1:73" ht="15.75" hidden="1" outlineLevel="1" thickBot="1" x14ac:dyDescent="0.3">
      <c r="C314" s="86"/>
      <c r="G314" s="11"/>
      <c r="H314" s="143"/>
      <c r="I314" s="56"/>
      <c r="J314" s="82"/>
      <c r="K314" s="51"/>
      <c r="L314" s="53"/>
      <c r="M314" s="56"/>
      <c r="N314" s="84"/>
      <c r="O314" s="88"/>
    </row>
    <row r="315" spans="1:73" hidden="1" outlineLevel="1" x14ac:dyDescent="0.25">
      <c r="C315" s="405"/>
      <c r="D315" s="406" t="s">
        <v>580</v>
      </c>
      <c r="E315" s="407"/>
      <c r="F315" s="407"/>
      <c r="G315" s="408">
        <f>SUM(G310:G314)</f>
        <v>0</v>
      </c>
      <c r="H315" s="408"/>
      <c r="I315" s="408"/>
      <c r="J315" s="408">
        <f>SUM(J310:J314)</f>
        <v>0</v>
      </c>
      <c r="K315" s="409">
        <f>SUM(K310:K314)</f>
        <v>0</v>
      </c>
      <c r="L315" s="408"/>
      <c r="M315" s="408"/>
      <c r="N315" s="409">
        <f>SUM(N310:N314)</f>
        <v>0</v>
      </c>
      <c r="O315" s="410"/>
      <c r="R315" s="349"/>
      <c r="S315" s="349"/>
    </row>
    <row r="316" spans="1:73" hidden="1" outlineLevel="1" x14ac:dyDescent="0.25">
      <c r="C316" s="86"/>
      <c r="K316" s="1"/>
      <c r="O316" s="137"/>
    </row>
    <row r="317" spans="1:73" ht="15.75" hidden="1" outlineLevel="1" thickBot="1" x14ac:dyDescent="0.3">
      <c r="C317" s="86"/>
      <c r="K317" s="1"/>
      <c r="O317" s="137"/>
    </row>
    <row r="318" spans="1:73" s="437" customFormat="1" ht="22.5" customHeight="1" collapsed="1" thickTop="1" thickBot="1" x14ac:dyDescent="0.3">
      <c r="A318" s="516"/>
      <c r="C318" s="272"/>
      <c r="D318" s="191" t="s">
        <v>581</v>
      </c>
      <c r="E318" s="191"/>
      <c r="F318" s="191"/>
      <c r="G318" s="274"/>
      <c r="H318" s="191"/>
      <c r="I318" s="191"/>
      <c r="J318" s="274">
        <f>J315+J309+J294</f>
        <v>0</v>
      </c>
      <c r="K318" s="433">
        <f>K315+K309+K294</f>
        <v>0</v>
      </c>
      <c r="L318" s="434"/>
      <c r="M318" s="191"/>
      <c r="N318" s="433">
        <f>N315+N309+N294</f>
        <v>0</v>
      </c>
      <c r="O318" s="435"/>
      <c r="P318" s="436">
        <f>SUM(O270:O317)</f>
        <v>0</v>
      </c>
      <c r="Q318" s="437" t="str">
        <f>IF(P318=(N318+K318), "GOOD", "ERROR NEED CHECK")</f>
        <v>GOOD</v>
      </c>
      <c r="R318" s="349">
        <f t="shared" ref="R318" si="71">IF(F318="X", IF(G318&lt;&gt;"", IF(OR(I318&gt;0,O318&gt;0), "✔", "ERROR"),"ERROR"),0)</f>
        <v>0</v>
      </c>
      <c r="S318" s="349">
        <f t="shared" ref="S318" si="72">IF(E318="X", IF(G318&lt;&gt;"", IF(AND(N318&gt;0,O318&gt;0), "✔", "ERROR"),"ERROR"),0)</f>
        <v>0</v>
      </c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</row>
    <row r="319" spans="1:73" x14ac:dyDescent="0.25">
      <c r="E319"/>
      <c r="F319"/>
      <c r="K319" s="1"/>
      <c r="O319" s="1"/>
      <c r="P319" s="14"/>
    </row>
    <row r="320" spans="1:73" ht="15.75" thickBot="1" x14ac:dyDescent="0.3">
      <c r="E320"/>
      <c r="F320"/>
      <c r="K320" s="1"/>
      <c r="O320" s="1"/>
      <c r="P320" s="14"/>
    </row>
    <row r="321" spans="1:73" s="437" customFormat="1" ht="22.5" customHeight="1" thickBot="1" x14ac:dyDescent="0.3">
      <c r="A321" s="516"/>
      <c r="C321" s="272"/>
      <c r="D321" s="539" t="s">
        <v>515</v>
      </c>
      <c r="E321" s="191"/>
      <c r="F321" s="191"/>
      <c r="G321" s="274"/>
      <c r="H321" s="438">
        <f>H102+H48</f>
        <v>216.89999999999998</v>
      </c>
      <c r="I321" s="191"/>
      <c r="J321" s="274">
        <f>J111+J59+J162+J215+J266+J318</f>
        <v>0</v>
      </c>
      <c r="K321" s="433">
        <f>K111+K59+K162+K215+K266+K318</f>
        <v>0</v>
      </c>
      <c r="L321" s="434"/>
      <c r="M321" s="191"/>
      <c r="N321" s="433">
        <f>N111+N59+N162+N215+N266+N318</f>
        <v>0</v>
      </c>
      <c r="O321" s="435"/>
      <c r="P321" s="436">
        <f>SUM(P10:P319)</f>
        <v>0</v>
      </c>
      <c r="Q321" s="437" t="str">
        <f>IF(P321=(N321+K321), "GOOD", "ERROR NEED CHECK")</f>
        <v>GOOD</v>
      </c>
      <c r="R321" s="349">
        <f t="shared" ref="R321" si="73">IF(F321="X", IF(G321&lt;&gt;"", IF(OR(I321&gt;0,O321&gt;0), "✔", "ERROR"),"ERROR"),0)</f>
        <v>0</v>
      </c>
      <c r="S321" s="349">
        <f t="shared" ref="S321" si="74">IF(E321="X", IF(G321&lt;&gt;"", IF(AND(N321&gt;0,O321&gt;0), "✔", "ERROR"),"ERROR"),0)</f>
        <v>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</row>
    <row r="322" spans="1:73" s="64" customFormat="1" ht="22.5" customHeight="1" x14ac:dyDescent="0.25">
      <c r="A322" s="517"/>
      <c r="D322" s="467"/>
      <c r="G322" s="472"/>
      <c r="H322" s="480"/>
      <c r="J322" s="472"/>
      <c r="K322" s="473"/>
      <c r="L322" s="474"/>
      <c r="N322" s="473"/>
      <c r="O322" s="475"/>
      <c r="P322" s="476"/>
      <c r="R322" s="349"/>
      <c r="S322" s="349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</row>
    <row r="323" spans="1:73" ht="15.75" thickBot="1" x14ac:dyDescent="0.3">
      <c r="G323" s="11"/>
      <c r="H323" s="143"/>
      <c r="I323" s="56"/>
      <c r="J323" s="82"/>
      <c r="K323" s="51"/>
      <c r="L323" s="53"/>
      <c r="M323" s="56"/>
      <c r="N323" s="84"/>
      <c r="O323" s="85"/>
    </row>
    <row r="324" spans="1:73" ht="21" x14ac:dyDescent="0.25">
      <c r="C324" s="265" t="s">
        <v>107</v>
      </c>
      <c r="D324" s="58"/>
      <c r="E324" s="80"/>
      <c r="F324" s="80"/>
      <c r="G324" s="80"/>
      <c r="H324" s="266"/>
      <c r="I324" s="267"/>
      <c r="J324" s="268"/>
      <c r="K324" s="269"/>
      <c r="L324" s="270"/>
      <c r="M324" s="271"/>
      <c r="N324" s="156"/>
      <c r="O324" s="157"/>
    </row>
    <row r="325" spans="1:73" x14ac:dyDescent="0.25">
      <c r="C325" s="86" t="s">
        <v>108</v>
      </c>
      <c r="D325" t="s">
        <v>115</v>
      </c>
      <c r="G325" s="322">
        <v>1</v>
      </c>
      <c r="H325" s="143"/>
      <c r="I325" s="147"/>
      <c r="J325" s="82">
        <f>(J102+J48)*0.25</f>
        <v>0</v>
      </c>
      <c r="K325" s="51">
        <f>J325*Summary!$H$4</f>
        <v>0</v>
      </c>
      <c r="L325" s="53">
        <v>0</v>
      </c>
      <c r="M325" s="56">
        <v>0</v>
      </c>
      <c r="N325" s="84">
        <f>((G325+H325)*L325)+((G325+H325)*M325)</f>
        <v>0</v>
      </c>
      <c r="O325" s="88">
        <f>N325+K325</f>
        <v>0</v>
      </c>
    </row>
    <row r="326" spans="1:73" x14ac:dyDescent="0.25">
      <c r="C326" s="86" t="s">
        <v>73</v>
      </c>
      <c r="D326" t="s">
        <v>74</v>
      </c>
      <c r="E326" s="11" t="s">
        <v>46</v>
      </c>
      <c r="F326" s="11" t="s">
        <v>46</v>
      </c>
      <c r="G326" s="11">
        <f>'Fixtures + Piping computation'!E8+'Fixtures + Piping computation'!E10+'Fixtures + Piping computation'!E9+'Fixtures + Piping computation'!E14+'Fixtures + Piping computation'!E15+'Fixtures + Piping computation'!E18+'Fixtures + Piping computation'!E19+'Fixtures + Piping computation'!E23</f>
        <v>10</v>
      </c>
      <c r="H326" s="143"/>
      <c r="I326" s="56"/>
      <c r="J326" s="82">
        <f>(G326+H326)*I326</f>
        <v>0</v>
      </c>
      <c r="K326" s="51">
        <f>J326*Summary!$H$4</f>
        <v>0</v>
      </c>
      <c r="L326" s="53"/>
      <c r="M326" s="56">
        <v>0</v>
      </c>
      <c r="N326" s="84">
        <f>((G326+H326)*L326)+((G326+H326)*M326)</f>
        <v>0</v>
      </c>
      <c r="O326" s="88">
        <f t="shared" ref="O326" si="75">N326+K326</f>
        <v>0</v>
      </c>
    </row>
    <row r="327" spans="1:73" ht="15.75" thickBot="1" x14ac:dyDescent="0.3">
      <c r="C327" s="96"/>
      <c r="D327" s="135"/>
      <c r="E327" s="149"/>
      <c r="F327" s="149"/>
      <c r="G327" s="149"/>
      <c r="H327" s="150"/>
      <c r="I327" s="135"/>
      <c r="J327" s="135"/>
      <c r="K327" s="135"/>
      <c r="L327" s="135"/>
      <c r="M327" s="135"/>
      <c r="N327" s="135"/>
      <c r="O327" s="97"/>
    </row>
    <row r="328" spans="1:73" s="1" customFormat="1" ht="15.75" thickBot="1" x14ac:dyDescent="0.3">
      <c r="A328" s="518"/>
      <c r="C328" s="259"/>
      <c r="D328" s="260"/>
      <c r="E328" s="261"/>
      <c r="F328" s="261"/>
      <c r="G328" s="261"/>
      <c r="H328" s="262"/>
      <c r="I328" s="261"/>
      <c r="J328" s="263">
        <f>SUM(J325:J327)</f>
        <v>0</v>
      </c>
      <c r="K328" s="194">
        <f>SUM(K325:K327)</f>
        <v>0</v>
      </c>
      <c r="L328" s="261"/>
      <c r="M328" s="261"/>
      <c r="N328" s="194">
        <f>SUM(N325:N327)</f>
        <v>0</v>
      </c>
      <c r="O328" s="264"/>
      <c r="P328" s="436">
        <f>SUM(O324:O327)</f>
        <v>0</v>
      </c>
      <c r="Q328" s="437" t="str">
        <f>IF(P328=(N328+K328), "GOOD", "ERROR NEED CHECK")</f>
        <v>GOOD</v>
      </c>
    </row>
    <row r="329" spans="1:73" x14ac:dyDescent="0.25">
      <c r="G329" s="11"/>
    </row>
    <row r="330" spans="1:73" ht="23.25" x14ac:dyDescent="0.35">
      <c r="P330" s="220">
        <f>SUM(P321:P329)</f>
        <v>0</v>
      </c>
    </row>
    <row r="332" spans="1:73" ht="15.75" thickBot="1" x14ac:dyDescent="0.3"/>
    <row r="333" spans="1:73" x14ac:dyDescent="0.25">
      <c r="C333" s="65" t="s">
        <v>60</v>
      </c>
      <c r="D333" s="58"/>
      <c r="E333" s="66"/>
      <c r="I333" s="112" t="s">
        <v>116</v>
      </c>
      <c r="J333" s="199">
        <f>H13+H66/10</f>
        <v>0</v>
      </c>
      <c r="L333" s="108"/>
    </row>
    <row r="334" spans="1:73" x14ac:dyDescent="0.25">
      <c r="C334" s="67" t="s">
        <v>45</v>
      </c>
      <c r="D334" s="38" t="s">
        <v>61</v>
      </c>
      <c r="E334" s="60" t="s">
        <v>62</v>
      </c>
      <c r="H334" s="108"/>
      <c r="I334" s="112" t="s">
        <v>118</v>
      </c>
      <c r="J334" s="199">
        <f>J325/8</f>
        <v>0</v>
      </c>
      <c r="L334" s="108"/>
    </row>
    <row r="335" spans="1:73" ht="15.75" thickBot="1" x14ac:dyDescent="0.3">
      <c r="C335" s="61">
        <f>H13</f>
        <v>0</v>
      </c>
      <c r="D335" s="62">
        <v>1.2500000000000001E-2</v>
      </c>
      <c r="E335" s="63">
        <f>C335*(1+D335)</f>
        <v>0</v>
      </c>
      <c r="H335" s="108"/>
      <c r="I335" s="112" t="s">
        <v>117</v>
      </c>
      <c r="J335" s="200" t="e">
        <f>J333/J334</f>
        <v>#DIV/0!</v>
      </c>
      <c r="L335" s="108"/>
    </row>
    <row r="336" spans="1:73" ht="15.75" thickBot="1" x14ac:dyDescent="0.3"/>
    <row r="337" spans="3:6" x14ac:dyDescent="0.25">
      <c r="C337" s="69" t="s">
        <v>63</v>
      </c>
      <c r="D337" s="70"/>
    </row>
    <row r="338" spans="3:6" x14ac:dyDescent="0.25">
      <c r="C338" s="71" t="s">
        <v>56</v>
      </c>
      <c r="D338" s="72">
        <v>0.125</v>
      </c>
    </row>
    <row r="339" spans="3:6" ht="15.75" thickBot="1" x14ac:dyDescent="0.3">
      <c r="C339" s="73" t="s">
        <v>57</v>
      </c>
      <c r="D339" s="74">
        <v>0.25</v>
      </c>
    </row>
    <row r="341" spans="3:6" x14ac:dyDescent="0.25">
      <c r="C341" t="s">
        <v>58</v>
      </c>
    </row>
    <row r="342" spans="3:6" x14ac:dyDescent="0.25">
      <c r="C342" t="s">
        <v>59</v>
      </c>
    </row>
    <row r="344" spans="3:6" x14ac:dyDescent="0.25">
      <c r="C344" s="1" t="s">
        <v>80</v>
      </c>
      <c r="E344"/>
      <c r="F344"/>
    </row>
    <row r="345" spans="3:6" x14ac:dyDescent="0.25">
      <c r="D345" t="s">
        <v>64</v>
      </c>
      <c r="E345"/>
      <c r="F345"/>
    </row>
    <row r="346" spans="3:6" x14ac:dyDescent="0.25">
      <c r="D346" t="s">
        <v>65</v>
      </c>
      <c r="E346">
        <v>70</v>
      </c>
      <c r="F346">
        <f>E346*3*65</f>
        <v>13650</v>
      </c>
    </row>
    <row r="347" spans="3:6" x14ac:dyDescent="0.25">
      <c r="D347" t="s">
        <v>197</v>
      </c>
      <c r="E347"/>
      <c r="F347" t="s">
        <v>198</v>
      </c>
    </row>
    <row r="349" spans="3:6" x14ac:dyDescent="0.25">
      <c r="E349" s="11" t="s">
        <v>67</v>
      </c>
    </row>
    <row r="350" spans="3:6" x14ac:dyDescent="0.25">
      <c r="C350" t="s">
        <v>66</v>
      </c>
      <c r="E350">
        <v>0.5</v>
      </c>
      <c r="F350">
        <f>E350*65</f>
        <v>32.5</v>
      </c>
    </row>
    <row r="356" spans="5:12" x14ac:dyDescent="0.25">
      <c r="E356"/>
      <c r="F356"/>
      <c r="K356" s="14"/>
    </row>
    <row r="357" spans="5:12" x14ac:dyDescent="0.25">
      <c r="E357"/>
      <c r="F357"/>
      <c r="K357" s="14"/>
      <c r="L357" s="3"/>
    </row>
    <row r="358" spans="5:12" x14ac:dyDescent="0.25">
      <c r="E358"/>
      <c r="F358"/>
      <c r="K358" s="14"/>
      <c r="L358" s="3"/>
    </row>
  </sheetData>
  <mergeCells count="15">
    <mergeCell ref="C5:D5"/>
    <mergeCell ref="C89:D89"/>
    <mergeCell ref="C104:D104"/>
    <mergeCell ref="C35:D35"/>
    <mergeCell ref="C50:D50"/>
    <mergeCell ref="U7:Z7"/>
    <mergeCell ref="C296:D296"/>
    <mergeCell ref="C311:D311"/>
    <mergeCell ref="C208:D208"/>
    <mergeCell ref="C245:D245"/>
    <mergeCell ref="C259:D259"/>
    <mergeCell ref="C141:D141"/>
    <mergeCell ref="C155:D155"/>
    <mergeCell ref="C192:D192"/>
    <mergeCell ref="U60:X60"/>
  </mergeCells>
  <dataValidations count="1">
    <dataValidation type="list" allowBlank="1" showInputMessage="1" showErrorMessage="1" sqref="D298 D194 D143 D247" xr:uid="{00000000-0002-0000-0400-000000000000}">
      <formula1>$B$235:$B$262</formula1>
    </dataValidation>
  </dataValidations>
  <pageMargins left="0.7" right="0.7" top="0.75" bottom="0.75" header="0.3" footer="0.3"/>
  <pageSetup scale="27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1000000}">
          <x14:formula1>
            <xm:f>'Fixtures + Piping computation'!$B$310:$B$337</xm:f>
          </x14:formula1>
          <xm:sqref>D37 D97 D94 D91 D42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XER650"/>
  <sheetViews>
    <sheetView showZeros="0" zoomScale="70" zoomScaleNormal="70" zoomScaleSheetLayoutView="70" workbookViewId="0">
      <pane ySplit="2" topLeftCell="A447" activePane="bottomLeft" state="frozen"/>
      <selection pane="bottomLeft" activeCell="H182" sqref="H182"/>
    </sheetView>
  </sheetViews>
  <sheetFormatPr defaultRowHeight="15" outlineLevelRow="1" x14ac:dyDescent="0.25"/>
  <cols>
    <col min="1" max="1" width="2.140625" customWidth="1"/>
    <col min="2" max="2" width="61.42578125" customWidth="1"/>
    <col min="3" max="3" width="47.140625" customWidth="1"/>
    <col min="4" max="4" width="12.140625" style="11" customWidth="1"/>
    <col min="5" max="5" width="8.85546875" style="11" customWidth="1"/>
    <col min="6" max="6" width="8.85546875" customWidth="1"/>
    <col min="7" max="7" width="10.85546875" customWidth="1"/>
    <col min="8" max="8" width="20.85546875" customWidth="1"/>
    <col min="9" max="10" width="24.85546875" customWidth="1"/>
    <col min="11" max="13" width="23.42578125" customWidth="1"/>
    <col min="14" max="14" width="17.42578125" customWidth="1"/>
    <col min="15" max="15" width="17.140625" customWidth="1"/>
    <col min="18" max="18" width="9.140625" style="354"/>
  </cols>
  <sheetData>
    <row r="1" spans="2:20" ht="6.75" customHeight="1" x14ac:dyDescent="0.25"/>
    <row r="2" spans="2:20" s="11" customFormat="1" ht="21" x14ac:dyDescent="0.25">
      <c r="B2" s="13"/>
      <c r="C2" s="2" t="s">
        <v>5</v>
      </c>
      <c r="D2" s="2" t="s">
        <v>29</v>
      </c>
      <c r="E2" s="2" t="s">
        <v>30</v>
      </c>
      <c r="F2" s="2" t="s">
        <v>6</v>
      </c>
      <c r="G2" s="2" t="s">
        <v>7</v>
      </c>
      <c r="H2" s="2" t="s">
        <v>31</v>
      </c>
      <c r="I2" s="2" t="s">
        <v>1</v>
      </c>
      <c r="J2" s="2" t="s">
        <v>34</v>
      </c>
      <c r="K2" s="2" t="s">
        <v>32</v>
      </c>
      <c r="L2" s="2" t="s">
        <v>28</v>
      </c>
      <c r="M2" s="2" t="s">
        <v>33</v>
      </c>
      <c r="N2" s="2" t="s">
        <v>3</v>
      </c>
      <c r="R2" s="349"/>
    </row>
    <row r="3" spans="2:20" x14ac:dyDescent="0.25">
      <c r="B3" s="1" t="s">
        <v>15</v>
      </c>
      <c r="C3" t="str">
        <f>Summary!C2</f>
        <v>University Park Village Starbucks</v>
      </c>
    </row>
    <row r="4" spans="2:20" x14ac:dyDescent="0.25">
      <c r="B4" s="1" t="s">
        <v>16</v>
      </c>
      <c r="C4" t="str">
        <f>Summary!C3</f>
        <v>1620 S University DR, Fort Worth, TX 76107</v>
      </c>
    </row>
    <row r="5" spans="2:20" x14ac:dyDescent="0.25">
      <c r="B5" s="1" t="s">
        <v>17</v>
      </c>
      <c r="C5" s="309" t="str">
        <f>Summary!C4</f>
        <v>June 17, 2025</v>
      </c>
    </row>
    <row r="7" spans="2:20" s="30" customFormat="1" ht="15.75" thickBot="1" x14ac:dyDescent="0.3">
      <c r="J7" s="32"/>
      <c r="M7" s="33"/>
      <c r="N7" s="34"/>
      <c r="O7" s="31"/>
      <c r="R7" s="355"/>
    </row>
    <row r="8" spans="2:20" x14ac:dyDescent="0.25">
      <c r="B8" s="446"/>
      <c r="C8" s="447"/>
      <c r="D8" s="448"/>
      <c r="E8" s="448"/>
      <c r="F8" s="447"/>
      <c r="G8" s="447"/>
      <c r="H8" s="447"/>
      <c r="I8" s="449"/>
      <c r="J8" s="450"/>
      <c r="K8" s="447"/>
      <c r="L8" s="447"/>
      <c r="M8" s="451"/>
      <c r="N8" s="452"/>
      <c r="O8" s="14"/>
      <c r="Q8" s="348"/>
      <c r="R8" s="348"/>
    </row>
    <row r="9" spans="2:20" ht="21" x14ac:dyDescent="0.25">
      <c r="B9" s="453" t="s">
        <v>451</v>
      </c>
      <c r="C9" s="454"/>
      <c r="D9" s="455"/>
      <c r="E9" s="455"/>
      <c r="F9" s="454"/>
      <c r="G9" s="454"/>
      <c r="H9" s="454"/>
      <c r="I9" s="456"/>
      <c r="J9" s="457"/>
      <c r="K9" s="454"/>
      <c r="L9" s="454"/>
      <c r="M9" s="458"/>
      <c r="N9" s="459"/>
      <c r="O9" s="14"/>
      <c r="Q9" s="348"/>
      <c r="R9" s="348"/>
    </row>
    <row r="10" spans="2:20" ht="15.75" thickBot="1" x14ac:dyDescent="0.3">
      <c r="B10" s="460"/>
      <c r="C10" s="461"/>
      <c r="D10" s="462"/>
      <c r="E10" s="462"/>
      <c r="F10" s="461"/>
      <c r="G10" s="461"/>
      <c r="H10" s="461"/>
      <c r="I10" s="463"/>
      <c r="J10" s="464"/>
      <c r="K10" s="461"/>
      <c r="L10" s="461"/>
      <c r="M10" s="465"/>
      <c r="N10" s="466"/>
      <c r="O10" s="14"/>
      <c r="Q10" s="348"/>
      <c r="R10" s="348"/>
    </row>
    <row r="11" spans="2:20" ht="21.75" thickBot="1" x14ac:dyDescent="0.3">
      <c r="B11" s="385"/>
      <c r="C11" s="135"/>
      <c r="D11" s="149"/>
      <c r="E11" s="149"/>
      <c r="F11" s="135"/>
      <c r="G11" s="135"/>
      <c r="H11" s="135"/>
      <c r="I11" s="382"/>
      <c r="J11" s="383"/>
      <c r="K11" s="135"/>
      <c r="L11" s="135"/>
      <c r="M11" s="384"/>
      <c r="N11" s="383"/>
      <c r="O11" s="14"/>
      <c r="Q11" s="348"/>
      <c r="R11" s="348"/>
    </row>
    <row r="12" spans="2:20" ht="15.75" thickBot="1" x14ac:dyDescent="0.3">
      <c r="B12" s="247"/>
      <c r="C12" s="248"/>
      <c r="D12" s="376"/>
      <c r="E12" s="376"/>
      <c r="F12" s="248"/>
      <c r="G12" s="248"/>
      <c r="H12" s="248"/>
      <c r="I12" s="379"/>
      <c r="J12" s="380"/>
      <c r="K12" s="248"/>
      <c r="L12" s="248"/>
      <c r="M12" s="377"/>
      <c r="N12" s="378"/>
      <c r="O12" s="14"/>
      <c r="Q12" s="348"/>
      <c r="R12" s="348"/>
    </row>
    <row r="13" spans="2:20" ht="22.5" thickTop="1" thickBot="1" x14ac:dyDescent="0.4">
      <c r="B13" s="413" t="s">
        <v>81</v>
      </c>
      <c r="C13" s="414" t="s">
        <v>127</v>
      </c>
      <c r="D13" s="415"/>
      <c r="E13" s="415"/>
      <c r="F13" s="416"/>
      <c r="G13" s="417"/>
      <c r="H13" s="416"/>
      <c r="I13" s="418"/>
      <c r="J13" s="419"/>
      <c r="K13" s="416"/>
      <c r="L13" s="416"/>
      <c r="M13" s="420"/>
      <c r="N13" s="421"/>
      <c r="O13" s="14"/>
      <c r="Q13" s="349">
        <f t="shared" ref="Q13" si="0">IF(E13="X", IF(F13&lt;&gt;"", IF(OR(H13&lt;&gt;"",K13&lt;&gt;""), "✔", "ERROR"),"ERROR"),0)</f>
        <v>0</v>
      </c>
      <c r="R13" s="348"/>
      <c r="T13" s="43"/>
    </row>
    <row r="14" spans="2:20" ht="21.75" thickTop="1" x14ac:dyDescent="0.25">
      <c r="B14" s="144"/>
      <c r="C14" s="222"/>
      <c r="F14" s="56"/>
      <c r="H14" s="56"/>
      <c r="I14" s="82"/>
      <c r="J14" s="51"/>
      <c r="K14" s="52"/>
      <c r="L14" s="56"/>
      <c r="M14" s="84"/>
      <c r="N14" s="88"/>
      <c r="O14" s="14"/>
      <c r="Q14" s="349"/>
      <c r="R14" s="348"/>
      <c r="T14" s="43"/>
    </row>
    <row r="15" spans="2:20" s="43" customFormat="1" x14ac:dyDescent="0.25">
      <c r="B15" s="126" t="str">
        <f>IF('Fixtures + Piping computation'!C31&gt;0,'Fixtures + Piping computation'!B31 &amp; " (" &amp;'Fixtures + Piping computation'!C31 &amp; ")",'Fixtures + Piping computation'!C31)</f>
        <v>Water heater (22232)</v>
      </c>
      <c r="C15" s="109" t="s">
        <v>841</v>
      </c>
      <c r="D15" s="11" t="s">
        <v>46</v>
      </c>
      <c r="E15" s="11" t="s">
        <v>46</v>
      </c>
      <c r="F15" s="110">
        <f>'Fixtures + Piping computation'!D184</f>
        <v>1</v>
      </c>
      <c r="H15" s="110">
        <v>10</v>
      </c>
      <c r="I15" s="159">
        <f t="shared" ref="I15" si="1">(F15+G15)*H15</f>
        <v>10</v>
      </c>
      <c r="J15" s="160">
        <f>I15*Summary!$H$4</f>
        <v>1725</v>
      </c>
      <c r="K15" s="161"/>
      <c r="L15" s="161"/>
      <c r="M15" s="162">
        <f t="shared" ref="M15" si="2">((F15+G15)*K15)+((F15+G15)*L15)</f>
        <v>0</v>
      </c>
      <c r="N15" s="163">
        <f t="shared" ref="N15" si="3">M15+J15</f>
        <v>1725</v>
      </c>
      <c r="O15" s="111"/>
      <c r="Q15" s="349"/>
      <c r="R15" s="349"/>
    </row>
    <row r="16" spans="2:20" s="43" customFormat="1" x14ac:dyDescent="0.25">
      <c r="B16" s="164" t="s">
        <v>134</v>
      </c>
      <c r="C16" s="109"/>
      <c r="D16" s="11"/>
      <c r="E16" s="11"/>
      <c r="F16" s="110"/>
      <c r="H16" s="110"/>
      <c r="I16" s="159"/>
      <c r="J16" s="160"/>
      <c r="K16" s="161"/>
      <c r="L16" s="161"/>
      <c r="M16" s="162"/>
      <c r="N16" s="163"/>
      <c r="O16" s="111"/>
      <c r="Q16" s="349"/>
      <c r="R16" s="349"/>
    </row>
    <row r="17" spans="2:18" s="43" customFormat="1" x14ac:dyDescent="0.25">
      <c r="B17" s="158" t="str">
        <f>'Fixtures + Piping computation'!B72</f>
        <v>Expansion tank</v>
      </c>
      <c r="C17" s="109" t="s">
        <v>681</v>
      </c>
      <c r="D17" s="11" t="s">
        <v>46</v>
      </c>
      <c r="E17" s="11" t="s">
        <v>46</v>
      </c>
      <c r="F17" s="110">
        <f>'Fixtures + Piping computation'!E72</f>
        <v>1</v>
      </c>
      <c r="H17" s="110"/>
      <c r="I17" s="159"/>
      <c r="J17" s="160"/>
      <c r="K17" s="161"/>
      <c r="L17" s="161"/>
      <c r="M17" s="162">
        <f t="shared" ref="M17:M24" si="4">((F17+G17)*K17)+((F17+G17)*L17)</f>
        <v>0</v>
      </c>
      <c r="N17" s="163">
        <f t="shared" ref="N17:N24" si="5">M17+J17</f>
        <v>0</v>
      </c>
      <c r="O17" s="111"/>
      <c r="Q17" s="349"/>
      <c r="R17" s="349"/>
    </row>
    <row r="18" spans="2:18" s="43" customFormat="1" x14ac:dyDescent="0.25">
      <c r="B18" s="158" t="str">
        <f>'Fixtures + Piping computation'!B73</f>
        <v>Shut-off valve 1"</v>
      </c>
      <c r="C18" s="109" t="s">
        <v>839</v>
      </c>
      <c r="D18" s="11" t="s">
        <v>46</v>
      </c>
      <c r="E18" s="11" t="s">
        <v>46</v>
      </c>
      <c r="F18" s="110">
        <f>'Fixtures + Piping computation'!E73</f>
        <v>3</v>
      </c>
      <c r="H18" s="110"/>
      <c r="I18" s="159"/>
      <c r="J18" s="160"/>
      <c r="K18" s="225"/>
      <c r="L18" s="161"/>
      <c r="M18" s="162">
        <f t="shared" si="4"/>
        <v>0</v>
      </c>
      <c r="N18" s="163">
        <f t="shared" si="5"/>
        <v>0</v>
      </c>
      <c r="O18" s="111"/>
      <c r="Q18" s="349"/>
      <c r="R18" s="349"/>
    </row>
    <row r="19" spans="2:18" s="43" customFormat="1" x14ac:dyDescent="0.25">
      <c r="B19" s="158" t="str">
        <f>'Fixtures + Piping computation'!B74</f>
        <v>Check valve 1"</v>
      </c>
      <c r="C19" s="109" t="s">
        <v>864</v>
      </c>
      <c r="D19" s="11" t="s">
        <v>46</v>
      </c>
      <c r="E19" s="11" t="s">
        <v>46</v>
      </c>
      <c r="F19" s="110">
        <f>'Fixtures + Piping computation'!E74</f>
        <v>1</v>
      </c>
      <c r="H19" s="110"/>
      <c r="I19" s="159"/>
      <c r="J19" s="160"/>
      <c r="K19" s="225"/>
      <c r="L19" s="161"/>
      <c r="M19" s="162">
        <f t="shared" ref="M19" si="6">((F19+G19)*K19)+((F19+G19)*L19)</f>
        <v>0</v>
      </c>
      <c r="N19" s="163">
        <f t="shared" ref="N19" si="7">M19+J19</f>
        <v>0</v>
      </c>
      <c r="O19" s="111"/>
      <c r="Q19" s="349"/>
      <c r="R19" s="349"/>
    </row>
    <row r="20" spans="2:18" s="43" customFormat="1" x14ac:dyDescent="0.25">
      <c r="B20" s="158" t="str">
        <f>'Fixtures + Piping computation'!B75</f>
        <v>Vacuum relief valve 3/4"</v>
      </c>
      <c r="C20" s="109" t="s">
        <v>842</v>
      </c>
      <c r="D20" s="11" t="s">
        <v>46</v>
      </c>
      <c r="E20" s="11" t="s">
        <v>46</v>
      </c>
      <c r="F20" s="110">
        <f>'Fixtures + Piping computation'!E75</f>
        <v>1</v>
      </c>
      <c r="H20" s="110"/>
      <c r="I20" s="159"/>
      <c r="J20" s="160"/>
      <c r="K20" s="225"/>
      <c r="L20" s="161"/>
      <c r="M20" s="162">
        <f t="shared" si="4"/>
        <v>0</v>
      </c>
      <c r="N20" s="163">
        <f t="shared" si="5"/>
        <v>0</v>
      </c>
      <c r="O20" s="111"/>
      <c r="Q20" s="349"/>
      <c r="R20" s="349"/>
    </row>
    <row r="21" spans="2:18" s="43" customFormat="1" x14ac:dyDescent="0.25">
      <c r="B21" s="158" t="str">
        <f>'Fixtures + Piping computation'!B76</f>
        <v>Straps</v>
      </c>
      <c r="C21" s="109"/>
      <c r="D21" s="11" t="s">
        <v>46</v>
      </c>
      <c r="E21" s="11" t="s">
        <v>46</v>
      </c>
      <c r="F21" s="110">
        <f>'Fixtures + Piping computation'!E76</f>
        <v>2</v>
      </c>
      <c r="H21" s="110"/>
      <c r="I21" s="159"/>
      <c r="J21" s="160"/>
      <c r="K21" s="225"/>
      <c r="L21" s="161"/>
      <c r="M21" s="162">
        <f t="shared" si="4"/>
        <v>0</v>
      </c>
      <c r="N21" s="163">
        <f t="shared" si="5"/>
        <v>0</v>
      </c>
      <c r="O21" s="111"/>
      <c r="Q21" s="349"/>
      <c r="R21" s="349"/>
    </row>
    <row r="22" spans="2:18" s="43" customFormat="1" x14ac:dyDescent="0.25">
      <c r="B22" s="158" t="str">
        <f>'Fixtures + Piping computation'!B77</f>
        <v>Drain pan</v>
      </c>
      <c r="C22" s="109"/>
      <c r="D22" s="11" t="s">
        <v>46</v>
      </c>
      <c r="E22" s="11" t="s">
        <v>46</v>
      </c>
      <c r="F22" s="110">
        <f>'Fixtures + Piping computation'!E77</f>
        <v>1</v>
      </c>
      <c r="H22" s="110"/>
      <c r="I22" s="159"/>
      <c r="J22" s="160"/>
      <c r="K22" s="225"/>
      <c r="L22" s="161"/>
      <c r="M22" s="162">
        <f t="shared" si="4"/>
        <v>0</v>
      </c>
      <c r="N22" s="163">
        <f t="shared" si="5"/>
        <v>0</v>
      </c>
      <c r="O22" s="111"/>
      <c r="Q22" s="349"/>
      <c r="R22" s="349"/>
    </row>
    <row r="23" spans="2:18" s="43" customFormat="1" x14ac:dyDescent="0.25">
      <c r="B23" s="158" t="str">
        <f>'Fixtures + Piping computation'!B78</f>
        <v>T&amp;P relief valve</v>
      </c>
      <c r="C23" s="568" t="s">
        <v>865</v>
      </c>
      <c r="D23" s="11" t="s">
        <v>46</v>
      </c>
      <c r="E23" s="11" t="s">
        <v>46</v>
      </c>
      <c r="F23" s="110">
        <f>'Fixtures + Piping computation'!E78</f>
        <v>1</v>
      </c>
      <c r="H23" s="110"/>
      <c r="I23" s="159"/>
      <c r="J23" s="160"/>
      <c r="K23" s="225"/>
      <c r="L23" s="161"/>
      <c r="M23" s="162">
        <f t="shared" si="4"/>
        <v>0</v>
      </c>
      <c r="N23" s="163">
        <f t="shared" si="5"/>
        <v>0</v>
      </c>
      <c r="O23" s="111"/>
      <c r="Q23" s="349"/>
      <c r="R23" s="349"/>
    </row>
    <row r="24" spans="2:18" s="43" customFormat="1" x14ac:dyDescent="0.25">
      <c r="B24" s="158" t="str">
        <f>'Fixtures + Piping computation'!B79</f>
        <v xml:space="preserve">Concentric valve </v>
      </c>
      <c r="C24" s="109" t="s">
        <v>680</v>
      </c>
      <c r="D24" s="11" t="s">
        <v>46</v>
      </c>
      <c r="E24" s="11" t="s">
        <v>46</v>
      </c>
      <c r="F24" s="110">
        <f>'Fixtures + Piping computation'!E79</f>
        <v>1</v>
      </c>
      <c r="H24" s="110"/>
      <c r="I24" s="159"/>
      <c r="J24" s="160"/>
      <c r="K24" s="161"/>
      <c r="L24" s="161"/>
      <c r="M24" s="162">
        <f t="shared" si="4"/>
        <v>0</v>
      </c>
      <c r="N24" s="163">
        <f t="shared" si="5"/>
        <v>0</v>
      </c>
      <c r="O24" s="111"/>
      <c r="Q24" s="349"/>
      <c r="R24" s="349"/>
    </row>
    <row r="25" spans="2:18" s="43" customFormat="1" x14ac:dyDescent="0.25">
      <c r="B25" s="158" t="str">
        <f>'Fixtures + Piping computation'!B80</f>
        <v>Condensate Neutralization</v>
      </c>
      <c r="C25" s="228">
        <v>100289339</v>
      </c>
      <c r="D25" s="11" t="s">
        <v>46</v>
      </c>
      <c r="E25" s="11" t="s">
        <v>46</v>
      </c>
      <c r="F25" s="110">
        <f>'Fixtures + Piping computation'!E80</f>
        <v>1</v>
      </c>
      <c r="H25" s="110"/>
      <c r="I25" s="159"/>
      <c r="J25" s="160"/>
      <c r="K25" s="161"/>
      <c r="L25" s="161"/>
      <c r="M25" s="162">
        <f t="shared" ref="M25" si="8">((F25+G25)*K25)+((F25+G25)*L25)</f>
        <v>0</v>
      </c>
      <c r="N25" s="163">
        <f t="shared" ref="N25" si="9">M25+J25</f>
        <v>0</v>
      </c>
      <c r="O25" s="111"/>
      <c r="Q25" s="349"/>
      <c r="R25" s="349"/>
    </row>
    <row r="26" spans="2:18" s="43" customFormat="1" x14ac:dyDescent="0.25">
      <c r="B26" s="158"/>
      <c r="C26" s="109"/>
      <c r="D26" s="11"/>
      <c r="E26" s="11"/>
      <c r="F26" s="11"/>
      <c r="H26" s="110"/>
      <c r="I26" s="159"/>
      <c r="J26" s="160"/>
      <c r="K26" s="161"/>
      <c r="L26" s="161"/>
      <c r="M26" s="162"/>
      <c r="N26" s="163"/>
      <c r="O26" s="111"/>
      <c r="Q26" s="349"/>
      <c r="R26" s="349"/>
    </row>
    <row r="27" spans="2:18" s="43" customFormat="1" x14ac:dyDescent="0.25">
      <c r="B27" s="126" t="str">
        <f>'Fixtures + Piping computation'!C185</f>
        <v>Recirculating pump (X2500)</v>
      </c>
      <c r="C27" s="109" t="s">
        <v>843</v>
      </c>
      <c r="D27" s="11" t="s">
        <v>46</v>
      </c>
      <c r="E27" s="11" t="s">
        <v>46</v>
      </c>
      <c r="F27" s="110">
        <f>'Fixtures + Piping computation'!D185</f>
        <v>1</v>
      </c>
      <c r="H27" s="110">
        <v>4</v>
      </c>
      <c r="I27" s="159">
        <f t="shared" ref="I27" si="10">(F27+G27)*H27</f>
        <v>4</v>
      </c>
      <c r="J27" s="160">
        <f>I27*Summary!$H$4</f>
        <v>690</v>
      </c>
      <c r="K27" s="161"/>
      <c r="L27" s="161"/>
      <c r="M27" s="162">
        <f t="shared" ref="M27" si="11">((F27+G27)*K27)+((F27+G27)*L27)</f>
        <v>0</v>
      </c>
      <c r="N27" s="163">
        <f t="shared" ref="N27" si="12">M27+J27</f>
        <v>690</v>
      </c>
      <c r="O27" s="111"/>
      <c r="Q27" s="349"/>
      <c r="R27" s="349"/>
    </row>
    <row r="28" spans="2:18" s="43" customFormat="1" x14ac:dyDescent="0.25">
      <c r="B28" s="164" t="s">
        <v>134</v>
      </c>
      <c r="C28" s="109"/>
      <c r="D28" s="11"/>
      <c r="E28" s="11"/>
      <c r="F28" s="110"/>
      <c r="H28" s="110"/>
      <c r="I28" s="159"/>
      <c r="J28" s="160"/>
      <c r="K28" s="161"/>
      <c r="L28" s="161"/>
      <c r="M28" s="162"/>
      <c r="N28" s="163"/>
      <c r="O28" s="111"/>
      <c r="Q28" s="349"/>
      <c r="R28" s="349"/>
    </row>
    <row r="29" spans="2:18" s="43" customFormat="1" x14ac:dyDescent="0.25">
      <c r="B29" s="158" t="s">
        <v>682</v>
      </c>
      <c r="C29" s="109"/>
      <c r="D29" s="11" t="s">
        <v>46</v>
      </c>
      <c r="E29" s="11" t="s">
        <v>46</v>
      </c>
      <c r="F29" s="110">
        <v>2</v>
      </c>
      <c r="H29" s="110"/>
      <c r="I29" s="159"/>
      <c r="J29" s="160"/>
      <c r="K29" s="161"/>
      <c r="L29" s="161"/>
      <c r="M29" s="162">
        <f t="shared" ref="M29:M31" si="13">((F29+G29)*K29)+((F29+G29)*L29)</f>
        <v>0</v>
      </c>
      <c r="N29" s="163">
        <f t="shared" ref="N29:N31" si="14">M29+J29</f>
        <v>0</v>
      </c>
      <c r="O29" s="111"/>
      <c r="Q29" s="349"/>
      <c r="R29" s="349"/>
    </row>
    <row r="30" spans="2:18" s="43" customFormat="1" x14ac:dyDescent="0.25">
      <c r="B30" s="158" t="str">
        <f>'Fixtures + Piping computation'!B83</f>
        <v>Shut-off valve 3/4"</v>
      </c>
      <c r="C30" s="109" t="s">
        <v>839</v>
      </c>
      <c r="D30" s="11" t="s">
        <v>46</v>
      </c>
      <c r="E30" s="11" t="s">
        <v>46</v>
      </c>
      <c r="F30" s="110">
        <f>'Fixtures + Piping computation'!E83</f>
        <v>2</v>
      </c>
      <c r="H30" s="110"/>
      <c r="I30" s="159"/>
      <c r="J30" s="160"/>
      <c r="K30" s="161"/>
      <c r="L30" s="161"/>
      <c r="M30" s="162">
        <f t="shared" si="13"/>
        <v>0</v>
      </c>
      <c r="N30" s="163">
        <f t="shared" si="14"/>
        <v>0</v>
      </c>
      <c r="O30" s="111"/>
      <c r="Q30" s="349"/>
      <c r="R30" s="349"/>
    </row>
    <row r="31" spans="2:18" s="43" customFormat="1" x14ac:dyDescent="0.25">
      <c r="B31" s="158" t="str">
        <f>'Fixtures + Piping computation'!B84</f>
        <v>Check valve 3/4"</v>
      </c>
      <c r="C31" s="109" t="s">
        <v>864</v>
      </c>
      <c r="D31" s="11" t="s">
        <v>46</v>
      </c>
      <c r="E31" s="11" t="s">
        <v>46</v>
      </c>
      <c r="F31" s="110">
        <f>'Fixtures + Piping computation'!E84</f>
        <v>1</v>
      </c>
      <c r="H31" s="110"/>
      <c r="I31" s="159"/>
      <c r="J31" s="160"/>
      <c r="K31" s="161"/>
      <c r="L31" s="161"/>
      <c r="M31" s="162">
        <f t="shared" si="13"/>
        <v>0</v>
      </c>
      <c r="N31" s="163">
        <f t="shared" si="14"/>
        <v>0</v>
      </c>
      <c r="O31" s="111"/>
      <c r="Q31" s="349"/>
      <c r="R31" s="349"/>
    </row>
    <row r="32" spans="2:18" s="43" customFormat="1" x14ac:dyDescent="0.25">
      <c r="B32" s="158" t="str">
        <f>'Fixtures + Piping computation'!B85</f>
        <v>Aquastat</v>
      </c>
      <c r="C32" s="109" t="s">
        <v>684</v>
      </c>
      <c r="D32" s="11" t="s">
        <v>46</v>
      </c>
      <c r="E32" s="11" t="s">
        <v>46</v>
      </c>
      <c r="F32" s="110">
        <f>'Fixtures + Piping computation'!E85</f>
        <v>1</v>
      </c>
      <c r="H32" s="110"/>
      <c r="I32" s="159"/>
      <c r="J32" s="160"/>
      <c r="K32" s="161"/>
      <c r="L32" s="161"/>
      <c r="M32" s="162">
        <f t="shared" ref="M32" si="15">((F32+G32)*K32)+((F32+G32)*L32)</f>
        <v>0</v>
      </c>
      <c r="N32" s="163">
        <f t="shared" ref="N32" si="16">M32+J32</f>
        <v>0</v>
      </c>
      <c r="O32" s="111"/>
      <c r="Q32" s="349"/>
      <c r="R32" s="349"/>
    </row>
    <row r="33" spans="2:19" s="43" customFormat="1" x14ac:dyDescent="0.25">
      <c r="B33" s="158" t="str">
        <f>'Fixtures + Piping computation'!B86</f>
        <v>Timer</v>
      </c>
      <c r="C33" s="109" t="s">
        <v>683</v>
      </c>
      <c r="D33" s="11" t="s">
        <v>46</v>
      </c>
      <c r="E33" s="11" t="s">
        <v>46</v>
      </c>
      <c r="F33" s="110">
        <f>'Fixtures + Piping computation'!E86</f>
        <v>1</v>
      </c>
      <c r="H33" s="110"/>
      <c r="I33" s="159"/>
      <c r="J33" s="160"/>
      <c r="K33" s="161"/>
      <c r="L33" s="161"/>
      <c r="M33" s="162">
        <f t="shared" ref="M33" si="17">((F33+G33)*K33)+((F33+G33)*L33)</f>
        <v>0</v>
      </c>
      <c r="N33" s="163">
        <f t="shared" ref="N33" si="18">M33+J33</f>
        <v>0</v>
      </c>
      <c r="O33" s="111"/>
      <c r="Q33" s="349"/>
      <c r="R33" s="349"/>
    </row>
    <row r="34" spans="2:19" s="43" customFormat="1" x14ac:dyDescent="0.25">
      <c r="B34" s="158"/>
      <c r="C34" s="109"/>
      <c r="D34" s="11"/>
      <c r="E34" s="11"/>
      <c r="F34" s="110"/>
      <c r="H34" s="110"/>
      <c r="I34" s="159"/>
      <c r="J34" s="160"/>
      <c r="K34" s="161"/>
      <c r="L34" s="161"/>
      <c r="M34" s="162"/>
      <c r="N34" s="163"/>
      <c r="O34" s="111"/>
      <c r="Q34" s="349"/>
      <c r="R34" s="349"/>
    </row>
    <row r="35" spans="2:19" s="43" customFormat="1" x14ac:dyDescent="0.25">
      <c r="B35" s="126" t="str">
        <f>IF('Fixtures + Piping computation'!C33&gt;0,'Fixtures + Piping computation'!B33 &amp; " (" &amp;'Fixtures + Piping computation'!C33 &amp; ")",'Fixtures + Piping computation'!C33)</f>
        <v>Filter - RO (12501 (SB-VD))</v>
      </c>
      <c r="C35" s="568" t="s">
        <v>836</v>
      </c>
      <c r="D35" s="11" t="s">
        <v>828</v>
      </c>
      <c r="E35" s="11" t="s">
        <v>827</v>
      </c>
      <c r="F35" s="110">
        <f>'Fixtures + Piping computation'!D186</f>
        <v>1</v>
      </c>
      <c r="H35" s="110">
        <v>1</v>
      </c>
      <c r="I35" s="159">
        <f t="shared" ref="I35:I42" si="19">(F35+G35)*H35</f>
        <v>1</v>
      </c>
      <c r="J35" s="160">
        <f>I35*Summary!$H$4</f>
        <v>172.5</v>
      </c>
      <c r="K35" s="161"/>
      <c r="L35" s="161"/>
      <c r="M35" s="162">
        <f t="shared" ref="M35" si="20">((F35+G35)*K35)+((F35+G35)*L35)</f>
        <v>0</v>
      </c>
      <c r="N35" s="163">
        <f t="shared" ref="N35" si="21">M35+J35</f>
        <v>172.5</v>
      </c>
      <c r="O35" s="111"/>
      <c r="Q35" s="349"/>
      <c r="R35" s="349"/>
    </row>
    <row r="36" spans="2:19" s="43" customFormat="1" x14ac:dyDescent="0.25">
      <c r="B36" s="126" t="str">
        <f>IF('Fixtures + Piping computation'!C34&gt;0,'Fixtures + Piping computation'!B34 &amp; " (" &amp;'Fixtures + Piping computation'!C34 &amp; ")",'Fixtures + Piping computation'!C34)</f>
        <v>Filter - Booster Pump (23355 (SB-VD))</v>
      </c>
      <c r="C36" s="568" t="s">
        <v>836</v>
      </c>
      <c r="D36" s="11" t="s">
        <v>828</v>
      </c>
      <c r="E36" s="11" t="s">
        <v>827</v>
      </c>
      <c r="F36" s="110">
        <f>'Fixtures + Piping computation'!D187</f>
        <v>1</v>
      </c>
      <c r="H36" s="110">
        <v>1</v>
      </c>
      <c r="I36" s="159">
        <f t="shared" si="19"/>
        <v>1</v>
      </c>
      <c r="J36" s="160">
        <f>I36*Summary!$H$4</f>
        <v>172.5</v>
      </c>
      <c r="K36" s="161"/>
      <c r="L36" s="161"/>
      <c r="M36" s="162">
        <f t="shared" ref="M36" si="22">((F36+G36)*K36)+((F36+G36)*L36)</f>
        <v>0</v>
      </c>
      <c r="N36" s="163">
        <f t="shared" ref="N36" si="23">M36+J36</f>
        <v>172.5</v>
      </c>
      <c r="O36" s="111"/>
      <c r="Q36" s="349"/>
      <c r="R36" s="349"/>
    </row>
    <row r="37" spans="2:19" s="43" customFormat="1" x14ac:dyDescent="0.25">
      <c r="B37" s="126" t="str">
        <f>IF('Fixtures + Piping computation'!C35&gt;0,'Fixtures + Piping computation'!B35 &amp; " (" &amp;'Fixtures + Piping computation'!C35 &amp; ")",'Fixtures + Piping computation'!C35)</f>
        <v>Filter-Water softener (13082 (SB-VD))</v>
      </c>
      <c r="C37" s="568" t="s">
        <v>836</v>
      </c>
      <c r="D37" s="11" t="s">
        <v>828</v>
      </c>
      <c r="E37" s="11" t="s">
        <v>827</v>
      </c>
      <c r="F37" s="110">
        <f>'Fixtures + Piping computation'!D188</f>
        <v>1</v>
      </c>
      <c r="H37" s="110">
        <v>1</v>
      </c>
      <c r="I37" s="159">
        <f t="shared" si="19"/>
        <v>1</v>
      </c>
      <c r="J37" s="160">
        <f>I37*Summary!$H$4</f>
        <v>172.5</v>
      </c>
      <c r="K37" s="161"/>
      <c r="L37" s="161"/>
      <c r="M37" s="162">
        <f t="shared" ref="M37" si="24">((F37+G37)*K37)+((F37+G37)*L37)</f>
        <v>0</v>
      </c>
      <c r="N37" s="163">
        <f t="shared" ref="N37" si="25">M37+J37</f>
        <v>172.5</v>
      </c>
      <c r="O37" s="111"/>
      <c r="Q37" s="349"/>
      <c r="R37" s="349"/>
    </row>
    <row r="38" spans="2:19" s="43" customFormat="1" x14ac:dyDescent="0.25">
      <c r="B38" s="126" t="str">
        <f>IF('Fixtures + Piping computation'!C36&gt;0,'Fixtures + Piping computation'!B36 &amp; " (" &amp;'Fixtures + Piping computation'!C36 &amp; ")",'Fixtures + Piping computation'!C36)</f>
        <v>Filter-Pre-filtration (13076 (SB-VD))</v>
      </c>
      <c r="C38" s="568" t="s">
        <v>836</v>
      </c>
      <c r="D38" s="11" t="s">
        <v>828</v>
      </c>
      <c r="E38" s="11" t="s">
        <v>827</v>
      </c>
      <c r="F38" s="110">
        <f>'Fixtures + Piping computation'!D189</f>
        <v>1</v>
      </c>
      <c r="H38" s="110">
        <v>1</v>
      </c>
      <c r="I38" s="159">
        <f t="shared" si="19"/>
        <v>1</v>
      </c>
      <c r="J38" s="160">
        <f>I38*Summary!$H$4</f>
        <v>172.5</v>
      </c>
      <c r="K38" s="161"/>
      <c r="L38" s="161"/>
      <c r="M38" s="162">
        <f t="shared" ref="M38" si="26">((F38+G38)*K38)+((F38+G38)*L38)</f>
        <v>0</v>
      </c>
      <c r="N38" s="163">
        <f t="shared" ref="N38" si="27">M38+J38</f>
        <v>172.5</v>
      </c>
      <c r="O38" s="111"/>
      <c r="Q38" s="349"/>
      <c r="R38" s="349"/>
    </row>
    <row r="39" spans="2:19" s="43" customFormat="1" x14ac:dyDescent="0.25">
      <c r="B39" s="126" t="str">
        <f>IF('Fixtures + Piping computation'!C37&gt;0,'Fixtures + Piping computation'!B37 &amp; " (" &amp;'Fixtures + Piping computation'!C37 &amp; ")",'Fixtures + Piping computation'!C37)</f>
        <v>Filter-Polyglass vessel (12899 (SB-VD))</v>
      </c>
      <c r="C39" s="568" t="s">
        <v>836</v>
      </c>
      <c r="D39" s="11" t="s">
        <v>828</v>
      </c>
      <c r="E39" s="11" t="s">
        <v>827</v>
      </c>
      <c r="F39" s="110">
        <f>'Fixtures + Piping computation'!D190</f>
        <v>2</v>
      </c>
      <c r="H39" s="110">
        <v>1</v>
      </c>
      <c r="I39" s="159">
        <f t="shared" si="19"/>
        <v>2</v>
      </c>
      <c r="J39" s="160">
        <f>I39*Summary!$H$4</f>
        <v>345</v>
      </c>
      <c r="K39" s="161"/>
      <c r="L39" s="161"/>
      <c r="M39" s="162">
        <f t="shared" ref="M39" si="28">((F39+G39)*K39)+((F39+G39)*L39)</f>
        <v>0</v>
      </c>
      <c r="N39" s="163">
        <f t="shared" ref="N39" si="29">M39+J39</f>
        <v>345</v>
      </c>
      <c r="O39" s="111"/>
      <c r="Q39" s="349"/>
      <c r="R39" s="349"/>
    </row>
    <row r="40" spans="2:19" s="43" customFormat="1" x14ac:dyDescent="0.25">
      <c r="B40" s="126" t="str">
        <f>IF('Fixtures + Piping computation'!C38&gt;0,'Fixtures + Piping computation'!B38 &amp; " (" &amp;'Fixtures + Piping computation'!C38 &amp; ")",'Fixtures + Piping computation'!C38)</f>
        <v>Filter-Brine Tank (12896 (SB-VD))</v>
      </c>
      <c r="C40" s="568" t="s">
        <v>836</v>
      </c>
      <c r="D40" s="11" t="s">
        <v>828</v>
      </c>
      <c r="E40" s="11" t="s">
        <v>827</v>
      </c>
      <c r="F40" s="110">
        <f>'Fixtures + Piping computation'!D191</f>
        <v>1</v>
      </c>
      <c r="H40" s="110">
        <v>1</v>
      </c>
      <c r="I40" s="159">
        <f t="shared" si="19"/>
        <v>1</v>
      </c>
      <c r="J40" s="160">
        <f>I40*Summary!$H$4</f>
        <v>172.5</v>
      </c>
      <c r="K40" s="161"/>
      <c r="L40" s="161"/>
      <c r="M40" s="162">
        <f t="shared" ref="M40:M68" si="30">((F40+G40)*K40)+((F40+G40)*L40)</f>
        <v>0</v>
      </c>
      <c r="N40" s="163">
        <f t="shared" ref="N40:N68" si="31">M40+J40</f>
        <v>172.5</v>
      </c>
      <c r="O40" s="111"/>
      <c r="Q40" s="349"/>
      <c r="R40" s="349"/>
    </row>
    <row r="41" spans="2:19" s="43" customFormat="1" ht="15" customHeight="1" x14ac:dyDescent="0.25">
      <c r="B41" s="126" t="str">
        <f>IF('Fixtures + Piping computation'!C39&gt;0,'Fixtures + Piping computation'!B39 &amp; " (" &amp;'Fixtures + Piping computation'!C39 &amp; ")",'Fixtures + Piping computation'!C39)</f>
        <v>Filter - RO storage tank (12507 (SB-VD))</v>
      </c>
      <c r="C41" s="568" t="s">
        <v>836</v>
      </c>
      <c r="D41" s="11" t="s">
        <v>828</v>
      </c>
      <c r="E41" s="11" t="s">
        <v>827</v>
      </c>
      <c r="F41" s="110">
        <f>'Fixtures + Piping computation'!D192</f>
        <v>1</v>
      </c>
      <c r="H41" s="110">
        <v>1</v>
      </c>
      <c r="I41" s="159">
        <f t="shared" si="19"/>
        <v>1</v>
      </c>
      <c r="J41" s="160">
        <f>I41*Summary!$H$4</f>
        <v>172.5</v>
      </c>
      <c r="K41" s="161"/>
      <c r="L41" s="161"/>
      <c r="M41" s="162">
        <f t="shared" si="30"/>
        <v>0</v>
      </c>
      <c r="N41" s="163">
        <f t="shared" si="31"/>
        <v>172.5</v>
      </c>
      <c r="O41" s="111"/>
      <c r="Q41" s="349"/>
      <c r="R41" s="349"/>
    </row>
    <row r="42" spans="2:19" s="43" customFormat="1" x14ac:dyDescent="0.25">
      <c r="B42" s="126" t="str">
        <f>IF('Fixtures + Piping computation'!C40&gt;0,'Fixtures + Piping computation'!B40 &amp; " (" &amp;'Fixtures + Piping computation'!C40 &amp; ")",'Fixtures + Piping computation'!C40)</f>
        <v>Booster pump (BP)</v>
      </c>
      <c r="C42" s="568" t="s">
        <v>836</v>
      </c>
      <c r="D42" s="11" t="s">
        <v>828</v>
      </c>
      <c r="E42" s="11" t="s">
        <v>827</v>
      </c>
      <c r="F42" s="110">
        <f>'Fixtures + Piping computation'!D193</f>
        <v>1</v>
      </c>
      <c r="H42" s="110">
        <v>1</v>
      </c>
      <c r="I42" s="159">
        <f t="shared" si="19"/>
        <v>1</v>
      </c>
      <c r="J42" s="160">
        <f>I42*Summary!$H$4</f>
        <v>172.5</v>
      </c>
      <c r="K42" s="161"/>
      <c r="L42" s="161"/>
      <c r="M42" s="162">
        <f t="shared" si="30"/>
        <v>0</v>
      </c>
      <c r="N42" s="163">
        <f t="shared" si="31"/>
        <v>172.5</v>
      </c>
      <c r="O42" s="111"/>
      <c r="Q42" s="349"/>
      <c r="R42" s="349"/>
    </row>
    <row r="43" spans="2:19" s="43" customFormat="1" x14ac:dyDescent="0.25">
      <c r="B43" s="164" t="s">
        <v>134</v>
      </c>
      <c r="C43" s="109"/>
      <c r="D43" s="11"/>
      <c r="E43" s="11"/>
      <c r="F43" s="110"/>
      <c r="H43" s="110"/>
      <c r="I43" s="159"/>
      <c r="J43" s="160"/>
      <c r="K43" s="161"/>
      <c r="L43" s="161"/>
      <c r="M43" s="162"/>
      <c r="N43" s="163"/>
      <c r="O43" s="111"/>
      <c r="Q43" s="349"/>
      <c r="R43" s="349"/>
    </row>
    <row r="44" spans="2:19" s="43" customFormat="1" x14ac:dyDescent="0.25">
      <c r="B44" s="158" t="s">
        <v>823</v>
      </c>
      <c r="C44" s="109" t="s">
        <v>839</v>
      </c>
      <c r="D44" s="11" t="s">
        <v>46</v>
      </c>
      <c r="E44" s="11" t="s">
        <v>46</v>
      </c>
      <c r="F44" s="110">
        <v>11</v>
      </c>
      <c r="H44" s="110">
        <v>0.25</v>
      </c>
      <c r="I44" s="159">
        <f t="shared" ref="I44" si="32">(F44+G44)*H44</f>
        <v>2.75</v>
      </c>
      <c r="J44" s="160">
        <f>I44*Summary!$H$4</f>
        <v>474.375</v>
      </c>
      <c r="K44" s="161"/>
      <c r="L44" s="161"/>
      <c r="M44" s="162">
        <f t="shared" ref="M44" si="33">((F44+G44)*K44)+((F44+G44)*L44)</f>
        <v>0</v>
      </c>
      <c r="N44" s="163">
        <f t="shared" ref="N44" si="34">M44+J44</f>
        <v>474.375</v>
      </c>
      <c r="O44" s="111"/>
      <c r="Q44" s="349"/>
      <c r="R44" s="349"/>
      <c r="S44" s="592"/>
    </row>
    <row r="45" spans="2:19" s="43" customFormat="1" x14ac:dyDescent="0.25">
      <c r="B45" s="158" t="s">
        <v>1028</v>
      </c>
      <c r="C45" s="109"/>
      <c r="D45" s="11" t="s">
        <v>46</v>
      </c>
      <c r="E45" s="11" t="s">
        <v>46</v>
      </c>
      <c r="F45" s="110">
        <v>1</v>
      </c>
      <c r="H45" s="110">
        <v>0.19</v>
      </c>
      <c r="I45" s="159">
        <f t="shared" ref="I45" si="35">(F45+G45)*H45</f>
        <v>0.19</v>
      </c>
      <c r="J45" s="160">
        <f>I45*Summary!$H$4</f>
        <v>32.774999999999999</v>
      </c>
      <c r="K45" s="161"/>
      <c r="L45" s="161"/>
      <c r="M45" s="162">
        <f t="shared" ref="M45" si="36">((F45+G45)*K45)+((F45+G45)*L45)</f>
        <v>0</v>
      </c>
      <c r="N45" s="163">
        <f t="shared" ref="N45" si="37">M45+J45</f>
        <v>32.774999999999999</v>
      </c>
      <c r="O45" s="111"/>
      <c r="Q45" s="349"/>
      <c r="R45" s="349"/>
      <c r="S45" s="592"/>
    </row>
    <row r="46" spans="2:19" s="43" customFormat="1" x14ac:dyDescent="0.25">
      <c r="B46" s="126"/>
      <c r="C46" s="568"/>
      <c r="D46" s="11"/>
      <c r="E46" s="11"/>
      <c r="F46" s="110"/>
      <c r="H46" s="110"/>
      <c r="I46" s="159"/>
      <c r="J46" s="160"/>
      <c r="K46" s="161"/>
      <c r="L46" s="161"/>
      <c r="M46" s="162"/>
      <c r="N46" s="163"/>
      <c r="O46" s="111"/>
      <c r="Q46" s="349"/>
      <c r="R46" s="349"/>
    </row>
    <row r="47" spans="2:19" s="43" customFormat="1" x14ac:dyDescent="0.25">
      <c r="B47" s="126" t="str">
        <f>IF('Fixtures + Piping computation'!C43&gt;0,'Fixtures + Piping computation'!B43 &amp; " (" &amp;'Fixtures + Piping computation'!C43 &amp; ")",'Fixtures + Piping computation'!C43)</f>
        <v>Espresso (19742 (OSM))</v>
      </c>
      <c r="C47" s="568"/>
      <c r="D47" s="11" t="s">
        <v>828</v>
      </c>
      <c r="E47" s="11" t="s">
        <v>46</v>
      </c>
      <c r="F47" s="110">
        <f>'Fixtures + Piping computation'!D196</f>
        <v>2</v>
      </c>
      <c r="H47" s="110">
        <v>2.25</v>
      </c>
      <c r="I47" s="159">
        <f t="shared" ref="I47:I68" si="38">(F47+G47)*H47</f>
        <v>4.5</v>
      </c>
      <c r="J47" s="160">
        <f>I47*Summary!$H$4</f>
        <v>776.25</v>
      </c>
      <c r="K47" s="161"/>
      <c r="L47" s="161">
        <f>'Pricing Master Sheet'!E53</f>
        <v>0</v>
      </c>
      <c r="M47" s="162">
        <f t="shared" si="30"/>
        <v>0</v>
      </c>
      <c r="N47" s="163">
        <f t="shared" si="31"/>
        <v>776.25</v>
      </c>
      <c r="O47" s="111"/>
      <c r="Q47" s="349"/>
      <c r="R47" s="349"/>
    </row>
    <row r="48" spans="2:19" s="43" customFormat="1" x14ac:dyDescent="0.25">
      <c r="B48" s="293" t="s">
        <v>134</v>
      </c>
      <c r="C48" s="568"/>
      <c r="D48" s="11"/>
      <c r="E48" s="11"/>
      <c r="F48" s="110"/>
      <c r="H48" s="110"/>
      <c r="I48" s="159"/>
      <c r="J48" s="160"/>
      <c r="K48" s="161"/>
      <c r="L48" s="161"/>
      <c r="M48" s="162"/>
      <c r="N48" s="163"/>
      <c r="O48" s="111"/>
      <c r="Q48" s="349"/>
      <c r="R48" s="349"/>
    </row>
    <row r="49" spans="2:19" s="43" customFormat="1" x14ac:dyDescent="0.25">
      <c r="B49" s="158" t="s">
        <v>830</v>
      </c>
      <c r="C49" s="109" t="s">
        <v>832</v>
      </c>
      <c r="D49" s="11" t="s">
        <v>46</v>
      </c>
      <c r="E49" s="11" t="s">
        <v>46</v>
      </c>
      <c r="F49" s="110">
        <f>F47</f>
        <v>2</v>
      </c>
      <c r="H49" s="110"/>
      <c r="I49" s="159"/>
      <c r="J49" s="160"/>
      <c r="K49" s="161"/>
      <c r="L49" s="161"/>
      <c r="M49" s="162">
        <f t="shared" ref="M49:M50" si="39">((F49+G49)*K49)+((F49+G49)*L49)</f>
        <v>0</v>
      </c>
      <c r="N49" s="163">
        <f t="shared" ref="N49:N50" si="40">M49+J49</f>
        <v>0</v>
      </c>
      <c r="O49" s="111"/>
      <c r="Q49" s="349"/>
      <c r="R49" s="349"/>
      <c r="S49" s="592"/>
    </row>
    <row r="50" spans="2:19" s="43" customFormat="1" x14ac:dyDescent="0.25">
      <c r="B50" s="158" t="s">
        <v>823</v>
      </c>
      <c r="C50" s="109" t="s">
        <v>839</v>
      </c>
      <c r="D50" s="11" t="s">
        <v>46</v>
      </c>
      <c r="E50" s="11" t="s">
        <v>46</v>
      </c>
      <c r="F50" s="110">
        <f>F47</f>
        <v>2</v>
      </c>
      <c r="H50" s="110"/>
      <c r="I50" s="159"/>
      <c r="J50" s="160"/>
      <c r="K50" s="161"/>
      <c r="L50" s="161"/>
      <c r="M50" s="162">
        <f t="shared" si="39"/>
        <v>0</v>
      </c>
      <c r="N50" s="163">
        <f t="shared" si="40"/>
        <v>0</v>
      </c>
      <c r="O50" s="111"/>
      <c r="Q50" s="349"/>
      <c r="R50" s="349"/>
      <c r="S50" s="592"/>
    </row>
    <row r="51" spans="2:19" s="43" customFormat="1" x14ac:dyDescent="0.25">
      <c r="B51" s="158" t="s">
        <v>1027</v>
      </c>
      <c r="C51" s="109"/>
      <c r="D51" s="11" t="s">
        <v>46</v>
      </c>
      <c r="E51" s="11" t="s">
        <v>46</v>
      </c>
      <c r="F51" s="110">
        <v>1</v>
      </c>
      <c r="H51" s="110"/>
      <c r="I51" s="159"/>
      <c r="J51" s="160"/>
      <c r="K51" s="161"/>
      <c r="L51" s="161"/>
      <c r="M51" s="162">
        <f t="shared" ref="M51" si="41">((F51+G51)*K51)+((F51+G51)*L51)</f>
        <v>0</v>
      </c>
      <c r="N51" s="163">
        <f t="shared" ref="N51" si="42">M51+J51</f>
        <v>0</v>
      </c>
      <c r="O51" s="111"/>
      <c r="Q51" s="349"/>
      <c r="R51" s="349"/>
      <c r="S51" s="592"/>
    </row>
    <row r="52" spans="2:19" s="43" customFormat="1" x14ac:dyDescent="0.25">
      <c r="B52" s="158"/>
      <c r="C52" s="109"/>
      <c r="D52" s="11"/>
      <c r="E52" s="11"/>
      <c r="F52" s="110"/>
      <c r="H52" s="110"/>
      <c r="I52" s="159"/>
      <c r="J52" s="160"/>
      <c r="K52" s="161"/>
      <c r="L52" s="161"/>
      <c r="M52" s="162"/>
      <c r="N52" s="163"/>
      <c r="O52" s="111"/>
      <c r="Q52" s="349"/>
      <c r="R52" s="349"/>
    </row>
    <row r="53" spans="2:19" s="43" customFormat="1" ht="15" customHeight="1" x14ac:dyDescent="0.25">
      <c r="B53" s="126" t="str">
        <f>IF('Fixtures + Piping computation'!C44&gt;0,'Fixtures + Piping computation'!B44 &amp; " (" &amp;'Fixtures + Piping computation'!C44 &amp; ")",'Fixtures + Piping computation'!C44)</f>
        <v>Ice Bin (19728 (OSM))</v>
      </c>
      <c r="C53" s="568" t="s">
        <v>836</v>
      </c>
      <c r="D53" s="11" t="s">
        <v>828</v>
      </c>
      <c r="E53" s="11" t="s">
        <v>46</v>
      </c>
      <c r="F53" s="110">
        <f>'Fixtures + Piping computation'!D197</f>
        <v>2</v>
      </c>
      <c r="H53" s="110">
        <v>1</v>
      </c>
      <c r="I53" s="159">
        <f t="shared" si="38"/>
        <v>2</v>
      </c>
      <c r="J53" s="160">
        <f>I53*Summary!$H$4</f>
        <v>345</v>
      </c>
      <c r="K53" s="161"/>
      <c r="L53" s="161"/>
      <c r="M53" s="162">
        <f t="shared" si="30"/>
        <v>0</v>
      </c>
      <c r="N53" s="163">
        <f t="shared" si="31"/>
        <v>345</v>
      </c>
      <c r="O53" s="111"/>
      <c r="Q53" s="349"/>
      <c r="R53" s="349"/>
    </row>
    <row r="54" spans="2:19" s="43" customFormat="1" ht="15" customHeight="1" x14ac:dyDescent="0.25">
      <c r="B54" s="126" t="str">
        <f>IF('Fixtures + Piping computation'!C45&gt;0,'Fixtures + Piping computation'!B45 &amp; " (" &amp;'Fixtures + Piping computation'!C45 &amp; ")",'Fixtures + Piping computation'!C45)</f>
        <v>Ice Bin (18029 (OSM))</v>
      </c>
      <c r="C54" s="568" t="s">
        <v>836</v>
      </c>
      <c r="D54" s="11" t="s">
        <v>828</v>
      </c>
      <c r="E54" s="11" t="s">
        <v>46</v>
      </c>
      <c r="F54" s="110">
        <f>'Fixtures + Piping computation'!D198</f>
        <v>1</v>
      </c>
      <c r="H54" s="110">
        <v>1</v>
      </c>
      <c r="I54" s="159">
        <f t="shared" si="38"/>
        <v>1</v>
      </c>
      <c r="J54" s="160">
        <f>I54*Summary!$H$4</f>
        <v>172.5</v>
      </c>
      <c r="K54" s="161"/>
      <c r="L54" s="161"/>
      <c r="M54" s="162">
        <f t="shared" si="30"/>
        <v>0</v>
      </c>
      <c r="N54" s="163">
        <f t="shared" si="31"/>
        <v>172.5</v>
      </c>
      <c r="O54" s="111"/>
      <c r="Q54" s="349"/>
      <c r="R54" s="349"/>
    </row>
    <row r="55" spans="2:19" s="43" customFormat="1" ht="15" customHeight="1" x14ac:dyDescent="0.25">
      <c r="B55" s="126" t="str">
        <f>IF('Fixtures + Piping computation'!C47&gt;0,'Fixtures + Piping computation'!B47 &amp; " (" &amp;'Fixtures + Piping computation'!C47 &amp; ")",'Fixtures + Piping computation'!C47)</f>
        <v>Ice Bin drop (10344 (OSM))</v>
      </c>
      <c r="C55" s="568" t="s">
        <v>836</v>
      </c>
      <c r="D55" s="11" t="s">
        <v>828</v>
      </c>
      <c r="E55" s="11" t="s">
        <v>46</v>
      </c>
      <c r="F55" s="110">
        <f>'Fixtures + Piping computation'!D200</f>
        <v>2</v>
      </c>
      <c r="H55" s="110">
        <v>1</v>
      </c>
      <c r="I55" s="159">
        <f>(F55+G55)*H55</f>
        <v>2</v>
      </c>
      <c r="J55" s="160">
        <f>I55*Summary!$H$4</f>
        <v>345</v>
      </c>
      <c r="K55" s="161"/>
      <c r="L55" s="161"/>
      <c r="M55" s="162">
        <f>((F55+G55)*K55)+((F55+G55)*L55)</f>
        <v>0</v>
      </c>
      <c r="N55" s="163">
        <f>M55+J55</f>
        <v>345</v>
      </c>
      <c r="O55" s="111"/>
      <c r="Q55" s="349"/>
      <c r="R55" s="349"/>
    </row>
    <row r="56" spans="2:19" s="43" customFormat="1" ht="15" customHeight="1" x14ac:dyDescent="0.25">
      <c r="B56" s="126"/>
      <c r="C56" s="568"/>
      <c r="D56" s="11"/>
      <c r="E56" s="11"/>
      <c r="F56" s="110"/>
      <c r="H56" s="110"/>
      <c r="I56" s="159"/>
      <c r="J56" s="160"/>
      <c r="K56" s="161"/>
      <c r="L56" s="161"/>
      <c r="M56" s="162"/>
      <c r="N56" s="163"/>
      <c r="O56" s="111"/>
      <c r="Q56" s="349"/>
      <c r="R56" s="349"/>
    </row>
    <row r="57" spans="2:19" s="43" customFormat="1" ht="15" customHeight="1" x14ac:dyDescent="0.25">
      <c r="B57" s="126" t="str">
        <f>IF('Fixtures + Piping computation'!C46&gt;0,'Fixtures + Piping computation'!B46 &amp; " (" &amp;'Fixtures + Piping computation'!C46 &amp; ")",'Fixtures + Piping computation'!C46)</f>
        <v>Ice Machine (23186 (OSM))</v>
      </c>
      <c r="C57" s="568" t="s">
        <v>836</v>
      </c>
      <c r="D57" s="11" t="s">
        <v>828</v>
      </c>
      <c r="E57" s="11" t="s">
        <v>46</v>
      </c>
      <c r="F57" s="110">
        <f>'Fixtures + Piping computation'!D199</f>
        <v>1</v>
      </c>
      <c r="H57" s="110">
        <v>2.25</v>
      </c>
      <c r="I57" s="159">
        <f t="shared" si="38"/>
        <v>2.25</v>
      </c>
      <c r="J57" s="160">
        <f>I57*Summary!$H$4</f>
        <v>388.125</v>
      </c>
      <c r="K57" s="161"/>
      <c r="L57" s="161">
        <f>'Pricing Master Sheet'!E63</f>
        <v>0</v>
      </c>
      <c r="M57" s="162">
        <f t="shared" si="30"/>
        <v>0</v>
      </c>
      <c r="N57" s="163">
        <f t="shared" si="31"/>
        <v>388.125</v>
      </c>
      <c r="O57" s="111"/>
      <c r="Q57" s="349"/>
      <c r="R57" s="349"/>
    </row>
    <row r="58" spans="2:19" s="43" customFormat="1" x14ac:dyDescent="0.25">
      <c r="B58" s="293" t="s">
        <v>134</v>
      </c>
      <c r="C58" s="568"/>
      <c r="D58" s="11"/>
      <c r="E58" s="11"/>
      <c r="F58" s="110"/>
      <c r="H58" s="110"/>
      <c r="I58" s="159"/>
      <c r="J58" s="160"/>
      <c r="K58" s="161"/>
      <c r="L58" s="161"/>
      <c r="M58" s="162"/>
      <c r="N58" s="163"/>
      <c r="O58" s="111"/>
      <c r="Q58" s="349"/>
      <c r="R58" s="349"/>
    </row>
    <row r="59" spans="2:19" s="43" customFormat="1" x14ac:dyDescent="0.25">
      <c r="B59" s="158" t="s">
        <v>830</v>
      </c>
      <c r="C59" s="109" t="s">
        <v>832</v>
      </c>
      <c r="D59" s="11" t="s">
        <v>46</v>
      </c>
      <c r="E59" s="11" t="s">
        <v>46</v>
      </c>
      <c r="F59" s="110">
        <f>F57</f>
        <v>1</v>
      </c>
      <c r="H59" s="110"/>
      <c r="I59" s="159"/>
      <c r="J59" s="160"/>
      <c r="K59" s="161"/>
      <c r="L59" s="161"/>
      <c r="M59" s="162">
        <f t="shared" ref="M59:M60" si="43">((F59+G59)*K59)+((F59+G59)*L59)</f>
        <v>0</v>
      </c>
      <c r="N59" s="163">
        <f t="shared" ref="N59:N60" si="44">M59+J59</f>
        <v>0</v>
      </c>
      <c r="O59" s="111"/>
      <c r="Q59" s="349"/>
      <c r="R59" s="349"/>
      <c r="S59" s="592"/>
    </row>
    <row r="60" spans="2:19" s="43" customFormat="1" x14ac:dyDescent="0.25">
      <c r="B60" s="158" t="s">
        <v>823</v>
      </c>
      <c r="C60" s="109" t="s">
        <v>839</v>
      </c>
      <c r="D60" s="11" t="s">
        <v>46</v>
      </c>
      <c r="E60" s="11" t="s">
        <v>46</v>
      </c>
      <c r="F60" s="110">
        <f>F57</f>
        <v>1</v>
      </c>
      <c r="H60" s="110"/>
      <c r="I60" s="159"/>
      <c r="J60" s="160"/>
      <c r="K60" s="161"/>
      <c r="L60" s="161"/>
      <c r="M60" s="162">
        <f t="shared" si="43"/>
        <v>0</v>
      </c>
      <c r="N60" s="163">
        <f t="shared" si="44"/>
        <v>0</v>
      </c>
      <c r="O60" s="111"/>
      <c r="Q60" s="349"/>
      <c r="R60" s="349"/>
      <c r="S60" s="592"/>
    </row>
    <row r="61" spans="2:19" s="43" customFormat="1" x14ac:dyDescent="0.25">
      <c r="B61" s="158"/>
      <c r="C61" s="109"/>
      <c r="D61" s="11"/>
      <c r="E61" s="11"/>
      <c r="F61" s="110"/>
      <c r="H61" s="110"/>
      <c r="I61" s="159"/>
      <c r="J61" s="160"/>
      <c r="K61" s="161"/>
      <c r="L61" s="161"/>
      <c r="M61" s="162"/>
      <c r="N61" s="163"/>
      <c r="O61" s="111"/>
      <c r="Q61" s="349"/>
      <c r="R61" s="349"/>
      <c r="S61" s="592"/>
    </row>
    <row r="62" spans="2:19" s="43" customFormat="1" x14ac:dyDescent="0.25">
      <c r="B62" s="126" t="str">
        <f>IF('Fixtures + Piping computation'!C48&gt;0,'Fixtures + Piping computation'!B48 &amp; " (" &amp;'Fixtures + Piping computation'!C48 &amp; ")",'Fixtures + Piping computation'!C48)</f>
        <v>Dishwasher (24007 (OSM))</v>
      </c>
      <c r="C62" s="568" t="s">
        <v>836</v>
      </c>
      <c r="D62" s="11" t="s">
        <v>828</v>
      </c>
      <c r="E62" s="11" t="s">
        <v>46</v>
      </c>
      <c r="F62" s="110">
        <f>'Fixtures + Piping computation'!D201</f>
        <v>1</v>
      </c>
      <c r="H62" s="110">
        <v>2.87</v>
      </c>
      <c r="I62" s="159">
        <f t="shared" ref="I62" si="45">(F62+G62)*H62</f>
        <v>2.87</v>
      </c>
      <c r="J62" s="160">
        <f>I62*Summary!$H$4</f>
        <v>495.07500000000005</v>
      </c>
      <c r="K62" s="161"/>
      <c r="L62" s="161">
        <f>'Pricing Master Sheet'!E68</f>
        <v>0</v>
      </c>
      <c r="M62" s="162">
        <f t="shared" si="30"/>
        <v>0</v>
      </c>
      <c r="N62" s="163">
        <f t="shared" si="31"/>
        <v>495.07500000000005</v>
      </c>
      <c r="O62" s="111"/>
      <c r="Q62" s="349"/>
      <c r="R62" s="349"/>
    </row>
    <row r="63" spans="2:19" s="43" customFormat="1" x14ac:dyDescent="0.25">
      <c r="B63" s="293" t="s">
        <v>134</v>
      </c>
      <c r="C63" s="568"/>
      <c r="D63" s="11"/>
      <c r="E63" s="11"/>
      <c r="F63" s="110"/>
      <c r="H63" s="110"/>
      <c r="I63" s="159"/>
      <c r="J63" s="160"/>
      <c r="K63" s="161"/>
      <c r="L63" s="161"/>
      <c r="M63" s="162"/>
      <c r="N63" s="163"/>
      <c r="O63" s="111"/>
      <c r="Q63" s="349"/>
      <c r="R63" s="349"/>
    </row>
    <row r="64" spans="2:19" s="43" customFormat="1" ht="30" x14ac:dyDescent="0.25">
      <c r="B64" s="158" t="s">
        <v>833</v>
      </c>
      <c r="C64" s="109" t="s">
        <v>834</v>
      </c>
      <c r="D64" s="11" t="s">
        <v>46</v>
      </c>
      <c r="E64" s="11" t="s">
        <v>46</v>
      </c>
      <c r="F64" s="110">
        <f>F62</f>
        <v>1</v>
      </c>
      <c r="H64" s="110"/>
      <c r="I64" s="159"/>
      <c r="J64" s="160"/>
      <c r="K64" s="161"/>
      <c r="L64" s="161"/>
      <c r="M64" s="162">
        <f t="shared" ref="M64:M65" si="46">((F64+G64)*K64)+((F64+G64)*L64)</f>
        <v>0</v>
      </c>
      <c r="N64" s="163">
        <f t="shared" ref="N64:N65" si="47">M64+J64</f>
        <v>0</v>
      </c>
      <c r="O64" s="111"/>
      <c r="Q64" s="349"/>
      <c r="R64" s="349"/>
      <c r="S64" s="592" t="s">
        <v>835</v>
      </c>
    </row>
    <row r="65" spans="2:1012 1027:2036 2051:3060 3075:4084 4099:5108 5123:6132 6147:7156 7171:8180 8195:9204 9219:10228 10243:11252 11267:12276 12291:13300 13315:14324 14339:15348 15363:16372" s="43" customFormat="1" x14ac:dyDescent="0.25">
      <c r="B65" s="158" t="s">
        <v>837</v>
      </c>
      <c r="C65" s="109" t="s">
        <v>839</v>
      </c>
      <c r="D65" s="11" t="s">
        <v>46</v>
      </c>
      <c r="E65" s="11" t="s">
        <v>46</v>
      </c>
      <c r="F65" s="110">
        <f>F62</f>
        <v>1</v>
      </c>
      <c r="H65" s="110"/>
      <c r="I65" s="159"/>
      <c r="J65" s="160"/>
      <c r="K65" s="161"/>
      <c r="L65" s="161"/>
      <c r="M65" s="162">
        <f t="shared" si="46"/>
        <v>0</v>
      </c>
      <c r="N65" s="163">
        <f t="shared" si="47"/>
        <v>0</v>
      </c>
      <c r="O65" s="111"/>
      <c r="Q65" s="349"/>
      <c r="R65" s="349"/>
      <c r="S65" s="592"/>
    </row>
    <row r="66" spans="2:1012 1027:2036 2051:3060 3075:4084 4099:5108 5123:6132 6147:7156 7171:8180 8195:9204 9219:10228 10243:11252 11267:12276 12291:13300 13315:14324 14339:15348 15363:16372" s="43" customFormat="1" x14ac:dyDescent="0.25">
      <c r="B66" s="158" t="s">
        <v>838</v>
      </c>
      <c r="C66" s="109" t="s">
        <v>274</v>
      </c>
      <c r="D66" s="11" t="s">
        <v>46</v>
      </c>
      <c r="E66" s="11" t="s">
        <v>46</v>
      </c>
      <c r="F66" s="110">
        <f>F62</f>
        <v>1</v>
      </c>
      <c r="H66" s="110"/>
      <c r="I66" s="159"/>
      <c r="J66" s="160"/>
      <c r="K66" s="161"/>
      <c r="L66" s="161"/>
      <c r="M66" s="162">
        <f t="shared" ref="M66" si="48">((F66+G66)*K66)+((F66+G66)*L66)</f>
        <v>0</v>
      </c>
      <c r="N66" s="163">
        <f t="shared" ref="N66" si="49">M66+J66</f>
        <v>0</v>
      </c>
      <c r="O66" s="111"/>
      <c r="Q66" s="349"/>
      <c r="R66" s="349"/>
      <c r="S66" s="592"/>
    </row>
    <row r="67" spans="2:1012 1027:2036 2051:3060 3075:4084 4099:5108 5123:6132 6147:7156 7171:8180 8195:9204 9219:10228 10243:11252 11267:12276 12291:13300 13315:14324 14339:15348 15363:16372" s="43" customFormat="1" x14ac:dyDescent="0.25">
      <c r="B67" s="126"/>
      <c r="C67" s="568"/>
      <c r="D67" s="11"/>
      <c r="E67" s="11"/>
      <c r="F67" s="110"/>
      <c r="H67" s="110"/>
      <c r="I67" s="159"/>
      <c r="J67" s="160"/>
      <c r="K67" s="161"/>
      <c r="L67" s="161"/>
      <c r="M67" s="162"/>
      <c r="N67" s="163"/>
      <c r="O67" s="111"/>
      <c r="Q67" s="349"/>
      <c r="R67" s="349"/>
    </row>
    <row r="68" spans="2:1012 1027:2036 2051:3060 3075:4084 4099:5108 5123:6132 6147:7156 7171:8180 8195:9204 9219:10228 10243:11252 11267:12276 12291:13300 13315:14324 14339:15348 15363:16372" s="43" customFormat="1" x14ac:dyDescent="0.25">
      <c r="B68" s="126" t="str">
        <f>IF('Fixtures + Piping computation'!C49&gt;0,'Fixtures + Piping computation'!B49 &amp; " (" &amp;'Fixtures + Piping computation'!C49 &amp; ")",'Fixtures + Piping computation'!C49)</f>
        <v>Brewer Clover (22885 (OSM))</v>
      </c>
      <c r="C68" s="568" t="s">
        <v>836</v>
      </c>
      <c r="D68" s="11" t="s">
        <v>828</v>
      </c>
      <c r="E68" s="11" t="s">
        <v>46</v>
      </c>
      <c r="F68" s="110">
        <f>'Fixtures + Piping computation'!D202</f>
        <v>1</v>
      </c>
      <c r="H68" s="110">
        <v>2.25</v>
      </c>
      <c r="I68" s="159">
        <f t="shared" si="38"/>
        <v>2.25</v>
      </c>
      <c r="J68" s="160">
        <f>I68*Summary!$H$4</f>
        <v>388.125</v>
      </c>
      <c r="K68" s="161"/>
      <c r="L68" s="161">
        <f>'Pricing Master Sheet'!E58</f>
        <v>0</v>
      </c>
      <c r="M68" s="162">
        <f t="shared" si="30"/>
        <v>0</v>
      </c>
      <c r="N68" s="163">
        <f t="shared" si="31"/>
        <v>388.125</v>
      </c>
      <c r="O68" s="111"/>
      <c r="Q68" s="349"/>
      <c r="R68" s="349"/>
    </row>
    <row r="69" spans="2:1012 1027:2036 2051:3060 3075:4084 4099:5108 5123:6132 6147:7156 7171:8180 8195:9204 9219:10228 10243:11252 11267:12276 12291:13300 13315:14324 14339:15348 15363:16372" s="43" customFormat="1" x14ac:dyDescent="0.25">
      <c r="B69" s="293" t="s">
        <v>134</v>
      </c>
      <c r="C69" s="568"/>
      <c r="D69" s="11"/>
      <c r="E69" s="11"/>
      <c r="F69" s="110"/>
      <c r="H69" s="110"/>
      <c r="I69" s="159"/>
      <c r="J69" s="160"/>
      <c r="K69" s="161"/>
      <c r="L69" s="161"/>
      <c r="M69" s="162"/>
      <c r="N69" s="163"/>
      <c r="O69" s="111"/>
      <c r="Q69" s="349"/>
      <c r="R69" s="349"/>
    </row>
    <row r="70" spans="2:1012 1027:2036 2051:3060 3075:4084 4099:5108 5123:6132 6147:7156 7171:8180 8195:9204 9219:10228 10243:11252 11267:12276 12291:13300 13315:14324 14339:15348 15363:16372" s="43" customFormat="1" x14ac:dyDescent="0.25">
      <c r="B70" s="158" t="s">
        <v>829</v>
      </c>
      <c r="C70" s="109" t="s">
        <v>831</v>
      </c>
      <c r="D70" s="11" t="s">
        <v>46</v>
      </c>
      <c r="E70" s="11" t="s">
        <v>46</v>
      </c>
      <c r="F70" s="110">
        <f>F68</f>
        <v>1</v>
      </c>
      <c r="H70" s="110"/>
      <c r="I70" s="159"/>
      <c r="J70" s="160"/>
      <c r="K70" s="161"/>
      <c r="L70" s="161"/>
      <c r="M70" s="162">
        <f t="shared" ref="M70" si="50">((F70+G70)*K70)+((F70+G70)*L70)</f>
        <v>0</v>
      </c>
      <c r="N70" s="163">
        <f t="shared" ref="N70" si="51">M70+J70</f>
        <v>0</v>
      </c>
      <c r="O70" s="111"/>
      <c r="Q70" s="349"/>
      <c r="R70" s="349"/>
      <c r="S70" s="592"/>
    </row>
    <row r="71" spans="2:1012 1027:2036 2051:3060 3075:4084 4099:5108 5123:6132 6147:7156 7171:8180 8195:9204 9219:10228 10243:11252 11267:12276 12291:13300 13315:14324 14339:15348 15363:16372" s="43" customFormat="1" x14ac:dyDescent="0.25">
      <c r="B71" s="158" t="s">
        <v>837</v>
      </c>
      <c r="C71" s="109" t="s">
        <v>839</v>
      </c>
      <c r="D71" s="11" t="s">
        <v>46</v>
      </c>
      <c r="E71" s="11" t="s">
        <v>46</v>
      </c>
      <c r="F71" s="110">
        <f>F68</f>
        <v>1</v>
      </c>
      <c r="H71" s="110"/>
      <c r="I71" s="159"/>
      <c r="J71" s="160"/>
      <c r="K71" s="161"/>
      <c r="L71" s="161"/>
      <c r="M71" s="162">
        <f t="shared" ref="M71:M72" si="52">((F71+G71)*K71)+((F71+G71)*L71)</f>
        <v>0</v>
      </c>
      <c r="N71" s="163">
        <f t="shared" ref="N71:N72" si="53">M71+J71</f>
        <v>0</v>
      </c>
      <c r="O71" s="111"/>
      <c r="Q71" s="349"/>
      <c r="R71" s="349"/>
      <c r="S71" s="592"/>
    </row>
    <row r="72" spans="2:1012 1027:2036 2051:3060 3075:4084 4099:5108 5123:6132 6147:7156 7171:8180 8195:9204 9219:10228 10243:11252 11267:12276 12291:13300 13315:14324 14339:15348 15363:16372" s="43" customFormat="1" x14ac:dyDescent="0.25">
      <c r="B72" s="158" t="s">
        <v>1027</v>
      </c>
      <c r="C72" s="109"/>
      <c r="D72" s="11" t="s">
        <v>46</v>
      </c>
      <c r="E72" s="11" t="s">
        <v>46</v>
      </c>
      <c r="F72" s="110">
        <v>1</v>
      </c>
      <c r="H72" s="110"/>
      <c r="I72" s="159"/>
      <c r="J72" s="160"/>
      <c r="K72" s="161"/>
      <c r="L72" s="161"/>
      <c r="M72" s="162">
        <f t="shared" si="52"/>
        <v>0</v>
      </c>
      <c r="N72" s="163">
        <f t="shared" si="53"/>
        <v>0</v>
      </c>
      <c r="O72" s="111"/>
      <c r="Q72" s="349"/>
      <c r="R72" s="349"/>
      <c r="S72" s="592"/>
    </row>
    <row r="73" spans="2:1012 1027:2036 2051:3060 3075:4084 4099:5108 5123:6132 6147:7156 7171:8180 8195:9204 9219:10228 10243:11252 11267:12276 12291:13300 13315:14324 14339:15348 15363:16372" s="43" customFormat="1" ht="15" customHeight="1" x14ac:dyDescent="0.25">
      <c r="B73" s="133"/>
      <c r="C73" s="49"/>
      <c r="D73" s="11"/>
      <c r="E73" s="11"/>
      <c r="F73" s="110"/>
      <c r="H73" s="110"/>
      <c r="I73" s="159"/>
      <c r="J73" s="160"/>
      <c r="K73" s="161"/>
      <c r="L73" s="110"/>
      <c r="M73" s="162"/>
      <c r="N73" s="163"/>
      <c r="Q73" s="349"/>
      <c r="R73" s="349"/>
    </row>
    <row r="74" spans="2:1012 1027:2036 2051:3060 3075:4084 4099:5108 5123:6132 6147:7156 7171:8180 8195:9204 9219:10228 10243:11252 11267:12276 12291:13300 13315:14324 14339:15348 15363:16372" s="43" customFormat="1" x14ac:dyDescent="0.25">
      <c r="B74" s="164"/>
      <c r="C74" s="109"/>
      <c r="D74" s="11"/>
      <c r="E74" s="11"/>
      <c r="F74" s="110"/>
      <c r="H74" s="110"/>
      <c r="I74" s="110"/>
      <c r="J74" s="110"/>
      <c r="K74" s="161"/>
      <c r="L74" s="161"/>
      <c r="M74" s="162"/>
      <c r="N74" s="163"/>
      <c r="O74" s="111"/>
      <c r="Q74" s="349"/>
      <c r="R74" s="349"/>
    </row>
    <row r="75" spans="2:1012 1027:2036 2051:3060 3075:4084 4099:5108 5123:6132 6147:7156 7171:8180 8195:9204 9219:10228 10243:11252 11267:12276 12291:13300 13315:14324 14339:15348 15363:16372" ht="15" customHeight="1" thickBot="1" x14ac:dyDescent="0.3">
      <c r="B75" s="86"/>
      <c r="I75" s="15"/>
      <c r="J75" s="51"/>
      <c r="M75" s="84"/>
      <c r="N75" s="88"/>
      <c r="O75" s="14"/>
      <c r="Q75" s="349"/>
      <c r="R75" s="349"/>
    </row>
    <row r="76" spans="2:1012 1027:2036 2051:3060 3075:4084 4099:5108 5123:6132 6147:7156 7171:8180 8195:9204 9219:10228 10243:11252 11267:12276 12291:13300 13315:14324 14339:15348 15363:16372" s="214" customFormat="1" ht="22.5" customHeight="1" thickBot="1" x14ac:dyDescent="0.3">
      <c r="B76" s="213"/>
      <c r="C76" s="191" t="s">
        <v>452</v>
      </c>
      <c r="D76" s="215"/>
      <c r="E76" s="215"/>
      <c r="F76" s="386">
        <f>'Fixtures + Piping computation'!E51</f>
        <v>21</v>
      </c>
      <c r="G76" s="386"/>
      <c r="H76" s="386"/>
      <c r="I76" s="386">
        <f>SUM(I13:I75)</f>
        <v>42.809999999999995</v>
      </c>
      <c r="J76" s="388">
        <f>SUM(J13:J75)</f>
        <v>7384.7249999999995</v>
      </c>
      <c r="K76" s="386"/>
      <c r="L76" s="386"/>
      <c r="M76" s="388">
        <f>SUM(M13:M75)</f>
        <v>0</v>
      </c>
      <c r="N76" s="216"/>
      <c r="O76" s="387">
        <f>SUM(N11:N75)</f>
        <v>7384.7249999999995</v>
      </c>
      <c r="P76" s="481" t="str">
        <f>IF(O76=(M76+J76), "GOOD", "ERROR RECHECK")</f>
        <v>GOOD</v>
      </c>
      <c r="Q76" s="349"/>
      <c r="R76" s="349"/>
    </row>
    <row r="77" spans="2:1012 1027:2036 2051:3060 3075:4084 4099:5108 5123:6132 6147:7156 7171:8180 8195:9204 9219:10228 10243:11252 11267:12276 12291:13300 13315:14324 14339:15348 15363:16372" ht="27" customHeight="1" thickBot="1" x14ac:dyDescent="0.3">
      <c r="C77" s="11"/>
      <c r="E77"/>
      <c r="R77"/>
      <c r="S77" s="11"/>
      <c r="T77" s="11"/>
      <c r="AI77" s="11"/>
      <c r="AJ77" s="11"/>
      <c r="AY77" s="11"/>
      <c r="AZ77" s="11"/>
      <c r="BO77" s="11"/>
      <c r="BP77" s="11"/>
      <c r="CE77" s="11"/>
      <c r="CF77" s="11"/>
      <c r="CU77" s="11"/>
      <c r="CV77" s="11"/>
      <c r="DK77" s="11"/>
      <c r="DL77" s="11"/>
      <c r="EA77" s="11"/>
      <c r="EB77" s="11"/>
      <c r="EQ77" s="11"/>
      <c r="ER77" s="11"/>
      <c r="FG77" s="11"/>
      <c r="FH77" s="11"/>
      <c r="FW77" s="11"/>
      <c r="FX77" s="11"/>
      <c r="GM77" s="11"/>
      <c r="GN77" s="11"/>
      <c r="HC77" s="11"/>
      <c r="HD77" s="11"/>
      <c r="HS77" s="11"/>
      <c r="HT77" s="11"/>
      <c r="II77" s="11"/>
      <c r="IJ77" s="11"/>
      <c r="IY77" s="11"/>
      <c r="IZ77" s="11"/>
      <c r="JO77" s="11"/>
      <c r="JP77" s="11"/>
      <c r="KE77" s="11"/>
      <c r="KF77" s="11"/>
      <c r="KU77" s="11"/>
      <c r="KV77" s="11"/>
      <c r="LK77" s="11"/>
      <c r="LL77" s="11"/>
      <c r="MA77" s="11"/>
      <c r="MB77" s="11"/>
      <c r="MQ77" s="11"/>
      <c r="MR77" s="11"/>
      <c r="NG77" s="11"/>
      <c r="NH77" s="11"/>
      <c r="NW77" s="11"/>
      <c r="NX77" s="11"/>
      <c r="OM77" s="11"/>
      <c r="ON77" s="11"/>
      <c r="PC77" s="11"/>
      <c r="PD77" s="11"/>
      <c r="PS77" s="11"/>
      <c r="PT77" s="11"/>
      <c r="QI77" s="11"/>
      <c r="QJ77" s="11"/>
      <c r="QY77" s="11"/>
      <c r="QZ77" s="11"/>
      <c r="RO77" s="11"/>
      <c r="RP77" s="11"/>
      <c r="SE77" s="11"/>
      <c r="SF77" s="11"/>
      <c r="SU77" s="11"/>
      <c r="SV77" s="11"/>
      <c r="TK77" s="11"/>
      <c r="TL77" s="11"/>
      <c r="UA77" s="11"/>
      <c r="UB77" s="11"/>
      <c r="UQ77" s="11"/>
      <c r="UR77" s="11"/>
      <c r="VG77" s="11"/>
      <c r="VH77" s="11"/>
      <c r="VW77" s="11"/>
      <c r="VX77" s="11"/>
      <c r="WM77" s="11"/>
      <c r="WN77" s="11"/>
      <c r="XC77" s="11"/>
      <c r="XD77" s="11"/>
      <c r="XS77" s="11"/>
      <c r="XT77" s="11"/>
      <c r="YI77" s="11"/>
      <c r="YJ77" s="11"/>
      <c r="YY77" s="11"/>
      <c r="YZ77" s="11"/>
      <c r="ZO77" s="11"/>
      <c r="ZP77" s="11"/>
      <c r="AAE77" s="11"/>
      <c r="AAF77" s="11"/>
      <c r="AAU77" s="11"/>
      <c r="AAV77" s="11"/>
      <c r="ABK77" s="11"/>
      <c r="ABL77" s="11"/>
      <c r="ACA77" s="11"/>
      <c r="ACB77" s="11"/>
      <c r="ACQ77" s="11"/>
      <c r="ACR77" s="11"/>
      <c r="ADG77" s="11"/>
      <c r="ADH77" s="11"/>
      <c r="ADW77" s="11"/>
      <c r="ADX77" s="11"/>
      <c r="AEM77" s="11"/>
      <c r="AEN77" s="11"/>
      <c r="AFC77" s="11"/>
      <c r="AFD77" s="11"/>
      <c r="AFS77" s="11"/>
      <c r="AFT77" s="11"/>
      <c r="AGI77" s="11"/>
      <c r="AGJ77" s="11"/>
      <c r="AGY77" s="11"/>
      <c r="AGZ77" s="11"/>
      <c r="AHO77" s="11"/>
      <c r="AHP77" s="11"/>
      <c r="AIE77" s="11"/>
      <c r="AIF77" s="11"/>
      <c r="AIU77" s="11"/>
      <c r="AIV77" s="11"/>
      <c r="AJK77" s="11"/>
      <c r="AJL77" s="11"/>
      <c r="AKA77" s="11"/>
      <c r="AKB77" s="11"/>
      <c r="AKQ77" s="11"/>
      <c r="AKR77" s="11"/>
      <c r="ALG77" s="11"/>
      <c r="ALH77" s="11"/>
      <c r="ALW77" s="11"/>
      <c r="ALX77" s="11"/>
      <c r="AMM77" s="11"/>
      <c r="AMN77" s="11"/>
      <c r="ANC77" s="11"/>
      <c r="AND77" s="11"/>
      <c r="ANS77" s="11"/>
      <c r="ANT77" s="11"/>
      <c r="AOI77" s="11"/>
      <c r="AOJ77" s="11"/>
      <c r="AOY77" s="11"/>
      <c r="AOZ77" s="11"/>
      <c r="APO77" s="11"/>
      <c r="APP77" s="11"/>
      <c r="AQE77" s="11"/>
      <c r="AQF77" s="11"/>
      <c r="AQU77" s="11"/>
      <c r="AQV77" s="11"/>
      <c r="ARK77" s="11"/>
      <c r="ARL77" s="11"/>
      <c r="ASA77" s="11"/>
      <c r="ASB77" s="11"/>
      <c r="ASQ77" s="11"/>
      <c r="ASR77" s="11"/>
      <c r="ATG77" s="11"/>
      <c r="ATH77" s="11"/>
      <c r="ATW77" s="11"/>
      <c r="ATX77" s="11"/>
      <c r="AUM77" s="11"/>
      <c r="AUN77" s="11"/>
      <c r="AVC77" s="11"/>
      <c r="AVD77" s="11"/>
      <c r="AVS77" s="11"/>
      <c r="AVT77" s="11"/>
      <c r="AWI77" s="11"/>
      <c r="AWJ77" s="11"/>
      <c r="AWY77" s="11"/>
      <c r="AWZ77" s="11"/>
      <c r="AXO77" s="11"/>
      <c r="AXP77" s="11"/>
      <c r="AYE77" s="11"/>
      <c r="AYF77" s="11"/>
      <c r="AYU77" s="11"/>
      <c r="AYV77" s="11"/>
      <c r="AZK77" s="11"/>
      <c r="AZL77" s="11"/>
      <c r="BAA77" s="11"/>
      <c r="BAB77" s="11"/>
      <c r="BAQ77" s="11"/>
      <c r="BAR77" s="11"/>
      <c r="BBG77" s="11"/>
      <c r="BBH77" s="11"/>
      <c r="BBW77" s="11"/>
      <c r="BBX77" s="11"/>
      <c r="BCM77" s="11"/>
      <c r="BCN77" s="11"/>
      <c r="BDC77" s="11"/>
      <c r="BDD77" s="11"/>
      <c r="BDS77" s="11"/>
      <c r="BDT77" s="11"/>
      <c r="BEI77" s="11"/>
      <c r="BEJ77" s="11"/>
      <c r="BEY77" s="11"/>
      <c r="BEZ77" s="11"/>
      <c r="BFO77" s="11"/>
      <c r="BFP77" s="11"/>
      <c r="BGE77" s="11"/>
      <c r="BGF77" s="11"/>
      <c r="BGU77" s="11"/>
      <c r="BGV77" s="11"/>
      <c r="BHK77" s="11"/>
      <c r="BHL77" s="11"/>
      <c r="BIA77" s="11"/>
      <c r="BIB77" s="11"/>
      <c r="BIQ77" s="11"/>
      <c r="BIR77" s="11"/>
      <c r="BJG77" s="11"/>
      <c r="BJH77" s="11"/>
      <c r="BJW77" s="11"/>
      <c r="BJX77" s="11"/>
      <c r="BKM77" s="11"/>
      <c r="BKN77" s="11"/>
      <c r="BLC77" s="11"/>
      <c r="BLD77" s="11"/>
      <c r="BLS77" s="11"/>
      <c r="BLT77" s="11"/>
      <c r="BMI77" s="11"/>
      <c r="BMJ77" s="11"/>
      <c r="BMY77" s="11"/>
      <c r="BMZ77" s="11"/>
      <c r="BNO77" s="11"/>
      <c r="BNP77" s="11"/>
      <c r="BOE77" s="11"/>
      <c r="BOF77" s="11"/>
      <c r="BOU77" s="11"/>
      <c r="BOV77" s="11"/>
      <c r="BPK77" s="11"/>
      <c r="BPL77" s="11"/>
      <c r="BQA77" s="11"/>
      <c r="BQB77" s="11"/>
      <c r="BQQ77" s="11"/>
      <c r="BQR77" s="11"/>
      <c r="BRG77" s="11"/>
      <c r="BRH77" s="11"/>
      <c r="BRW77" s="11"/>
      <c r="BRX77" s="11"/>
      <c r="BSM77" s="11"/>
      <c r="BSN77" s="11"/>
      <c r="BTC77" s="11"/>
      <c r="BTD77" s="11"/>
      <c r="BTS77" s="11"/>
      <c r="BTT77" s="11"/>
      <c r="BUI77" s="11"/>
      <c r="BUJ77" s="11"/>
      <c r="BUY77" s="11"/>
      <c r="BUZ77" s="11"/>
      <c r="BVO77" s="11"/>
      <c r="BVP77" s="11"/>
      <c r="BWE77" s="11"/>
      <c r="BWF77" s="11"/>
      <c r="BWU77" s="11"/>
      <c r="BWV77" s="11"/>
      <c r="BXK77" s="11"/>
      <c r="BXL77" s="11"/>
      <c r="BYA77" s="11"/>
      <c r="BYB77" s="11"/>
      <c r="BYQ77" s="11"/>
      <c r="BYR77" s="11"/>
      <c r="BZG77" s="11"/>
      <c r="BZH77" s="11"/>
      <c r="BZW77" s="11"/>
      <c r="BZX77" s="11"/>
      <c r="CAM77" s="11"/>
      <c r="CAN77" s="11"/>
      <c r="CBC77" s="11"/>
      <c r="CBD77" s="11"/>
      <c r="CBS77" s="11"/>
      <c r="CBT77" s="11"/>
      <c r="CCI77" s="11"/>
      <c r="CCJ77" s="11"/>
      <c r="CCY77" s="11"/>
      <c r="CCZ77" s="11"/>
      <c r="CDO77" s="11"/>
      <c r="CDP77" s="11"/>
      <c r="CEE77" s="11"/>
      <c r="CEF77" s="11"/>
      <c r="CEU77" s="11"/>
      <c r="CEV77" s="11"/>
      <c r="CFK77" s="11"/>
      <c r="CFL77" s="11"/>
      <c r="CGA77" s="11"/>
      <c r="CGB77" s="11"/>
      <c r="CGQ77" s="11"/>
      <c r="CGR77" s="11"/>
      <c r="CHG77" s="11"/>
      <c r="CHH77" s="11"/>
      <c r="CHW77" s="11"/>
      <c r="CHX77" s="11"/>
      <c r="CIM77" s="11"/>
      <c r="CIN77" s="11"/>
      <c r="CJC77" s="11"/>
      <c r="CJD77" s="11"/>
      <c r="CJS77" s="11"/>
      <c r="CJT77" s="11"/>
      <c r="CKI77" s="11"/>
      <c r="CKJ77" s="11"/>
      <c r="CKY77" s="11"/>
      <c r="CKZ77" s="11"/>
      <c r="CLO77" s="11"/>
      <c r="CLP77" s="11"/>
      <c r="CME77" s="11"/>
      <c r="CMF77" s="11"/>
      <c r="CMU77" s="11"/>
      <c r="CMV77" s="11"/>
      <c r="CNK77" s="11"/>
      <c r="CNL77" s="11"/>
      <c r="COA77" s="11"/>
      <c r="COB77" s="11"/>
      <c r="COQ77" s="11"/>
      <c r="COR77" s="11"/>
      <c r="CPG77" s="11"/>
      <c r="CPH77" s="11"/>
      <c r="CPW77" s="11"/>
      <c r="CPX77" s="11"/>
      <c r="CQM77" s="11"/>
      <c r="CQN77" s="11"/>
      <c r="CRC77" s="11"/>
      <c r="CRD77" s="11"/>
      <c r="CRS77" s="11"/>
      <c r="CRT77" s="11"/>
      <c r="CSI77" s="11"/>
      <c r="CSJ77" s="11"/>
      <c r="CSY77" s="11"/>
      <c r="CSZ77" s="11"/>
      <c r="CTO77" s="11"/>
      <c r="CTP77" s="11"/>
      <c r="CUE77" s="11"/>
      <c r="CUF77" s="11"/>
      <c r="CUU77" s="11"/>
      <c r="CUV77" s="11"/>
      <c r="CVK77" s="11"/>
      <c r="CVL77" s="11"/>
      <c r="CWA77" s="11"/>
      <c r="CWB77" s="11"/>
      <c r="CWQ77" s="11"/>
      <c r="CWR77" s="11"/>
      <c r="CXG77" s="11"/>
      <c r="CXH77" s="11"/>
      <c r="CXW77" s="11"/>
      <c r="CXX77" s="11"/>
      <c r="CYM77" s="11"/>
      <c r="CYN77" s="11"/>
      <c r="CZC77" s="11"/>
      <c r="CZD77" s="11"/>
      <c r="CZS77" s="11"/>
      <c r="CZT77" s="11"/>
      <c r="DAI77" s="11"/>
      <c r="DAJ77" s="11"/>
      <c r="DAY77" s="11"/>
      <c r="DAZ77" s="11"/>
      <c r="DBO77" s="11"/>
      <c r="DBP77" s="11"/>
      <c r="DCE77" s="11"/>
      <c r="DCF77" s="11"/>
      <c r="DCU77" s="11"/>
      <c r="DCV77" s="11"/>
      <c r="DDK77" s="11"/>
      <c r="DDL77" s="11"/>
      <c r="DEA77" s="11"/>
      <c r="DEB77" s="11"/>
      <c r="DEQ77" s="11"/>
      <c r="DER77" s="11"/>
      <c r="DFG77" s="11"/>
      <c r="DFH77" s="11"/>
      <c r="DFW77" s="11"/>
      <c r="DFX77" s="11"/>
      <c r="DGM77" s="11"/>
      <c r="DGN77" s="11"/>
      <c r="DHC77" s="11"/>
      <c r="DHD77" s="11"/>
      <c r="DHS77" s="11"/>
      <c r="DHT77" s="11"/>
      <c r="DII77" s="11"/>
      <c r="DIJ77" s="11"/>
      <c r="DIY77" s="11"/>
      <c r="DIZ77" s="11"/>
      <c r="DJO77" s="11"/>
      <c r="DJP77" s="11"/>
      <c r="DKE77" s="11"/>
      <c r="DKF77" s="11"/>
      <c r="DKU77" s="11"/>
      <c r="DKV77" s="11"/>
      <c r="DLK77" s="11"/>
      <c r="DLL77" s="11"/>
      <c r="DMA77" s="11"/>
      <c r="DMB77" s="11"/>
      <c r="DMQ77" s="11"/>
      <c r="DMR77" s="11"/>
      <c r="DNG77" s="11"/>
      <c r="DNH77" s="11"/>
      <c r="DNW77" s="11"/>
      <c r="DNX77" s="11"/>
      <c r="DOM77" s="11"/>
      <c r="DON77" s="11"/>
      <c r="DPC77" s="11"/>
      <c r="DPD77" s="11"/>
      <c r="DPS77" s="11"/>
      <c r="DPT77" s="11"/>
      <c r="DQI77" s="11"/>
      <c r="DQJ77" s="11"/>
      <c r="DQY77" s="11"/>
      <c r="DQZ77" s="11"/>
      <c r="DRO77" s="11"/>
      <c r="DRP77" s="11"/>
      <c r="DSE77" s="11"/>
      <c r="DSF77" s="11"/>
      <c r="DSU77" s="11"/>
      <c r="DSV77" s="11"/>
      <c r="DTK77" s="11"/>
      <c r="DTL77" s="11"/>
      <c r="DUA77" s="11"/>
      <c r="DUB77" s="11"/>
      <c r="DUQ77" s="11"/>
      <c r="DUR77" s="11"/>
      <c r="DVG77" s="11"/>
      <c r="DVH77" s="11"/>
      <c r="DVW77" s="11"/>
      <c r="DVX77" s="11"/>
      <c r="DWM77" s="11"/>
      <c r="DWN77" s="11"/>
      <c r="DXC77" s="11"/>
      <c r="DXD77" s="11"/>
      <c r="DXS77" s="11"/>
      <c r="DXT77" s="11"/>
      <c r="DYI77" s="11"/>
      <c r="DYJ77" s="11"/>
      <c r="DYY77" s="11"/>
      <c r="DYZ77" s="11"/>
      <c r="DZO77" s="11"/>
      <c r="DZP77" s="11"/>
      <c r="EAE77" s="11"/>
      <c r="EAF77" s="11"/>
      <c r="EAU77" s="11"/>
      <c r="EAV77" s="11"/>
      <c r="EBK77" s="11"/>
      <c r="EBL77" s="11"/>
      <c r="ECA77" s="11"/>
      <c r="ECB77" s="11"/>
      <c r="ECQ77" s="11"/>
      <c r="ECR77" s="11"/>
      <c r="EDG77" s="11"/>
      <c r="EDH77" s="11"/>
      <c r="EDW77" s="11"/>
      <c r="EDX77" s="11"/>
      <c r="EEM77" s="11"/>
      <c r="EEN77" s="11"/>
      <c r="EFC77" s="11"/>
      <c r="EFD77" s="11"/>
      <c r="EFS77" s="11"/>
      <c r="EFT77" s="11"/>
      <c r="EGI77" s="11"/>
      <c r="EGJ77" s="11"/>
      <c r="EGY77" s="11"/>
      <c r="EGZ77" s="11"/>
      <c r="EHO77" s="11"/>
      <c r="EHP77" s="11"/>
      <c r="EIE77" s="11"/>
      <c r="EIF77" s="11"/>
      <c r="EIU77" s="11"/>
      <c r="EIV77" s="11"/>
      <c r="EJK77" s="11"/>
      <c r="EJL77" s="11"/>
      <c r="EKA77" s="11"/>
      <c r="EKB77" s="11"/>
      <c r="EKQ77" s="11"/>
      <c r="EKR77" s="11"/>
      <c r="ELG77" s="11"/>
      <c r="ELH77" s="11"/>
      <c r="ELW77" s="11"/>
      <c r="ELX77" s="11"/>
      <c r="EMM77" s="11"/>
      <c r="EMN77" s="11"/>
      <c r="ENC77" s="11"/>
      <c r="END77" s="11"/>
      <c r="ENS77" s="11"/>
      <c r="ENT77" s="11"/>
      <c r="EOI77" s="11"/>
      <c r="EOJ77" s="11"/>
      <c r="EOY77" s="11"/>
      <c r="EOZ77" s="11"/>
      <c r="EPO77" s="11"/>
      <c r="EPP77" s="11"/>
      <c r="EQE77" s="11"/>
      <c r="EQF77" s="11"/>
      <c r="EQU77" s="11"/>
      <c r="EQV77" s="11"/>
      <c r="ERK77" s="11"/>
      <c r="ERL77" s="11"/>
      <c r="ESA77" s="11"/>
      <c r="ESB77" s="11"/>
      <c r="ESQ77" s="11"/>
      <c r="ESR77" s="11"/>
      <c r="ETG77" s="11"/>
      <c r="ETH77" s="11"/>
      <c r="ETW77" s="11"/>
      <c r="ETX77" s="11"/>
      <c r="EUM77" s="11"/>
      <c r="EUN77" s="11"/>
      <c r="EVC77" s="11"/>
      <c r="EVD77" s="11"/>
      <c r="EVS77" s="11"/>
      <c r="EVT77" s="11"/>
      <c r="EWI77" s="11"/>
      <c r="EWJ77" s="11"/>
      <c r="EWY77" s="11"/>
      <c r="EWZ77" s="11"/>
      <c r="EXO77" s="11"/>
      <c r="EXP77" s="11"/>
      <c r="EYE77" s="11"/>
      <c r="EYF77" s="11"/>
      <c r="EYU77" s="11"/>
      <c r="EYV77" s="11"/>
      <c r="EZK77" s="11"/>
      <c r="EZL77" s="11"/>
      <c r="FAA77" s="11"/>
      <c r="FAB77" s="11"/>
      <c r="FAQ77" s="11"/>
      <c r="FAR77" s="11"/>
      <c r="FBG77" s="11"/>
      <c r="FBH77" s="11"/>
      <c r="FBW77" s="11"/>
      <c r="FBX77" s="11"/>
      <c r="FCM77" s="11"/>
      <c r="FCN77" s="11"/>
      <c r="FDC77" s="11"/>
      <c r="FDD77" s="11"/>
      <c r="FDS77" s="11"/>
      <c r="FDT77" s="11"/>
      <c r="FEI77" s="11"/>
      <c r="FEJ77" s="11"/>
      <c r="FEY77" s="11"/>
      <c r="FEZ77" s="11"/>
      <c r="FFO77" s="11"/>
      <c r="FFP77" s="11"/>
      <c r="FGE77" s="11"/>
      <c r="FGF77" s="11"/>
      <c r="FGU77" s="11"/>
      <c r="FGV77" s="11"/>
      <c r="FHK77" s="11"/>
      <c r="FHL77" s="11"/>
      <c r="FIA77" s="11"/>
      <c r="FIB77" s="11"/>
      <c r="FIQ77" s="11"/>
      <c r="FIR77" s="11"/>
      <c r="FJG77" s="11"/>
      <c r="FJH77" s="11"/>
      <c r="FJW77" s="11"/>
      <c r="FJX77" s="11"/>
      <c r="FKM77" s="11"/>
      <c r="FKN77" s="11"/>
      <c r="FLC77" s="11"/>
      <c r="FLD77" s="11"/>
      <c r="FLS77" s="11"/>
      <c r="FLT77" s="11"/>
      <c r="FMI77" s="11"/>
      <c r="FMJ77" s="11"/>
      <c r="FMY77" s="11"/>
      <c r="FMZ77" s="11"/>
      <c r="FNO77" s="11"/>
      <c r="FNP77" s="11"/>
      <c r="FOE77" s="11"/>
      <c r="FOF77" s="11"/>
      <c r="FOU77" s="11"/>
      <c r="FOV77" s="11"/>
      <c r="FPK77" s="11"/>
      <c r="FPL77" s="11"/>
      <c r="FQA77" s="11"/>
      <c r="FQB77" s="11"/>
      <c r="FQQ77" s="11"/>
      <c r="FQR77" s="11"/>
      <c r="FRG77" s="11"/>
      <c r="FRH77" s="11"/>
      <c r="FRW77" s="11"/>
      <c r="FRX77" s="11"/>
      <c r="FSM77" s="11"/>
      <c r="FSN77" s="11"/>
      <c r="FTC77" s="11"/>
      <c r="FTD77" s="11"/>
      <c r="FTS77" s="11"/>
      <c r="FTT77" s="11"/>
      <c r="FUI77" s="11"/>
      <c r="FUJ77" s="11"/>
      <c r="FUY77" s="11"/>
      <c r="FUZ77" s="11"/>
      <c r="FVO77" s="11"/>
      <c r="FVP77" s="11"/>
      <c r="FWE77" s="11"/>
      <c r="FWF77" s="11"/>
      <c r="FWU77" s="11"/>
      <c r="FWV77" s="11"/>
      <c r="FXK77" s="11"/>
      <c r="FXL77" s="11"/>
      <c r="FYA77" s="11"/>
      <c r="FYB77" s="11"/>
      <c r="FYQ77" s="11"/>
      <c r="FYR77" s="11"/>
      <c r="FZG77" s="11"/>
      <c r="FZH77" s="11"/>
      <c r="FZW77" s="11"/>
      <c r="FZX77" s="11"/>
      <c r="GAM77" s="11"/>
      <c r="GAN77" s="11"/>
      <c r="GBC77" s="11"/>
      <c r="GBD77" s="11"/>
      <c r="GBS77" s="11"/>
      <c r="GBT77" s="11"/>
      <c r="GCI77" s="11"/>
      <c r="GCJ77" s="11"/>
      <c r="GCY77" s="11"/>
      <c r="GCZ77" s="11"/>
      <c r="GDO77" s="11"/>
      <c r="GDP77" s="11"/>
      <c r="GEE77" s="11"/>
      <c r="GEF77" s="11"/>
      <c r="GEU77" s="11"/>
      <c r="GEV77" s="11"/>
      <c r="GFK77" s="11"/>
      <c r="GFL77" s="11"/>
      <c r="GGA77" s="11"/>
      <c r="GGB77" s="11"/>
      <c r="GGQ77" s="11"/>
      <c r="GGR77" s="11"/>
      <c r="GHG77" s="11"/>
      <c r="GHH77" s="11"/>
      <c r="GHW77" s="11"/>
      <c r="GHX77" s="11"/>
      <c r="GIM77" s="11"/>
      <c r="GIN77" s="11"/>
      <c r="GJC77" s="11"/>
      <c r="GJD77" s="11"/>
      <c r="GJS77" s="11"/>
      <c r="GJT77" s="11"/>
      <c r="GKI77" s="11"/>
      <c r="GKJ77" s="11"/>
      <c r="GKY77" s="11"/>
      <c r="GKZ77" s="11"/>
      <c r="GLO77" s="11"/>
      <c r="GLP77" s="11"/>
      <c r="GME77" s="11"/>
      <c r="GMF77" s="11"/>
      <c r="GMU77" s="11"/>
      <c r="GMV77" s="11"/>
      <c r="GNK77" s="11"/>
      <c r="GNL77" s="11"/>
      <c r="GOA77" s="11"/>
      <c r="GOB77" s="11"/>
      <c r="GOQ77" s="11"/>
      <c r="GOR77" s="11"/>
      <c r="GPG77" s="11"/>
      <c r="GPH77" s="11"/>
      <c r="GPW77" s="11"/>
      <c r="GPX77" s="11"/>
      <c r="GQM77" s="11"/>
      <c r="GQN77" s="11"/>
      <c r="GRC77" s="11"/>
      <c r="GRD77" s="11"/>
      <c r="GRS77" s="11"/>
      <c r="GRT77" s="11"/>
      <c r="GSI77" s="11"/>
      <c r="GSJ77" s="11"/>
      <c r="GSY77" s="11"/>
      <c r="GSZ77" s="11"/>
      <c r="GTO77" s="11"/>
      <c r="GTP77" s="11"/>
      <c r="GUE77" s="11"/>
      <c r="GUF77" s="11"/>
      <c r="GUU77" s="11"/>
      <c r="GUV77" s="11"/>
      <c r="GVK77" s="11"/>
      <c r="GVL77" s="11"/>
      <c r="GWA77" s="11"/>
      <c r="GWB77" s="11"/>
      <c r="GWQ77" s="11"/>
      <c r="GWR77" s="11"/>
      <c r="GXG77" s="11"/>
      <c r="GXH77" s="11"/>
      <c r="GXW77" s="11"/>
      <c r="GXX77" s="11"/>
      <c r="GYM77" s="11"/>
      <c r="GYN77" s="11"/>
      <c r="GZC77" s="11"/>
      <c r="GZD77" s="11"/>
      <c r="GZS77" s="11"/>
      <c r="GZT77" s="11"/>
      <c r="HAI77" s="11"/>
      <c r="HAJ77" s="11"/>
      <c r="HAY77" s="11"/>
      <c r="HAZ77" s="11"/>
      <c r="HBO77" s="11"/>
      <c r="HBP77" s="11"/>
      <c r="HCE77" s="11"/>
      <c r="HCF77" s="11"/>
      <c r="HCU77" s="11"/>
      <c r="HCV77" s="11"/>
      <c r="HDK77" s="11"/>
      <c r="HDL77" s="11"/>
      <c r="HEA77" s="11"/>
      <c r="HEB77" s="11"/>
      <c r="HEQ77" s="11"/>
      <c r="HER77" s="11"/>
      <c r="HFG77" s="11"/>
      <c r="HFH77" s="11"/>
      <c r="HFW77" s="11"/>
      <c r="HFX77" s="11"/>
      <c r="HGM77" s="11"/>
      <c r="HGN77" s="11"/>
      <c r="HHC77" s="11"/>
      <c r="HHD77" s="11"/>
      <c r="HHS77" s="11"/>
      <c r="HHT77" s="11"/>
      <c r="HII77" s="11"/>
      <c r="HIJ77" s="11"/>
      <c r="HIY77" s="11"/>
      <c r="HIZ77" s="11"/>
      <c r="HJO77" s="11"/>
      <c r="HJP77" s="11"/>
      <c r="HKE77" s="11"/>
      <c r="HKF77" s="11"/>
      <c r="HKU77" s="11"/>
      <c r="HKV77" s="11"/>
      <c r="HLK77" s="11"/>
      <c r="HLL77" s="11"/>
      <c r="HMA77" s="11"/>
      <c r="HMB77" s="11"/>
      <c r="HMQ77" s="11"/>
      <c r="HMR77" s="11"/>
      <c r="HNG77" s="11"/>
      <c r="HNH77" s="11"/>
      <c r="HNW77" s="11"/>
      <c r="HNX77" s="11"/>
      <c r="HOM77" s="11"/>
      <c r="HON77" s="11"/>
      <c r="HPC77" s="11"/>
      <c r="HPD77" s="11"/>
      <c r="HPS77" s="11"/>
      <c r="HPT77" s="11"/>
      <c r="HQI77" s="11"/>
      <c r="HQJ77" s="11"/>
      <c r="HQY77" s="11"/>
      <c r="HQZ77" s="11"/>
      <c r="HRO77" s="11"/>
      <c r="HRP77" s="11"/>
      <c r="HSE77" s="11"/>
      <c r="HSF77" s="11"/>
      <c r="HSU77" s="11"/>
      <c r="HSV77" s="11"/>
      <c r="HTK77" s="11"/>
      <c r="HTL77" s="11"/>
      <c r="HUA77" s="11"/>
      <c r="HUB77" s="11"/>
      <c r="HUQ77" s="11"/>
      <c r="HUR77" s="11"/>
      <c r="HVG77" s="11"/>
      <c r="HVH77" s="11"/>
      <c r="HVW77" s="11"/>
      <c r="HVX77" s="11"/>
      <c r="HWM77" s="11"/>
      <c r="HWN77" s="11"/>
      <c r="HXC77" s="11"/>
      <c r="HXD77" s="11"/>
      <c r="HXS77" s="11"/>
      <c r="HXT77" s="11"/>
      <c r="HYI77" s="11"/>
      <c r="HYJ77" s="11"/>
      <c r="HYY77" s="11"/>
      <c r="HYZ77" s="11"/>
      <c r="HZO77" s="11"/>
      <c r="HZP77" s="11"/>
      <c r="IAE77" s="11"/>
      <c r="IAF77" s="11"/>
      <c r="IAU77" s="11"/>
      <c r="IAV77" s="11"/>
      <c r="IBK77" s="11"/>
      <c r="IBL77" s="11"/>
      <c r="ICA77" s="11"/>
      <c r="ICB77" s="11"/>
      <c r="ICQ77" s="11"/>
      <c r="ICR77" s="11"/>
      <c r="IDG77" s="11"/>
      <c r="IDH77" s="11"/>
      <c r="IDW77" s="11"/>
      <c r="IDX77" s="11"/>
      <c r="IEM77" s="11"/>
      <c r="IEN77" s="11"/>
      <c r="IFC77" s="11"/>
      <c r="IFD77" s="11"/>
      <c r="IFS77" s="11"/>
      <c r="IFT77" s="11"/>
      <c r="IGI77" s="11"/>
      <c r="IGJ77" s="11"/>
      <c r="IGY77" s="11"/>
      <c r="IGZ77" s="11"/>
      <c r="IHO77" s="11"/>
      <c r="IHP77" s="11"/>
      <c r="IIE77" s="11"/>
      <c r="IIF77" s="11"/>
      <c r="IIU77" s="11"/>
      <c r="IIV77" s="11"/>
      <c r="IJK77" s="11"/>
      <c r="IJL77" s="11"/>
      <c r="IKA77" s="11"/>
      <c r="IKB77" s="11"/>
      <c r="IKQ77" s="11"/>
      <c r="IKR77" s="11"/>
      <c r="ILG77" s="11"/>
      <c r="ILH77" s="11"/>
      <c r="ILW77" s="11"/>
      <c r="ILX77" s="11"/>
      <c r="IMM77" s="11"/>
      <c r="IMN77" s="11"/>
      <c r="INC77" s="11"/>
      <c r="IND77" s="11"/>
      <c r="INS77" s="11"/>
      <c r="INT77" s="11"/>
      <c r="IOI77" s="11"/>
      <c r="IOJ77" s="11"/>
      <c r="IOY77" s="11"/>
      <c r="IOZ77" s="11"/>
      <c r="IPO77" s="11"/>
      <c r="IPP77" s="11"/>
      <c r="IQE77" s="11"/>
      <c r="IQF77" s="11"/>
      <c r="IQU77" s="11"/>
      <c r="IQV77" s="11"/>
      <c r="IRK77" s="11"/>
      <c r="IRL77" s="11"/>
      <c r="ISA77" s="11"/>
      <c r="ISB77" s="11"/>
      <c r="ISQ77" s="11"/>
      <c r="ISR77" s="11"/>
      <c r="ITG77" s="11"/>
      <c r="ITH77" s="11"/>
      <c r="ITW77" s="11"/>
      <c r="ITX77" s="11"/>
      <c r="IUM77" s="11"/>
      <c r="IUN77" s="11"/>
      <c r="IVC77" s="11"/>
      <c r="IVD77" s="11"/>
      <c r="IVS77" s="11"/>
      <c r="IVT77" s="11"/>
      <c r="IWI77" s="11"/>
      <c r="IWJ77" s="11"/>
      <c r="IWY77" s="11"/>
      <c r="IWZ77" s="11"/>
      <c r="IXO77" s="11"/>
      <c r="IXP77" s="11"/>
      <c r="IYE77" s="11"/>
      <c r="IYF77" s="11"/>
      <c r="IYU77" s="11"/>
      <c r="IYV77" s="11"/>
      <c r="IZK77" s="11"/>
      <c r="IZL77" s="11"/>
      <c r="JAA77" s="11"/>
      <c r="JAB77" s="11"/>
      <c r="JAQ77" s="11"/>
      <c r="JAR77" s="11"/>
      <c r="JBG77" s="11"/>
      <c r="JBH77" s="11"/>
      <c r="JBW77" s="11"/>
      <c r="JBX77" s="11"/>
      <c r="JCM77" s="11"/>
      <c r="JCN77" s="11"/>
      <c r="JDC77" s="11"/>
      <c r="JDD77" s="11"/>
      <c r="JDS77" s="11"/>
      <c r="JDT77" s="11"/>
      <c r="JEI77" s="11"/>
      <c r="JEJ77" s="11"/>
      <c r="JEY77" s="11"/>
      <c r="JEZ77" s="11"/>
      <c r="JFO77" s="11"/>
      <c r="JFP77" s="11"/>
      <c r="JGE77" s="11"/>
      <c r="JGF77" s="11"/>
      <c r="JGU77" s="11"/>
      <c r="JGV77" s="11"/>
      <c r="JHK77" s="11"/>
      <c r="JHL77" s="11"/>
      <c r="JIA77" s="11"/>
      <c r="JIB77" s="11"/>
      <c r="JIQ77" s="11"/>
      <c r="JIR77" s="11"/>
      <c r="JJG77" s="11"/>
      <c r="JJH77" s="11"/>
      <c r="JJW77" s="11"/>
      <c r="JJX77" s="11"/>
      <c r="JKM77" s="11"/>
      <c r="JKN77" s="11"/>
      <c r="JLC77" s="11"/>
      <c r="JLD77" s="11"/>
      <c r="JLS77" s="11"/>
      <c r="JLT77" s="11"/>
      <c r="JMI77" s="11"/>
      <c r="JMJ77" s="11"/>
      <c r="JMY77" s="11"/>
      <c r="JMZ77" s="11"/>
      <c r="JNO77" s="11"/>
      <c r="JNP77" s="11"/>
      <c r="JOE77" s="11"/>
      <c r="JOF77" s="11"/>
      <c r="JOU77" s="11"/>
      <c r="JOV77" s="11"/>
      <c r="JPK77" s="11"/>
      <c r="JPL77" s="11"/>
      <c r="JQA77" s="11"/>
      <c r="JQB77" s="11"/>
      <c r="JQQ77" s="11"/>
      <c r="JQR77" s="11"/>
      <c r="JRG77" s="11"/>
      <c r="JRH77" s="11"/>
      <c r="JRW77" s="11"/>
      <c r="JRX77" s="11"/>
      <c r="JSM77" s="11"/>
      <c r="JSN77" s="11"/>
      <c r="JTC77" s="11"/>
      <c r="JTD77" s="11"/>
      <c r="JTS77" s="11"/>
      <c r="JTT77" s="11"/>
      <c r="JUI77" s="11"/>
      <c r="JUJ77" s="11"/>
      <c r="JUY77" s="11"/>
      <c r="JUZ77" s="11"/>
      <c r="JVO77" s="11"/>
      <c r="JVP77" s="11"/>
      <c r="JWE77" s="11"/>
      <c r="JWF77" s="11"/>
      <c r="JWU77" s="11"/>
      <c r="JWV77" s="11"/>
      <c r="JXK77" s="11"/>
      <c r="JXL77" s="11"/>
      <c r="JYA77" s="11"/>
      <c r="JYB77" s="11"/>
      <c r="JYQ77" s="11"/>
      <c r="JYR77" s="11"/>
      <c r="JZG77" s="11"/>
      <c r="JZH77" s="11"/>
      <c r="JZW77" s="11"/>
      <c r="JZX77" s="11"/>
      <c r="KAM77" s="11"/>
      <c r="KAN77" s="11"/>
      <c r="KBC77" s="11"/>
      <c r="KBD77" s="11"/>
      <c r="KBS77" s="11"/>
      <c r="KBT77" s="11"/>
      <c r="KCI77" s="11"/>
      <c r="KCJ77" s="11"/>
      <c r="KCY77" s="11"/>
      <c r="KCZ77" s="11"/>
      <c r="KDO77" s="11"/>
      <c r="KDP77" s="11"/>
      <c r="KEE77" s="11"/>
      <c r="KEF77" s="11"/>
      <c r="KEU77" s="11"/>
      <c r="KEV77" s="11"/>
      <c r="KFK77" s="11"/>
      <c r="KFL77" s="11"/>
      <c r="KGA77" s="11"/>
      <c r="KGB77" s="11"/>
      <c r="KGQ77" s="11"/>
      <c r="KGR77" s="11"/>
      <c r="KHG77" s="11"/>
      <c r="KHH77" s="11"/>
      <c r="KHW77" s="11"/>
      <c r="KHX77" s="11"/>
      <c r="KIM77" s="11"/>
      <c r="KIN77" s="11"/>
      <c r="KJC77" s="11"/>
      <c r="KJD77" s="11"/>
      <c r="KJS77" s="11"/>
      <c r="KJT77" s="11"/>
      <c r="KKI77" s="11"/>
      <c r="KKJ77" s="11"/>
      <c r="KKY77" s="11"/>
      <c r="KKZ77" s="11"/>
      <c r="KLO77" s="11"/>
      <c r="KLP77" s="11"/>
      <c r="KME77" s="11"/>
      <c r="KMF77" s="11"/>
      <c r="KMU77" s="11"/>
      <c r="KMV77" s="11"/>
      <c r="KNK77" s="11"/>
      <c r="KNL77" s="11"/>
      <c r="KOA77" s="11"/>
      <c r="KOB77" s="11"/>
      <c r="KOQ77" s="11"/>
      <c r="KOR77" s="11"/>
      <c r="KPG77" s="11"/>
      <c r="KPH77" s="11"/>
      <c r="KPW77" s="11"/>
      <c r="KPX77" s="11"/>
      <c r="KQM77" s="11"/>
      <c r="KQN77" s="11"/>
      <c r="KRC77" s="11"/>
      <c r="KRD77" s="11"/>
      <c r="KRS77" s="11"/>
      <c r="KRT77" s="11"/>
      <c r="KSI77" s="11"/>
      <c r="KSJ77" s="11"/>
      <c r="KSY77" s="11"/>
      <c r="KSZ77" s="11"/>
      <c r="KTO77" s="11"/>
      <c r="KTP77" s="11"/>
      <c r="KUE77" s="11"/>
      <c r="KUF77" s="11"/>
      <c r="KUU77" s="11"/>
      <c r="KUV77" s="11"/>
      <c r="KVK77" s="11"/>
      <c r="KVL77" s="11"/>
      <c r="KWA77" s="11"/>
      <c r="KWB77" s="11"/>
      <c r="KWQ77" s="11"/>
      <c r="KWR77" s="11"/>
      <c r="KXG77" s="11"/>
      <c r="KXH77" s="11"/>
      <c r="KXW77" s="11"/>
      <c r="KXX77" s="11"/>
      <c r="KYM77" s="11"/>
      <c r="KYN77" s="11"/>
      <c r="KZC77" s="11"/>
      <c r="KZD77" s="11"/>
      <c r="KZS77" s="11"/>
      <c r="KZT77" s="11"/>
      <c r="LAI77" s="11"/>
      <c r="LAJ77" s="11"/>
      <c r="LAY77" s="11"/>
      <c r="LAZ77" s="11"/>
      <c r="LBO77" s="11"/>
      <c r="LBP77" s="11"/>
      <c r="LCE77" s="11"/>
      <c r="LCF77" s="11"/>
      <c r="LCU77" s="11"/>
      <c r="LCV77" s="11"/>
      <c r="LDK77" s="11"/>
      <c r="LDL77" s="11"/>
      <c r="LEA77" s="11"/>
      <c r="LEB77" s="11"/>
      <c r="LEQ77" s="11"/>
      <c r="LER77" s="11"/>
      <c r="LFG77" s="11"/>
      <c r="LFH77" s="11"/>
      <c r="LFW77" s="11"/>
      <c r="LFX77" s="11"/>
      <c r="LGM77" s="11"/>
      <c r="LGN77" s="11"/>
      <c r="LHC77" s="11"/>
      <c r="LHD77" s="11"/>
      <c r="LHS77" s="11"/>
      <c r="LHT77" s="11"/>
      <c r="LII77" s="11"/>
      <c r="LIJ77" s="11"/>
      <c r="LIY77" s="11"/>
      <c r="LIZ77" s="11"/>
      <c r="LJO77" s="11"/>
      <c r="LJP77" s="11"/>
      <c r="LKE77" s="11"/>
      <c r="LKF77" s="11"/>
      <c r="LKU77" s="11"/>
      <c r="LKV77" s="11"/>
      <c r="LLK77" s="11"/>
      <c r="LLL77" s="11"/>
      <c r="LMA77" s="11"/>
      <c r="LMB77" s="11"/>
      <c r="LMQ77" s="11"/>
      <c r="LMR77" s="11"/>
      <c r="LNG77" s="11"/>
      <c r="LNH77" s="11"/>
      <c r="LNW77" s="11"/>
      <c r="LNX77" s="11"/>
      <c r="LOM77" s="11"/>
      <c r="LON77" s="11"/>
      <c r="LPC77" s="11"/>
      <c r="LPD77" s="11"/>
      <c r="LPS77" s="11"/>
      <c r="LPT77" s="11"/>
      <c r="LQI77" s="11"/>
      <c r="LQJ77" s="11"/>
      <c r="LQY77" s="11"/>
      <c r="LQZ77" s="11"/>
      <c r="LRO77" s="11"/>
      <c r="LRP77" s="11"/>
      <c r="LSE77" s="11"/>
      <c r="LSF77" s="11"/>
      <c r="LSU77" s="11"/>
      <c r="LSV77" s="11"/>
      <c r="LTK77" s="11"/>
      <c r="LTL77" s="11"/>
      <c r="LUA77" s="11"/>
      <c r="LUB77" s="11"/>
      <c r="LUQ77" s="11"/>
      <c r="LUR77" s="11"/>
      <c r="LVG77" s="11"/>
      <c r="LVH77" s="11"/>
      <c r="LVW77" s="11"/>
      <c r="LVX77" s="11"/>
      <c r="LWM77" s="11"/>
      <c r="LWN77" s="11"/>
      <c r="LXC77" s="11"/>
      <c r="LXD77" s="11"/>
      <c r="LXS77" s="11"/>
      <c r="LXT77" s="11"/>
      <c r="LYI77" s="11"/>
      <c r="LYJ77" s="11"/>
      <c r="LYY77" s="11"/>
      <c r="LYZ77" s="11"/>
      <c r="LZO77" s="11"/>
      <c r="LZP77" s="11"/>
      <c r="MAE77" s="11"/>
      <c r="MAF77" s="11"/>
      <c r="MAU77" s="11"/>
      <c r="MAV77" s="11"/>
      <c r="MBK77" s="11"/>
      <c r="MBL77" s="11"/>
      <c r="MCA77" s="11"/>
      <c r="MCB77" s="11"/>
      <c r="MCQ77" s="11"/>
      <c r="MCR77" s="11"/>
      <c r="MDG77" s="11"/>
      <c r="MDH77" s="11"/>
      <c r="MDW77" s="11"/>
      <c r="MDX77" s="11"/>
      <c r="MEM77" s="11"/>
      <c r="MEN77" s="11"/>
      <c r="MFC77" s="11"/>
      <c r="MFD77" s="11"/>
      <c r="MFS77" s="11"/>
      <c r="MFT77" s="11"/>
      <c r="MGI77" s="11"/>
      <c r="MGJ77" s="11"/>
      <c r="MGY77" s="11"/>
      <c r="MGZ77" s="11"/>
      <c r="MHO77" s="11"/>
      <c r="MHP77" s="11"/>
      <c r="MIE77" s="11"/>
      <c r="MIF77" s="11"/>
      <c r="MIU77" s="11"/>
      <c r="MIV77" s="11"/>
      <c r="MJK77" s="11"/>
      <c r="MJL77" s="11"/>
      <c r="MKA77" s="11"/>
      <c r="MKB77" s="11"/>
      <c r="MKQ77" s="11"/>
      <c r="MKR77" s="11"/>
      <c r="MLG77" s="11"/>
      <c r="MLH77" s="11"/>
      <c r="MLW77" s="11"/>
      <c r="MLX77" s="11"/>
      <c r="MMM77" s="11"/>
      <c r="MMN77" s="11"/>
      <c r="MNC77" s="11"/>
      <c r="MND77" s="11"/>
      <c r="MNS77" s="11"/>
      <c r="MNT77" s="11"/>
      <c r="MOI77" s="11"/>
      <c r="MOJ77" s="11"/>
      <c r="MOY77" s="11"/>
      <c r="MOZ77" s="11"/>
      <c r="MPO77" s="11"/>
      <c r="MPP77" s="11"/>
      <c r="MQE77" s="11"/>
      <c r="MQF77" s="11"/>
      <c r="MQU77" s="11"/>
      <c r="MQV77" s="11"/>
      <c r="MRK77" s="11"/>
      <c r="MRL77" s="11"/>
      <c r="MSA77" s="11"/>
      <c r="MSB77" s="11"/>
      <c r="MSQ77" s="11"/>
      <c r="MSR77" s="11"/>
      <c r="MTG77" s="11"/>
      <c r="MTH77" s="11"/>
      <c r="MTW77" s="11"/>
      <c r="MTX77" s="11"/>
      <c r="MUM77" s="11"/>
      <c r="MUN77" s="11"/>
      <c r="MVC77" s="11"/>
      <c r="MVD77" s="11"/>
      <c r="MVS77" s="11"/>
      <c r="MVT77" s="11"/>
      <c r="MWI77" s="11"/>
      <c r="MWJ77" s="11"/>
      <c r="MWY77" s="11"/>
      <c r="MWZ77" s="11"/>
      <c r="MXO77" s="11"/>
      <c r="MXP77" s="11"/>
      <c r="MYE77" s="11"/>
      <c r="MYF77" s="11"/>
      <c r="MYU77" s="11"/>
      <c r="MYV77" s="11"/>
      <c r="MZK77" s="11"/>
      <c r="MZL77" s="11"/>
      <c r="NAA77" s="11"/>
      <c r="NAB77" s="11"/>
      <c r="NAQ77" s="11"/>
      <c r="NAR77" s="11"/>
      <c r="NBG77" s="11"/>
      <c r="NBH77" s="11"/>
      <c r="NBW77" s="11"/>
      <c r="NBX77" s="11"/>
      <c r="NCM77" s="11"/>
      <c r="NCN77" s="11"/>
      <c r="NDC77" s="11"/>
      <c r="NDD77" s="11"/>
      <c r="NDS77" s="11"/>
      <c r="NDT77" s="11"/>
      <c r="NEI77" s="11"/>
      <c r="NEJ77" s="11"/>
      <c r="NEY77" s="11"/>
      <c r="NEZ77" s="11"/>
      <c r="NFO77" s="11"/>
      <c r="NFP77" s="11"/>
      <c r="NGE77" s="11"/>
      <c r="NGF77" s="11"/>
      <c r="NGU77" s="11"/>
      <c r="NGV77" s="11"/>
      <c r="NHK77" s="11"/>
      <c r="NHL77" s="11"/>
      <c r="NIA77" s="11"/>
      <c r="NIB77" s="11"/>
      <c r="NIQ77" s="11"/>
      <c r="NIR77" s="11"/>
      <c r="NJG77" s="11"/>
      <c r="NJH77" s="11"/>
      <c r="NJW77" s="11"/>
      <c r="NJX77" s="11"/>
      <c r="NKM77" s="11"/>
      <c r="NKN77" s="11"/>
      <c r="NLC77" s="11"/>
      <c r="NLD77" s="11"/>
      <c r="NLS77" s="11"/>
      <c r="NLT77" s="11"/>
      <c r="NMI77" s="11"/>
      <c r="NMJ77" s="11"/>
      <c r="NMY77" s="11"/>
      <c r="NMZ77" s="11"/>
      <c r="NNO77" s="11"/>
      <c r="NNP77" s="11"/>
      <c r="NOE77" s="11"/>
      <c r="NOF77" s="11"/>
      <c r="NOU77" s="11"/>
      <c r="NOV77" s="11"/>
      <c r="NPK77" s="11"/>
      <c r="NPL77" s="11"/>
      <c r="NQA77" s="11"/>
      <c r="NQB77" s="11"/>
      <c r="NQQ77" s="11"/>
      <c r="NQR77" s="11"/>
      <c r="NRG77" s="11"/>
      <c r="NRH77" s="11"/>
      <c r="NRW77" s="11"/>
      <c r="NRX77" s="11"/>
      <c r="NSM77" s="11"/>
      <c r="NSN77" s="11"/>
      <c r="NTC77" s="11"/>
      <c r="NTD77" s="11"/>
      <c r="NTS77" s="11"/>
      <c r="NTT77" s="11"/>
      <c r="NUI77" s="11"/>
      <c r="NUJ77" s="11"/>
      <c r="NUY77" s="11"/>
      <c r="NUZ77" s="11"/>
      <c r="NVO77" s="11"/>
      <c r="NVP77" s="11"/>
      <c r="NWE77" s="11"/>
      <c r="NWF77" s="11"/>
      <c r="NWU77" s="11"/>
      <c r="NWV77" s="11"/>
      <c r="NXK77" s="11"/>
      <c r="NXL77" s="11"/>
      <c r="NYA77" s="11"/>
      <c r="NYB77" s="11"/>
      <c r="NYQ77" s="11"/>
      <c r="NYR77" s="11"/>
      <c r="NZG77" s="11"/>
      <c r="NZH77" s="11"/>
      <c r="NZW77" s="11"/>
      <c r="NZX77" s="11"/>
      <c r="OAM77" s="11"/>
      <c r="OAN77" s="11"/>
      <c r="OBC77" s="11"/>
      <c r="OBD77" s="11"/>
      <c r="OBS77" s="11"/>
      <c r="OBT77" s="11"/>
      <c r="OCI77" s="11"/>
      <c r="OCJ77" s="11"/>
      <c r="OCY77" s="11"/>
      <c r="OCZ77" s="11"/>
      <c r="ODO77" s="11"/>
      <c r="ODP77" s="11"/>
      <c r="OEE77" s="11"/>
      <c r="OEF77" s="11"/>
      <c r="OEU77" s="11"/>
      <c r="OEV77" s="11"/>
      <c r="OFK77" s="11"/>
      <c r="OFL77" s="11"/>
      <c r="OGA77" s="11"/>
      <c r="OGB77" s="11"/>
      <c r="OGQ77" s="11"/>
      <c r="OGR77" s="11"/>
      <c r="OHG77" s="11"/>
      <c r="OHH77" s="11"/>
      <c r="OHW77" s="11"/>
      <c r="OHX77" s="11"/>
      <c r="OIM77" s="11"/>
      <c r="OIN77" s="11"/>
      <c r="OJC77" s="11"/>
      <c r="OJD77" s="11"/>
      <c r="OJS77" s="11"/>
      <c r="OJT77" s="11"/>
      <c r="OKI77" s="11"/>
      <c r="OKJ77" s="11"/>
      <c r="OKY77" s="11"/>
      <c r="OKZ77" s="11"/>
      <c r="OLO77" s="11"/>
      <c r="OLP77" s="11"/>
      <c r="OME77" s="11"/>
      <c r="OMF77" s="11"/>
      <c r="OMU77" s="11"/>
      <c r="OMV77" s="11"/>
      <c r="ONK77" s="11"/>
      <c r="ONL77" s="11"/>
      <c r="OOA77" s="11"/>
      <c r="OOB77" s="11"/>
      <c r="OOQ77" s="11"/>
      <c r="OOR77" s="11"/>
      <c r="OPG77" s="11"/>
      <c r="OPH77" s="11"/>
      <c r="OPW77" s="11"/>
      <c r="OPX77" s="11"/>
      <c r="OQM77" s="11"/>
      <c r="OQN77" s="11"/>
      <c r="ORC77" s="11"/>
      <c r="ORD77" s="11"/>
      <c r="ORS77" s="11"/>
      <c r="ORT77" s="11"/>
      <c r="OSI77" s="11"/>
      <c r="OSJ77" s="11"/>
      <c r="OSY77" s="11"/>
      <c r="OSZ77" s="11"/>
      <c r="OTO77" s="11"/>
      <c r="OTP77" s="11"/>
      <c r="OUE77" s="11"/>
      <c r="OUF77" s="11"/>
      <c r="OUU77" s="11"/>
      <c r="OUV77" s="11"/>
      <c r="OVK77" s="11"/>
      <c r="OVL77" s="11"/>
      <c r="OWA77" s="11"/>
      <c r="OWB77" s="11"/>
      <c r="OWQ77" s="11"/>
      <c r="OWR77" s="11"/>
      <c r="OXG77" s="11"/>
      <c r="OXH77" s="11"/>
      <c r="OXW77" s="11"/>
      <c r="OXX77" s="11"/>
      <c r="OYM77" s="11"/>
      <c r="OYN77" s="11"/>
      <c r="OZC77" s="11"/>
      <c r="OZD77" s="11"/>
      <c r="OZS77" s="11"/>
      <c r="OZT77" s="11"/>
      <c r="PAI77" s="11"/>
      <c r="PAJ77" s="11"/>
      <c r="PAY77" s="11"/>
      <c r="PAZ77" s="11"/>
      <c r="PBO77" s="11"/>
      <c r="PBP77" s="11"/>
      <c r="PCE77" s="11"/>
      <c r="PCF77" s="11"/>
      <c r="PCU77" s="11"/>
      <c r="PCV77" s="11"/>
      <c r="PDK77" s="11"/>
      <c r="PDL77" s="11"/>
      <c r="PEA77" s="11"/>
      <c r="PEB77" s="11"/>
      <c r="PEQ77" s="11"/>
      <c r="PER77" s="11"/>
      <c r="PFG77" s="11"/>
      <c r="PFH77" s="11"/>
      <c r="PFW77" s="11"/>
      <c r="PFX77" s="11"/>
      <c r="PGM77" s="11"/>
      <c r="PGN77" s="11"/>
      <c r="PHC77" s="11"/>
      <c r="PHD77" s="11"/>
      <c r="PHS77" s="11"/>
      <c r="PHT77" s="11"/>
      <c r="PII77" s="11"/>
      <c r="PIJ77" s="11"/>
      <c r="PIY77" s="11"/>
      <c r="PIZ77" s="11"/>
      <c r="PJO77" s="11"/>
      <c r="PJP77" s="11"/>
      <c r="PKE77" s="11"/>
      <c r="PKF77" s="11"/>
      <c r="PKU77" s="11"/>
      <c r="PKV77" s="11"/>
      <c r="PLK77" s="11"/>
      <c r="PLL77" s="11"/>
      <c r="PMA77" s="11"/>
      <c r="PMB77" s="11"/>
      <c r="PMQ77" s="11"/>
      <c r="PMR77" s="11"/>
      <c r="PNG77" s="11"/>
      <c r="PNH77" s="11"/>
      <c r="PNW77" s="11"/>
      <c r="PNX77" s="11"/>
      <c r="POM77" s="11"/>
      <c r="PON77" s="11"/>
      <c r="PPC77" s="11"/>
      <c r="PPD77" s="11"/>
      <c r="PPS77" s="11"/>
      <c r="PPT77" s="11"/>
      <c r="PQI77" s="11"/>
      <c r="PQJ77" s="11"/>
      <c r="PQY77" s="11"/>
      <c r="PQZ77" s="11"/>
      <c r="PRO77" s="11"/>
      <c r="PRP77" s="11"/>
      <c r="PSE77" s="11"/>
      <c r="PSF77" s="11"/>
      <c r="PSU77" s="11"/>
      <c r="PSV77" s="11"/>
      <c r="PTK77" s="11"/>
      <c r="PTL77" s="11"/>
      <c r="PUA77" s="11"/>
      <c r="PUB77" s="11"/>
      <c r="PUQ77" s="11"/>
      <c r="PUR77" s="11"/>
      <c r="PVG77" s="11"/>
      <c r="PVH77" s="11"/>
      <c r="PVW77" s="11"/>
      <c r="PVX77" s="11"/>
      <c r="PWM77" s="11"/>
      <c r="PWN77" s="11"/>
      <c r="PXC77" s="11"/>
      <c r="PXD77" s="11"/>
      <c r="PXS77" s="11"/>
      <c r="PXT77" s="11"/>
      <c r="PYI77" s="11"/>
      <c r="PYJ77" s="11"/>
      <c r="PYY77" s="11"/>
      <c r="PYZ77" s="11"/>
      <c r="PZO77" s="11"/>
      <c r="PZP77" s="11"/>
      <c r="QAE77" s="11"/>
      <c r="QAF77" s="11"/>
      <c r="QAU77" s="11"/>
      <c r="QAV77" s="11"/>
      <c r="QBK77" s="11"/>
      <c r="QBL77" s="11"/>
      <c r="QCA77" s="11"/>
      <c r="QCB77" s="11"/>
      <c r="QCQ77" s="11"/>
      <c r="QCR77" s="11"/>
      <c r="QDG77" s="11"/>
      <c r="QDH77" s="11"/>
      <c r="QDW77" s="11"/>
      <c r="QDX77" s="11"/>
      <c r="QEM77" s="11"/>
      <c r="QEN77" s="11"/>
      <c r="QFC77" s="11"/>
      <c r="QFD77" s="11"/>
      <c r="QFS77" s="11"/>
      <c r="QFT77" s="11"/>
      <c r="QGI77" s="11"/>
      <c r="QGJ77" s="11"/>
      <c r="QGY77" s="11"/>
      <c r="QGZ77" s="11"/>
      <c r="QHO77" s="11"/>
      <c r="QHP77" s="11"/>
      <c r="QIE77" s="11"/>
      <c r="QIF77" s="11"/>
      <c r="QIU77" s="11"/>
      <c r="QIV77" s="11"/>
      <c r="QJK77" s="11"/>
      <c r="QJL77" s="11"/>
      <c r="QKA77" s="11"/>
      <c r="QKB77" s="11"/>
      <c r="QKQ77" s="11"/>
      <c r="QKR77" s="11"/>
      <c r="QLG77" s="11"/>
      <c r="QLH77" s="11"/>
      <c r="QLW77" s="11"/>
      <c r="QLX77" s="11"/>
      <c r="QMM77" s="11"/>
      <c r="QMN77" s="11"/>
      <c r="QNC77" s="11"/>
      <c r="QND77" s="11"/>
      <c r="QNS77" s="11"/>
      <c r="QNT77" s="11"/>
      <c r="QOI77" s="11"/>
      <c r="QOJ77" s="11"/>
      <c r="QOY77" s="11"/>
      <c r="QOZ77" s="11"/>
      <c r="QPO77" s="11"/>
      <c r="QPP77" s="11"/>
      <c r="QQE77" s="11"/>
      <c r="QQF77" s="11"/>
      <c r="QQU77" s="11"/>
      <c r="QQV77" s="11"/>
      <c r="QRK77" s="11"/>
      <c r="QRL77" s="11"/>
      <c r="QSA77" s="11"/>
      <c r="QSB77" s="11"/>
      <c r="QSQ77" s="11"/>
      <c r="QSR77" s="11"/>
      <c r="QTG77" s="11"/>
      <c r="QTH77" s="11"/>
      <c r="QTW77" s="11"/>
      <c r="QTX77" s="11"/>
      <c r="QUM77" s="11"/>
      <c r="QUN77" s="11"/>
      <c r="QVC77" s="11"/>
      <c r="QVD77" s="11"/>
      <c r="QVS77" s="11"/>
      <c r="QVT77" s="11"/>
      <c r="QWI77" s="11"/>
      <c r="QWJ77" s="11"/>
      <c r="QWY77" s="11"/>
      <c r="QWZ77" s="11"/>
      <c r="QXO77" s="11"/>
      <c r="QXP77" s="11"/>
      <c r="QYE77" s="11"/>
      <c r="QYF77" s="11"/>
      <c r="QYU77" s="11"/>
      <c r="QYV77" s="11"/>
      <c r="QZK77" s="11"/>
      <c r="QZL77" s="11"/>
      <c r="RAA77" s="11"/>
      <c r="RAB77" s="11"/>
      <c r="RAQ77" s="11"/>
      <c r="RAR77" s="11"/>
      <c r="RBG77" s="11"/>
      <c r="RBH77" s="11"/>
      <c r="RBW77" s="11"/>
      <c r="RBX77" s="11"/>
      <c r="RCM77" s="11"/>
      <c r="RCN77" s="11"/>
      <c r="RDC77" s="11"/>
      <c r="RDD77" s="11"/>
      <c r="RDS77" s="11"/>
      <c r="RDT77" s="11"/>
      <c r="REI77" s="11"/>
      <c r="REJ77" s="11"/>
      <c r="REY77" s="11"/>
      <c r="REZ77" s="11"/>
      <c r="RFO77" s="11"/>
      <c r="RFP77" s="11"/>
      <c r="RGE77" s="11"/>
      <c r="RGF77" s="11"/>
      <c r="RGU77" s="11"/>
      <c r="RGV77" s="11"/>
      <c r="RHK77" s="11"/>
      <c r="RHL77" s="11"/>
      <c r="RIA77" s="11"/>
      <c r="RIB77" s="11"/>
      <c r="RIQ77" s="11"/>
      <c r="RIR77" s="11"/>
      <c r="RJG77" s="11"/>
      <c r="RJH77" s="11"/>
      <c r="RJW77" s="11"/>
      <c r="RJX77" s="11"/>
      <c r="RKM77" s="11"/>
      <c r="RKN77" s="11"/>
      <c r="RLC77" s="11"/>
      <c r="RLD77" s="11"/>
      <c r="RLS77" s="11"/>
      <c r="RLT77" s="11"/>
      <c r="RMI77" s="11"/>
      <c r="RMJ77" s="11"/>
      <c r="RMY77" s="11"/>
      <c r="RMZ77" s="11"/>
      <c r="RNO77" s="11"/>
      <c r="RNP77" s="11"/>
      <c r="ROE77" s="11"/>
      <c r="ROF77" s="11"/>
      <c r="ROU77" s="11"/>
      <c r="ROV77" s="11"/>
      <c r="RPK77" s="11"/>
      <c r="RPL77" s="11"/>
      <c r="RQA77" s="11"/>
      <c r="RQB77" s="11"/>
      <c r="RQQ77" s="11"/>
      <c r="RQR77" s="11"/>
      <c r="RRG77" s="11"/>
      <c r="RRH77" s="11"/>
      <c r="RRW77" s="11"/>
      <c r="RRX77" s="11"/>
      <c r="RSM77" s="11"/>
      <c r="RSN77" s="11"/>
      <c r="RTC77" s="11"/>
      <c r="RTD77" s="11"/>
      <c r="RTS77" s="11"/>
      <c r="RTT77" s="11"/>
      <c r="RUI77" s="11"/>
      <c r="RUJ77" s="11"/>
      <c r="RUY77" s="11"/>
      <c r="RUZ77" s="11"/>
      <c r="RVO77" s="11"/>
      <c r="RVP77" s="11"/>
      <c r="RWE77" s="11"/>
      <c r="RWF77" s="11"/>
      <c r="RWU77" s="11"/>
      <c r="RWV77" s="11"/>
      <c r="RXK77" s="11"/>
      <c r="RXL77" s="11"/>
      <c r="RYA77" s="11"/>
      <c r="RYB77" s="11"/>
      <c r="RYQ77" s="11"/>
      <c r="RYR77" s="11"/>
      <c r="RZG77" s="11"/>
      <c r="RZH77" s="11"/>
      <c r="RZW77" s="11"/>
      <c r="RZX77" s="11"/>
      <c r="SAM77" s="11"/>
      <c r="SAN77" s="11"/>
      <c r="SBC77" s="11"/>
      <c r="SBD77" s="11"/>
      <c r="SBS77" s="11"/>
      <c r="SBT77" s="11"/>
      <c r="SCI77" s="11"/>
      <c r="SCJ77" s="11"/>
      <c r="SCY77" s="11"/>
      <c r="SCZ77" s="11"/>
      <c r="SDO77" s="11"/>
      <c r="SDP77" s="11"/>
      <c r="SEE77" s="11"/>
      <c r="SEF77" s="11"/>
      <c r="SEU77" s="11"/>
      <c r="SEV77" s="11"/>
      <c r="SFK77" s="11"/>
      <c r="SFL77" s="11"/>
      <c r="SGA77" s="11"/>
      <c r="SGB77" s="11"/>
      <c r="SGQ77" s="11"/>
      <c r="SGR77" s="11"/>
      <c r="SHG77" s="11"/>
      <c r="SHH77" s="11"/>
      <c r="SHW77" s="11"/>
      <c r="SHX77" s="11"/>
      <c r="SIM77" s="11"/>
      <c r="SIN77" s="11"/>
      <c r="SJC77" s="11"/>
      <c r="SJD77" s="11"/>
      <c r="SJS77" s="11"/>
      <c r="SJT77" s="11"/>
      <c r="SKI77" s="11"/>
      <c r="SKJ77" s="11"/>
      <c r="SKY77" s="11"/>
      <c r="SKZ77" s="11"/>
      <c r="SLO77" s="11"/>
      <c r="SLP77" s="11"/>
      <c r="SME77" s="11"/>
      <c r="SMF77" s="11"/>
      <c r="SMU77" s="11"/>
      <c r="SMV77" s="11"/>
      <c r="SNK77" s="11"/>
      <c r="SNL77" s="11"/>
      <c r="SOA77" s="11"/>
      <c r="SOB77" s="11"/>
      <c r="SOQ77" s="11"/>
      <c r="SOR77" s="11"/>
      <c r="SPG77" s="11"/>
      <c r="SPH77" s="11"/>
      <c r="SPW77" s="11"/>
      <c r="SPX77" s="11"/>
      <c r="SQM77" s="11"/>
      <c r="SQN77" s="11"/>
      <c r="SRC77" s="11"/>
      <c r="SRD77" s="11"/>
      <c r="SRS77" s="11"/>
      <c r="SRT77" s="11"/>
      <c r="SSI77" s="11"/>
      <c r="SSJ77" s="11"/>
      <c r="SSY77" s="11"/>
      <c r="SSZ77" s="11"/>
      <c r="STO77" s="11"/>
      <c r="STP77" s="11"/>
      <c r="SUE77" s="11"/>
      <c r="SUF77" s="11"/>
      <c r="SUU77" s="11"/>
      <c r="SUV77" s="11"/>
      <c r="SVK77" s="11"/>
      <c r="SVL77" s="11"/>
      <c r="SWA77" s="11"/>
      <c r="SWB77" s="11"/>
      <c r="SWQ77" s="11"/>
      <c r="SWR77" s="11"/>
      <c r="SXG77" s="11"/>
      <c r="SXH77" s="11"/>
      <c r="SXW77" s="11"/>
      <c r="SXX77" s="11"/>
      <c r="SYM77" s="11"/>
      <c r="SYN77" s="11"/>
      <c r="SZC77" s="11"/>
      <c r="SZD77" s="11"/>
      <c r="SZS77" s="11"/>
      <c r="SZT77" s="11"/>
      <c r="TAI77" s="11"/>
      <c r="TAJ77" s="11"/>
      <c r="TAY77" s="11"/>
      <c r="TAZ77" s="11"/>
      <c r="TBO77" s="11"/>
      <c r="TBP77" s="11"/>
      <c r="TCE77" s="11"/>
      <c r="TCF77" s="11"/>
      <c r="TCU77" s="11"/>
      <c r="TCV77" s="11"/>
      <c r="TDK77" s="11"/>
      <c r="TDL77" s="11"/>
      <c r="TEA77" s="11"/>
      <c r="TEB77" s="11"/>
      <c r="TEQ77" s="11"/>
      <c r="TER77" s="11"/>
      <c r="TFG77" s="11"/>
      <c r="TFH77" s="11"/>
      <c r="TFW77" s="11"/>
      <c r="TFX77" s="11"/>
      <c r="TGM77" s="11"/>
      <c r="TGN77" s="11"/>
      <c r="THC77" s="11"/>
      <c r="THD77" s="11"/>
      <c r="THS77" s="11"/>
      <c r="THT77" s="11"/>
      <c r="TII77" s="11"/>
      <c r="TIJ77" s="11"/>
      <c r="TIY77" s="11"/>
      <c r="TIZ77" s="11"/>
      <c r="TJO77" s="11"/>
      <c r="TJP77" s="11"/>
      <c r="TKE77" s="11"/>
      <c r="TKF77" s="11"/>
      <c r="TKU77" s="11"/>
      <c r="TKV77" s="11"/>
      <c r="TLK77" s="11"/>
      <c r="TLL77" s="11"/>
      <c r="TMA77" s="11"/>
      <c r="TMB77" s="11"/>
      <c r="TMQ77" s="11"/>
      <c r="TMR77" s="11"/>
      <c r="TNG77" s="11"/>
      <c r="TNH77" s="11"/>
      <c r="TNW77" s="11"/>
      <c r="TNX77" s="11"/>
      <c r="TOM77" s="11"/>
      <c r="TON77" s="11"/>
      <c r="TPC77" s="11"/>
      <c r="TPD77" s="11"/>
      <c r="TPS77" s="11"/>
      <c r="TPT77" s="11"/>
      <c r="TQI77" s="11"/>
      <c r="TQJ77" s="11"/>
      <c r="TQY77" s="11"/>
      <c r="TQZ77" s="11"/>
      <c r="TRO77" s="11"/>
      <c r="TRP77" s="11"/>
      <c r="TSE77" s="11"/>
      <c r="TSF77" s="11"/>
      <c r="TSU77" s="11"/>
      <c r="TSV77" s="11"/>
      <c r="TTK77" s="11"/>
      <c r="TTL77" s="11"/>
      <c r="TUA77" s="11"/>
      <c r="TUB77" s="11"/>
      <c r="TUQ77" s="11"/>
      <c r="TUR77" s="11"/>
      <c r="TVG77" s="11"/>
      <c r="TVH77" s="11"/>
      <c r="TVW77" s="11"/>
      <c r="TVX77" s="11"/>
      <c r="TWM77" s="11"/>
      <c r="TWN77" s="11"/>
      <c r="TXC77" s="11"/>
      <c r="TXD77" s="11"/>
      <c r="TXS77" s="11"/>
      <c r="TXT77" s="11"/>
      <c r="TYI77" s="11"/>
      <c r="TYJ77" s="11"/>
      <c r="TYY77" s="11"/>
      <c r="TYZ77" s="11"/>
      <c r="TZO77" s="11"/>
      <c r="TZP77" s="11"/>
      <c r="UAE77" s="11"/>
      <c r="UAF77" s="11"/>
      <c r="UAU77" s="11"/>
      <c r="UAV77" s="11"/>
      <c r="UBK77" s="11"/>
      <c r="UBL77" s="11"/>
      <c r="UCA77" s="11"/>
      <c r="UCB77" s="11"/>
      <c r="UCQ77" s="11"/>
      <c r="UCR77" s="11"/>
      <c r="UDG77" s="11"/>
      <c r="UDH77" s="11"/>
      <c r="UDW77" s="11"/>
      <c r="UDX77" s="11"/>
      <c r="UEM77" s="11"/>
      <c r="UEN77" s="11"/>
      <c r="UFC77" s="11"/>
      <c r="UFD77" s="11"/>
      <c r="UFS77" s="11"/>
      <c r="UFT77" s="11"/>
      <c r="UGI77" s="11"/>
      <c r="UGJ77" s="11"/>
      <c r="UGY77" s="11"/>
      <c r="UGZ77" s="11"/>
      <c r="UHO77" s="11"/>
      <c r="UHP77" s="11"/>
      <c r="UIE77" s="11"/>
      <c r="UIF77" s="11"/>
      <c r="UIU77" s="11"/>
      <c r="UIV77" s="11"/>
      <c r="UJK77" s="11"/>
      <c r="UJL77" s="11"/>
      <c r="UKA77" s="11"/>
      <c r="UKB77" s="11"/>
      <c r="UKQ77" s="11"/>
      <c r="UKR77" s="11"/>
      <c r="ULG77" s="11"/>
      <c r="ULH77" s="11"/>
      <c r="ULW77" s="11"/>
      <c r="ULX77" s="11"/>
      <c r="UMM77" s="11"/>
      <c r="UMN77" s="11"/>
      <c r="UNC77" s="11"/>
      <c r="UND77" s="11"/>
      <c r="UNS77" s="11"/>
      <c r="UNT77" s="11"/>
      <c r="UOI77" s="11"/>
      <c r="UOJ77" s="11"/>
      <c r="UOY77" s="11"/>
      <c r="UOZ77" s="11"/>
      <c r="UPO77" s="11"/>
      <c r="UPP77" s="11"/>
      <c r="UQE77" s="11"/>
      <c r="UQF77" s="11"/>
      <c r="UQU77" s="11"/>
      <c r="UQV77" s="11"/>
      <c r="URK77" s="11"/>
      <c r="URL77" s="11"/>
      <c r="USA77" s="11"/>
      <c r="USB77" s="11"/>
      <c r="USQ77" s="11"/>
      <c r="USR77" s="11"/>
      <c r="UTG77" s="11"/>
      <c r="UTH77" s="11"/>
      <c r="UTW77" s="11"/>
      <c r="UTX77" s="11"/>
      <c r="UUM77" s="11"/>
      <c r="UUN77" s="11"/>
      <c r="UVC77" s="11"/>
      <c r="UVD77" s="11"/>
      <c r="UVS77" s="11"/>
      <c r="UVT77" s="11"/>
      <c r="UWI77" s="11"/>
      <c r="UWJ77" s="11"/>
      <c r="UWY77" s="11"/>
      <c r="UWZ77" s="11"/>
      <c r="UXO77" s="11"/>
      <c r="UXP77" s="11"/>
      <c r="UYE77" s="11"/>
      <c r="UYF77" s="11"/>
      <c r="UYU77" s="11"/>
      <c r="UYV77" s="11"/>
      <c r="UZK77" s="11"/>
      <c r="UZL77" s="11"/>
      <c r="VAA77" s="11"/>
      <c r="VAB77" s="11"/>
      <c r="VAQ77" s="11"/>
      <c r="VAR77" s="11"/>
      <c r="VBG77" s="11"/>
      <c r="VBH77" s="11"/>
      <c r="VBW77" s="11"/>
      <c r="VBX77" s="11"/>
      <c r="VCM77" s="11"/>
      <c r="VCN77" s="11"/>
      <c r="VDC77" s="11"/>
      <c r="VDD77" s="11"/>
      <c r="VDS77" s="11"/>
      <c r="VDT77" s="11"/>
      <c r="VEI77" s="11"/>
      <c r="VEJ77" s="11"/>
      <c r="VEY77" s="11"/>
      <c r="VEZ77" s="11"/>
      <c r="VFO77" s="11"/>
      <c r="VFP77" s="11"/>
      <c r="VGE77" s="11"/>
      <c r="VGF77" s="11"/>
      <c r="VGU77" s="11"/>
      <c r="VGV77" s="11"/>
      <c r="VHK77" s="11"/>
      <c r="VHL77" s="11"/>
      <c r="VIA77" s="11"/>
      <c r="VIB77" s="11"/>
      <c r="VIQ77" s="11"/>
      <c r="VIR77" s="11"/>
      <c r="VJG77" s="11"/>
      <c r="VJH77" s="11"/>
      <c r="VJW77" s="11"/>
      <c r="VJX77" s="11"/>
      <c r="VKM77" s="11"/>
      <c r="VKN77" s="11"/>
      <c r="VLC77" s="11"/>
      <c r="VLD77" s="11"/>
      <c r="VLS77" s="11"/>
      <c r="VLT77" s="11"/>
      <c r="VMI77" s="11"/>
      <c r="VMJ77" s="11"/>
      <c r="VMY77" s="11"/>
      <c r="VMZ77" s="11"/>
      <c r="VNO77" s="11"/>
      <c r="VNP77" s="11"/>
      <c r="VOE77" s="11"/>
      <c r="VOF77" s="11"/>
      <c r="VOU77" s="11"/>
      <c r="VOV77" s="11"/>
      <c r="VPK77" s="11"/>
      <c r="VPL77" s="11"/>
      <c r="VQA77" s="11"/>
      <c r="VQB77" s="11"/>
      <c r="VQQ77" s="11"/>
      <c r="VQR77" s="11"/>
      <c r="VRG77" s="11"/>
      <c r="VRH77" s="11"/>
      <c r="VRW77" s="11"/>
      <c r="VRX77" s="11"/>
      <c r="VSM77" s="11"/>
      <c r="VSN77" s="11"/>
      <c r="VTC77" s="11"/>
      <c r="VTD77" s="11"/>
      <c r="VTS77" s="11"/>
      <c r="VTT77" s="11"/>
      <c r="VUI77" s="11"/>
      <c r="VUJ77" s="11"/>
      <c r="VUY77" s="11"/>
      <c r="VUZ77" s="11"/>
      <c r="VVO77" s="11"/>
      <c r="VVP77" s="11"/>
      <c r="VWE77" s="11"/>
      <c r="VWF77" s="11"/>
      <c r="VWU77" s="11"/>
      <c r="VWV77" s="11"/>
      <c r="VXK77" s="11"/>
      <c r="VXL77" s="11"/>
      <c r="VYA77" s="11"/>
      <c r="VYB77" s="11"/>
      <c r="VYQ77" s="11"/>
      <c r="VYR77" s="11"/>
      <c r="VZG77" s="11"/>
      <c r="VZH77" s="11"/>
      <c r="VZW77" s="11"/>
      <c r="VZX77" s="11"/>
      <c r="WAM77" s="11"/>
      <c r="WAN77" s="11"/>
      <c r="WBC77" s="11"/>
      <c r="WBD77" s="11"/>
      <c r="WBS77" s="11"/>
      <c r="WBT77" s="11"/>
      <c r="WCI77" s="11"/>
      <c r="WCJ77" s="11"/>
      <c r="WCY77" s="11"/>
      <c r="WCZ77" s="11"/>
      <c r="WDO77" s="11"/>
      <c r="WDP77" s="11"/>
      <c r="WEE77" s="11"/>
      <c r="WEF77" s="11"/>
      <c r="WEU77" s="11"/>
      <c r="WEV77" s="11"/>
      <c r="WFK77" s="11"/>
      <c r="WFL77" s="11"/>
      <c r="WGA77" s="11"/>
      <c r="WGB77" s="11"/>
      <c r="WGQ77" s="11"/>
      <c r="WGR77" s="11"/>
      <c r="WHG77" s="11"/>
      <c r="WHH77" s="11"/>
      <c r="WHW77" s="11"/>
      <c r="WHX77" s="11"/>
      <c r="WIM77" s="11"/>
      <c r="WIN77" s="11"/>
      <c r="WJC77" s="11"/>
      <c r="WJD77" s="11"/>
      <c r="WJS77" s="11"/>
      <c r="WJT77" s="11"/>
      <c r="WKI77" s="11"/>
      <c r="WKJ77" s="11"/>
      <c r="WKY77" s="11"/>
      <c r="WKZ77" s="11"/>
      <c r="WLO77" s="11"/>
      <c r="WLP77" s="11"/>
      <c r="WME77" s="11"/>
      <c r="WMF77" s="11"/>
      <c r="WMU77" s="11"/>
      <c r="WMV77" s="11"/>
      <c r="WNK77" s="11"/>
      <c r="WNL77" s="11"/>
      <c r="WOA77" s="11"/>
      <c r="WOB77" s="11"/>
      <c r="WOQ77" s="11"/>
      <c r="WOR77" s="11"/>
      <c r="WPG77" s="11"/>
      <c r="WPH77" s="11"/>
      <c r="WPW77" s="11"/>
      <c r="WPX77" s="11"/>
      <c r="WQM77" s="11"/>
      <c r="WQN77" s="11"/>
      <c r="WRC77" s="11"/>
      <c r="WRD77" s="11"/>
      <c r="WRS77" s="11"/>
      <c r="WRT77" s="11"/>
      <c r="WSI77" s="11"/>
      <c r="WSJ77" s="11"/>
      <c r="WSY77" s="11"/>
      <c r="WSZ77" s="11"/>
      <c r="WTO77" s="11"/>
      <c r="WTP77" s="11"/>
      <c r="WUE77" s="11"/>
      <c r="WUF77" s="11"/>
      <c r="WUU77" s="11"/>
      <c r="WUV77" s="11"/>
      <c r="WVK77" s="11"/>
      <c r="WVL77" s="11"/>
      <c r="WWA77" s="11"/>
      <c r="WWB77" s="11"/>
      <c r="WWQ77" s="11"/>
      <c r="WWR77" s="11"/>
      <c r="WXG77" s="11"/>
      <c r="WXH77" s="11"/>
      <c r="WXW77" s="11"/>
      <c r="WXX77" s="11"/>
      <c r="WYM77" s="11"/>
      <c r="WYN77" s="11"/>
      <c r="WZC77" s="11"/>
      <c r="WZD77" s="11"/>
      <c r="WZS77" s="11"/>
      <c r="WZT77" s="11"/>
      <c r="XAI77" s="11"/>
      <c r="XAJ77" s="11"/>
      <c r="XAY77" s="11"/>
      <c r="XAZ77" s="11"/>
      <c r="XBO77" s="11"/>
      <c r="XBP77" s="11"/>
      <c r="XCE77" s="11"/>
      <c r="XCF77" s="11"/>
      <c r="XCU77" s="11"/>
      <c r="XCV77" s="11"/>
      <c r="XDK77" s="11"/>
      <c r="XDL77" s="11"/>
      <c r="XEA77" s="11"/>
      <c r="XEB77" s="11"/>
      <c r="XEQ77" s="11"/>
      <c r="XER77" s="11"/>
    </row>
    <row r="78" spans="2:1012 1027:2036 2051:3060 3075:4084 4099:5108 5123:6132 6147:7156 7171:8180 8195:9204 9219:10228 10243:11252 11267:12276 12291:13300 13315:14324 14339:15348 15363:16372" ht="15" customHeight="1" thickBot="1" x14ac:dyDescent="0.3">
      <c r="B78" s="389"/>
      <c r="C78" s="390"/>
      <c r="D78" s="391"/>
      <c r="E78" s="391"/>
      <c r="F78" s="390"/>
      <c r="G78" s="390"/>
      <c r="H78" s="390"/>
      <c r="I78" s="392"/>
      <c r="J78" s="393"/>
      <c r="K78" s="390"/>
      <c r="L78" s="390"/>
      <c r="M78" s="394"/>
      <c r="N78" s="395"/>
      <c r="O78" s="14"/>
      <c r="Q78" s="349"/>
      <c r="R78" s="349"/>
    </row>
    <row r="79" spans="2:1012 1027:2036 2051:3060 3075:4084 4099:5108 5123:6132 6147:7156 7171:8180 8195:9204 9219:10228 10243:11252 11267:12276 12291:13300 13315:14324 14339:15348 15363:16372" ht="22.5" thickTop="1" thickBot="1" x14ac:dyDescent="0.3">
      <c r="B79" s="422" t="s">
        <v>82</v>
      </c>
      <c r="C79" s="423" t="s">
        <v>127</v>
      </c>
      <c r="D79" s="415"/>
      <c r="E79" s="415"/>
      <c r="F79" s="416"/>
      <c r="G79" s="417"/>
      <c r="H79" s="416"/>
      <c r="I79" s="418"/>
      <c r="J79" s="419"/>
      <c r="K79" s="416"/>
      <c r="L79" s="416"/>
      <c r="M79" s="420"/>
      <c r="N79" s="421"/>
      <c r="Q79" s="349"/>
      <c r="R79" s="349"/>
    </row>
    <row r="80" spans="2:1012 1027:2036 2051:3060 3075:4084 4099:5108 5123:6132 6147:7156 7171:8180 8195:9204 9219:10228 10243:11252 11267:12276 12291:13300 13315:14324 14339:15348 15363:16372" ht="21.75" thickTop="1" x14ac:dyDescent="0.25">
      <c r="B80" s="144"/>
      <c r="C80" s="222"/>
      <c r="F80" s="56"/>
      <c r="H80" s="56"/>
      <c r="I80" s="82"/>
      <c r="J80" s="51"/>
      <c r="K80" s="52"/>
      <c r="L80" s="56"/>
      <c r="M80" s="84"/>
      <c r="N80" s="88"/>
      <c r="Q80" s="349"/>
      <c r="R80" s="349"/>
    </row>
    <row r="81" spans="2:18" s="43" customFormat="1" ht="15" customHeight="1" x14ac:dyDescent="0.25">
      <c r="B81" s="126" t="str">
        <f>IF('Fixtures + Piping computation'!C7&gt;0,'Fixtures + Piping computation'!B7 &amp; " (" &amp;'Fixtures + Piping computation'!C7 &amp; ")",'Fixtures + Piping computation'!C7)</f>
        <v>Water Closet (22558)</v>
      </c>
      <c r="C81" s="49" t="s">
        <v>685</v>
      </c>
      <c r="D81" s="11" t="s">
        <v>46</v>
      </c>
      <c r="E81" s="11" t="s">
        <v>46</v>
      </c>
      <c r="F81" s="110">
        <f>'Fixtures + Piping computation'!D162</f>
        <v>2</v>
      </c>
      <c r="H81" s="161">
        <v>2.8</v>
      </c>
      <c r="I81" s="159">
        <f t="shared" ref="I81" si="54">(F81+G81)*H81</f>
        <v>5.6</v>
      </c>
      <c r="J81" s="160">
        <f>I81*Summary!$H$4</f>
        <v>965.99999999999989</v>
      </c>
      <c r="K81" s="161"/>
      <c r="L81" s="110">
        <f>'Pricing Master Sheet'!E8</f>
        <v>0</v>
      </c>
      <c r="M81" s="162">
        <f t="shared" ref="M81" si="55">((F81+G81)*K81)+((F81+G81)*L81)</f>
        <v>0</v>
      </c>
      <c r="N81" s="163">
        <f>M81+J81</f>
        <v>965.99999999999989</v>
      </c>
      <c r="Q81" s="349"/>
      <c r="R81" s="349"/>
    </row>
    <row r="82" spans="2:18" s="43" customFormat="1" ht="15" customHeight="1" x14ac:dyDescent="0.25">
      <c r="B82" s="164" t="s">
        <v>134</v>
      </c>
      <c r="C82" s="49"/>
      <c r="D82" s="11"/>
      <c r="E82" s="11"/>
      <c r="F82" s="110"/>
      <c r="H82" s="161"/>
      <c r="I82" s="159"/>
      <c r="J82" s="160"/>
      <c r="K82" s="161"/>
      <c r="L82" s="110"/>
      <c r="M82" s="162"/>
      <c r="N82" s="163"/>
      <c r="Q82" s="349"/>
      <c r="R82" s="349"/>
    </row>
    <row r="83" spans="2:18" s="43" customFormat="1" ht="15" customHeight="1" x14ac:dyDescent="0.25">
      <c r="B83" s="133" t="s">
        <v>672</v>
      </c>
      <c r="C83" s="49" t="s">
        <v>686</v>
      </c>
      <c r="D83" s="11" t="s">
        <v>46</v>
      </c>
      <c r="E83" s="11" t="s">
        <v>46</v>
      </c>
      <c r="F83" s="110">
        <f>F81</f>
        <v>2</v>
      </c>
      <c r="H83" s="161"/>
      <c r="I83" s="159"/>
      <c r="J83" s="160"/>
      <c r="K83" s="161"/>
      <c r="L83" s="110"/>
      <c r="M83" s="162">
        <f t="shared" ref="M83:M86" si="56">((F83+G83)*K83)+((F83+G83)*L83)</f>
        <v>0</v>
      </c>
      <c r="N83" s="163">
        <f t="shared" ref="N83:N86" si="57">M83+J83</f>
        <v>0</v>
      </c>
      <c r="Q83" s="349"/>
      <c r="R83" s="349"/>
    </row>
    <row r="84" spans="2:18" s="43" customFormat="1" ht="15" customHeight="1" x14ac:dyDescent="0.25">
      <c r="B84" s="133" t="s">
        <v>671</v>
      </c>
      <c r="C84" s="49" t="s">
        <v>687</v>
      </c>
      <c r="D84" s="11" t="s">
        <v>46</v>
      </c>
      <c r="E84" s="11" t="s">
        <v>46</v>
      </c>
      <c r="F84" s="110">
        <f>F81</f>
        <v>2</v>
      </c>
      <c r="H84" s="161"/>
      <c r="I84" s="159"/>
      <c r="J84" s="160"/>
      <c r="K84" s="161"/>
      <c r="L84" s="110"/>
      <c r="M84" s="162">
        <f t="shared" si="56"/>
        <v>0</v>
      </c>
      <c r="N84" s="163">
        <f t="shared" si="57"/>
        <v>0</v>
      </c>
      <c r="Q84" s="349"/>
      <c r="R84" s="349"/>
    </row>
    <row r="85" spans="2:18" s="43" customFormat="1" ht="15" customHeight="1" x14ac:dyDescent="0.25">
      <c r="B85" s="133" t="s">
        <v>1026</v>
      </c>
      <c r="C85" s="49"/>
      <c r="D85" s="11" t="s">
        <v>46</v>
      </c>
      <c r="E85" s="11" t="s">
        <v>46</v>
      </c>
      <c r="F85" s="110">
        <f>F81</f>
        <v>2</v>
      </c>
      <c r="H85" s="110"/>
      <c r="I85" s="159"/>
      <c r="J85" s="160"/>
      <c r="K85" s="161"/>
      <c r="L85" s="110"/>
      <c r="M85" s="162">
        <f t="shared" si="56"/>
        <v>0</v>
      </c>
      <c r="N85" s="163">
        <f t="shared" si="57"/>
        <v>0</v>
      </c>
      <c r="Q85" s="349"/>
      <c r="R85" s="349"/>
    </row>
    <row r="86" spans="2:18" s="43" customFormat="1" ht="15" customHeight="1" x14ac:dyDescent="0.25">
      <c r="B86" s="133" t="s">
        <v>853</v>
      </c>
      <c r="C86" s="109" t="s">
        <v>839</v>
      </c>
      <c r="D86" s="11" t="s">
        <v>46</v>
      </c>
      <c r="E86" s="11" t="s">
        <v>46</v>
      </c>
      <c r="F86" s="110">
        <f>F81</f>
        <v>2</v>
      </c>
      <c r="H86" s="161"/>
      <c r="I86" s="159"/>
      <c r="J86" s="160"/>
      <c r="K86" s="161"/>
      <c r="L86" s="110"/>
      <c r="M86" s="162">
        <f t="shared" si="56"/>
        <v>0</v>
      </c>
      <c r="N86" s="163">
        <f t="shared" si="57"/>
        <v>0</v>
      </c>
      <c r="Q86" s="349"/>
      <c r="R86" s="349"/>
    </row>
    <row r="87" spans="2:18" s="43" customFormat="1" ht="15" customHeight="1" x14ac:dyDescent="0.25">
      <c r="B87" s="126"/>
      <c r="C87" s="49"/>
      <c r="D87" s="11"/>
      <c r="E87" s="11"/>
      <c r="F87" s="110"/>
      <c r="H87" s="161"/>
      <c r="I87" s="159"/>
      <c r="J87" s="160"/>
      <c r="K87" s="161"/>
      <c r="L87" s="110"/>
      <c r="M87" s="162"/>
      <c r="N87" s="163"/>
      <c r="Q87" s="349"/>
      <c r="R87" s="349"/>
    </row>
    <row r="88" spans="2:18" s="43" customFormat="1" ht="15" customHeight="1" x14ac:dyDescent="0.25">
      <c r="B88" s="126" t="str">
        <f>IF('Fixtures + Piping computation'!C8&gt;0,'Fixtures + Piping computation'!B8 &amp; " (" &amp;'Fixtures + Piping computation'!C8 &amp; ")",'Fixtures + Piping computation'!C8)</f>
        <v>Mop Sink (10995 /10922 (OSM))</v>
      </c>
      <c r="C88" s="568" t="s">
        <v>840</v>
      </c>
      <c r="D88" s="11" t="s">
        <v>828</v>
      </c>
      <c r="E88" s="11" t="s">
        <v>46</v>
      </c>
      <c r="F88" s="110">
        <f>'Fixtures + Piping computation'!D163</f>
        <v>1</v>
      </c>
      <c r="H88" s="161">
        <v>2.65</v>
      </c>
      <c r="I88" s="159">
        <f t="shared" ref="I88:I123" si="58">(F88+G88)*H88</f>
        <v>2.65</v>
      </c>
      <c r="J88" s="160">
        <f>I88*Summary!$H$4</f>
        <v>457.125</v>
      </c>
      <c r="K88" s="161"/>
      <c r="L88" s="110">
        <f>'Pricing Master Sheet'!E15</f>
        <v>0</v>
      </c>
      <c r="M88" s="162">
        <f t="shared" ref="M88:M123" si="59">((F88+G88)*K88)+((F88+G88)*L88)</f>
        <v>0</v>
      </c>
      <c r="N88" s="163">
        <f t="shared" ref="N88:N123" si="60">M88+J88</f>
        <v>457.125</v>
      </c>
      <c r="Q88" s="349"/>
      <c r="R88" s="349"/>
    </row>
    <row r="89" spans="2:18" s="43" customFormat="1" ht="15" customHeight="1" x14ac:dyDescent="0.25">
      <c r="B89" s="164" t="s">
        <v>134</v>
      </c>
      <c r="C89" s="49"/>
      <c r="D89" s="11"/>
      <c r="E89" s="11"/>
      <c r="F89" s="110"/>
      <c r="H89" s="161"/>
      <c r="I89" s="159"/>
      <c r="J89" s="160"/>
      <c r="K89" s="161"/>
      <c r="L89" s="110"/>
      <c r="M89" s="162"/>
      <c r="N89" s="163"/>
      <c r="Q89" s="349"/>
      <c r="R89" s="349"/>
    </row>
    <row r="90" spans="2:18" s="43" customFormat="1" ht="15" customHeight="1" x14ac:dyDescent="0.25">
      <c r="B90" s="133" t="s">
        <v>851</v>
      </c>
      <c r="C90" s="109" t="s">
        <v>839</v>
      </c>
      <c r="D90" s="11" t="s">
        <v>46</v>
      </c>
      <c r="E90" s="11" t="s">
        <v>46</v>
      </c>
      <c r="F90" s="110">
        <f>F88*2</f>
        <v>2</v>
      </c>
      <c r="H90" s="161"/>
      <c r="I90" s="159"/>
      <c r="J90" s="160"/>
      <c r="K90" s="161"/>
      <c r="L90" s="110"/>
      <c r="M90" s="162">
        <f t="shared" si="59"/>
        <v>0</v>
      </c>
      <c r="N90" s="163">
        <f t="shared" si="60"/>
        <v>0</v>
      </c>
      <c r="Q90" s="349"/>
      <c r="R90" s="349"/>
    </row>
    <row r="91" spans="2:18" s="43" customFormat="1" ht="15" customHeight="1" x14ac:dyDescent="0.25">
      <c r="B91" s="126"/>
      <c r="C91" s="49"/>
      <c r="D91" s="11"/>
      <c r="E91" s="11"/>
      <c r="F91" s="110"/>
      <c r="H91" s="161"/>
      <c r="I91" s="159"/>
      <c r="J91" s="160"/>
      <c r="K91" s="161"/>
      <c r="L91" s="110"/>
      <c r="M91" s="162"/>
      <c r="N91" s="163"/>
      <c r="Q91" s="349"/>
      <c r="R91" s="349"/>
    </row>
    <row r="92" spans="2:18" s="43" customFormat="1" x14ac:dyDescent="0.25">
      <c r="B92" s="126" t="str">
        <f>IF('Fixtures + Piping computation'!C9&gt;0,'Fixtures + Piping computation'!B9 &amp; " (" &amp;'Fixtures + Piping computation'!C9 &amp; ")",'Fixtures + Piping computation'!C9)</f>
        <v>Sink WH (10116 /21352 (OSM))</v>
      </c>
      <c r="C92" s="568" t="s">
        <v>840</v>
      </c>
      <c r="D92" s="11" t="s">
        <v>828</v>
      </c>
      <c r="E92" s="11" t="s">
        <v>46</v>
      </c>
      <c r="F92" s="110">
        <f>'Fixtures + Piping computation'!D164</f>
        <v>2</v>
      </c>
      <c r="H92" s="161">
        <v>2.1</v>
      </c>
      <c r="I92" s="159">
        <f t="shared" si="58"/>
        <v>4.2</v>
      </c>
      <c r="J92" s="160">
        <f>I92*Summary!$H$4</f>
        <v>724.5</v>
      </c>
      <c r="K92" s="161"/>
      <c r="L92" s="110">
        <f>'Pricing Master Sheet'!E15</f>
        <v>0</v>
      </c>
      <c r="M92" s="162">
        <f t="shared" si="59"/>
        <v>0</v>
      </c>
      <c r="N92" s="163">
        <f t="shared" si="60"/>
        <v>724.5</v>
      </c>
      <c r="Q92" s="349"/>
      <c r="R92" s="349"/>
    </row>
    <row r="93" spans="2:18" s="43" customFormat="1" ht="15" customHeight="1" x14ac:dyDescent="0.25">
      <c r="B93" s="164" t="s">
        <v>134</v>
      </c>
      <c r="C93" s="49"/>
      <c r="D93" s="11"/>
      <c r="E93" s="11"/>
      <c r="F93" s="110"/>
      <c r="H93" s="161"/>
      <c r="I93" s="159"/>
      <c r="J93" s="160"/>
      <c r="K93" s="161"/>
      <c r="L93" s="110"/>
      <c r="M93" s="162"/>
      <c r="N93" s="163"/>
      <c r="Q93" s="349"/>
      <c r="R93" s="349"/>
    </row>
    <row r="94" spans="2:18" s="43" customFormat="1" ht="15" customHeight="1" x14ac:dyDescent="0.25">
      <c r="B94" s="133" t="s">
        <v>673</v>
      </c>
      <c r="C94" s="49" t="s">
        <v>692</v>
      </c>
      <c r="D94" s="11" t="s">
        <v>46</v>
      </c>
      <c r="E94" s="11" t="s">
        <v>46</v>
      </c>
      <c r="F94" s="110">
        <f>F92</f>
        <v>2</v>
      </c>
      <c r="H94" s="161"/>
      <c r="I94" s="159"/>
      <c r="J94" s="160"/>
      <c r="K94" s="161"/>
      <c r="L94" s="110"/>
      <c r="M94" s="162">
        <f t="shared" si="59"/>
        <v>0</v>
      </c>
      <c r="N94" s="163">
        <f t="shared" si="60"/>
        <v>0</v>
      </c>
      <c r="Q94" s="349"/>
      <c r="R94" s="349"/>
    </row>
    <row r="95" spans="2:18" s="43" customFormat="1" ht="15" customHeight="1" x14ac:dyDescent="0.25">
      <c r="B95" s="133" t="s">
        <v>851</v>
      </c>
      <c r="C95" s="109" t="s">
        <v>839</v>
      </c>
      <c r="D95" s="11" t="s">
        <v>46</v>
      </c>
      <c r="E95" s="11" t="s">
        <v>46</v>
      </c>
      <c r="F95" s="110">
        <f>F92*2</f>
        <v>4</v>
      </c>
      <c r="H95" s="161"/>
      <c r="I95" s="159"/>
      <c r="J95" s="160"/>
      <c r="K95" s="161"/>
      <c r="L95" s="110"/>
      <c r="M95" s="162">
        <f t="shared" ref="M95" si="61">((F95+G95)*K95)+((F95+G95)*L95)</f>
        <v>0</v>
      </c>
      <c r="N95" s="163">
        <f t="shared" ref="N95" si="62">M95+J95</f>
        <v>0</v>
      </c>
      <c r="Q95" s="349"/>
      <c r="R95" s="349"/>
    </row>
    <row r="96" spans="2:18" s="43" customFormat="1" x14ac:dyDescent="0.25">
      <c r="B96" s="126"/>
      <c r="C96" s="49"/>
      <c r="D96" s="11"/>
      <c r="E96" s="11"/>
      <c r="F96" s="110"/>
      <c r="H96" s="161"/>
      <c r="I96" s="159"/>
      <c r="J96" s="160"/>
      <c r="K96" s="161"/>
      <c r="L96" s="110"/>
      <c r="M96" s="162"/>
      <c r="N96" s="163"/>
      <c r="Q96" s="349"/>
      <c r="R96" s="349"/>
    </row>
    <row r="97" spans="2:18" s="43" customFormat="1" x14ac:dyDescent="0.25">
      <c r="B97" s="126" t="str">
        <f>IF('Fixtures + Piping computation'!C10&gt;0,'Fixtures + Piping computation'!B10 &amp; " (" &amp;'Fixtures + Piping computation'!C10 &amp; ")",'Fixtures + Piping computation'!C10)</f>
        <v>Sink with CTOP rinser (22768 (OSM))</v>
      </c>
      <c r="C97" s="568" t="s">
        <v>840</v>
      </c>
      <c r="D97" s="11" t="s">
        <v>828</v>
      </c>
      <c r="E97" s="11" t="s">
        <v>46</v>
      </c>
      <c r="F97" s="110">
        <f>'Fixtures + Piping computation'!D165</f>
        <v>2</v>
      </c>
      <c r="H97" s="161">
        <v>4</v>
      </c>
      <c r="I97" s="159">
        <f t="shared" si="58"/>
        <v>8</v>
      </c>
      <c r="J97" s="160">
        <f>I97*Summary!$H$4</f>
        <v>1380</v>
      </c>
      <c r="K97" s="161"/>
      <c r="L97" s="110">
        <f>'Pricing Master Sheet'!E48</f>
        <v>0</v>
      </c>
      <c r="M97" s="162">
        <f t="shared" si="59"/>
        <v>0</v>
      </c>
      <c r="N97" s="163">
        <f t="shared" si="60"/>
        <v>1380</v>
      </c>
      <c r="Q97" s="349"/>
      <c r="R97" s="349"/>
    </row>
    <row r="98" spans="2:18" s="43" customFormat="1" x14ac:dyDescent="0.25">
      <c r="B98" s="164" t="s">
        <v>134</v>
      </c>
      <c r="C98" s="49"/>
      <c r="D98" s="11"/>
      <c r="E98" s="11"/>
      <c r="F98" s="110"/>
      <c r="H98" s="161"/>
      <c r="I98" s="159"/>
      <c r="J98" s="160"/>
      <c r="K98" s="161"/>
      <c r="L98" s="110"/>
      <c r="M98" s="162"/>
      <c r="N98" s="163"/>
      <c r="Q98" s="349"/>
      <c r="R98" s="349"/>
    </row>
    <row r="99" spans="2:18" s="43" customFormat="1" x14ac:dyDescent="0.25">
      <c r="B99" s="133" t="str">
        <f>'Fixtures + Piping computation'!C166</f>
        <v>CTOP-F water tower (10153 (OSM))</v>
      </c>
      <c r="C99" s="568" t="s">
        <v>840</v>
      </c>
      <c r="D99" s="11" t="s">
        <v>828</v>
      </c>
      <c r="E99" s="11" t="s">
        <v>46</v>
      </c>
      <c r="F99" s="110">
        <f>'Fixtures + Piping computation'!D166</f>
        <v>2</v>
      </c>
      <c r="H99" s="161"/>
      <c r="I99" s="159"/>
      <c r="J99" s="160"/>
      <c r="K99" s="161"/>
      <c r="L99" s="110"/>
      <c r="M99" s="162">
        <f t="shared" ref="M99" si="63">((F99+G99)*K99)+((F99+G99)*L99)</f>
        <v>0</v>
      </c>
      <c r="N99" s="163">
        <f t="shared" ref="N99" si="64">M99+J99</f>
        <v>0</v>
      </c>
      <c r="Q99" s="349"/>
      <c r="R99" s="349"/>
    </row>
    <row r="100" spans="2:18" s="43" customFormat="1" x14ac:dyDescent="0.25">
      <c r="B100" s="133" t="str">
        <f>'Fixtures + Piping computation'!C167</f>
        <v>CTOP-F metered (11003 (OSM))</v>
      </c>
      <c r="C100" s="568" t="s">
        <v>840</v>
      </c>
      <c r="D100" s="11" t="s">
        <v>828</v>
      </c>
      <c r="E100" s="11" t="s">
        <v>46</v>
      </c>
      <c r="F100" s="110">
        <f>'Fixtures + Piping computation'!D167</f>
        <v>2</v>
      </c>
      <c r="H100" s="161"/>
      <c r="I100" s="159"/>
      <c r="J100" s="160"/>
      <c r="K100" s="161"/>
      <c r="L100" s="110"/>
      <c r="M100" s="162">
        <f t="shared" ref="M100" si="65">((F100+G100)*K100)+((F100+G100)*L100)</f>
        <v>0</v>
      </c>
      <c r="N100" s="163">
        <f t="shared" ref="N100" si="66">M100+J100</f>
        <v>0</v>
      </c>
      <c r="Q100" s="349"/>
      <c r="R100" s="349"/>
    </row>
    <row r="101" spans="2:18" s="43" customFormat="1" x14ac:dyDescent="0.25">
      <c r="B101" s="133" t="str">
        <f>'Fixtures + Piping computation'!C168</f>
        <v>CTOP-F-Insta hot2 (22642 (OSM))</v>
      </c>
      <c r="C101" s="568" t="s">
        <v>840</v>
      </c>
      <c r="D101" s="11" t="s">
        <v>828</v>
      </c>
      <c r="E101" s="11" t="s">
        <v>46</v>
      </c>
      <c r="F101" s="110">
        <f>'Fixtures + Piping computation'!D168</f>
        <v>2</v>
      </c>
      <c r="H101" s="161"/>
      <c r="I101" s="159"/>
      <c r="J101" s="160"/>
      <c r="K101" s="161"/>
      <c r="L101" s="110"/>
      <c r="M101" s="162">
        <f t="shared" ref="M101:M102" si="67">((F101+G101)*K101)+((F101+G101)*L101)</f>
        <v>0</v>
      </c>
      <c r="N101" s="163">
        <f t="shared" ref="N101:N102" si="68">M101+J101</f>
        <v>0</v>
      </c>
      <c r="Q101" s="349"/>
      <c r="R101" s="349"/>
    </row>
    <row r="102" spans="2:18" s="43" customFormat="1" ht="15" customHeight="1" x14ac:dyDescent="0.25">
      <c r="B102" s="133" t="s">
        <v>846</v>
      </c>
      <c r="C102" s="49" t="s">
        <v>287</v>
      </c>
      <c r="D102" s="11" t="s">
        <v>46</v>
      </c>
      <c r="E102" s="11" t="s">
        <v>46</v>
      </c>
      <c r="F102" s="110">
        <f>F97</f>
        <v>2</v>
      </c>
      <c r="H102" s="161"/>
      <c r="I102" s="159"/>
      <c r="J102" s="160"/>
      <c r="K102" s="161"/>
      <c r="L102" s="110"/>
      <c r="M102" s="162">
        <f t="shared" si="67"/>
        <v>0</v>
      </c>
      <c r="N102" s="163">
        <f t="shared" si="68"/>
        <v>0</v>
      </c>
      <c r="Q102" s="349"/>
      <c r="R102" s="349"/>
    </row>
    <row r="103" spans="2:18" s="43" customFormat="1" ht="15" customHeight="1" x14ac:dyDescent="0.25">
      <c r="B103" s="133" t="s">
        <v>851</v>
      </c>
      <c r="C103" s="109" t="s">
        <v>839</v>
      </c>
      <c r="D103" s="11" t="s">
        <v>46</v>
      </c>
      <c r="E103" s="11" t="s">
        <v>46</v>
      </c>
      <c r="F103" s="110">
        <f>F97*2</f>
        <v>4</v>
      </c>
      <c r="H103" s="161"/>
      <c r="I103" s="159"/>
      <c r="J103" s="160"/>
      <c r="K103" s="161"/>
      <c r="L103" s="110"/>
      <c r="M103" s="162">
        <f t="shared" ref="M103" si="69">((F103+G103)*K103)+((F103+G103)*L103)</f>
        <v>0</v>
      </c>
      <c r="N103" s="163">
        <f t="shared" ref="N103" si="70">M103+J103</f>
        <v>0</v>
      </c>
      <c r="Q103" s="349"/>
      <c r="R103" s="349"/>
    </row>
    <row r="104" spans="2:18" s="43" customFormat="1" ht="15" customHeight="1" x14ac:dyDescent="0.25">
      <c r="B104" s="158" t="s">
        <v>829</v>
      </c>
      <c r="C104" s="109" t="s">
        <v>831</v>
      </c>
      <c r="D104" s="11" t="s">
        <v>46</v>
      </c>
      <c r="E104" s="11" t="s">
        <v>46</v>
      </c>
      <c r="F104" s="110">
        <f>F97</f>
        <v>2</v>
      </c>
      <c r="H104" s="161"/>
      <c r="I104" s="159"/>
      <c r="J104" s="160"/>
      <c r="K104" s="161"/>
      <c r="L104" s="110"/>
      <c r="M104" s="162">
        <f t="shared" ref="M104" si="71">((F104+G104)*K104)+((F104+G104)*L104)</f>
        <v>0</v>
      </c>
      <c r="N104" s="163">
        <f t="shared" ref="N104" si="72">M104+J104</f>
        <v>0</v>
      </c>
      <c r="Q104" s="349"/>
      <c r="R104" s="349"/>
    </row>
    <row r="105" spans="2:18" s="43" customFormat="1" x14ac:dyDescent="0.25">
      <c r="B105" s="126"/>
      <c r="C105" s="49"/>
      <c r="D105" s="11"/>
      <c r="E105" s="11"/>
      <c r="F105" s="110"/>
      <c r="H105" s="161"/>
      <c r="I105" s="159"/>
      <c r="J105" s="160"/>
      <c r="K105" s="161"/>
      <c r="L105" s="110"/>
      <c r="M105" s="162"/>
      <c r="N105" s="163"/>
      <c r="Q105" s="349"/>
      <c r="R105" s="349"/>
    </row>
    <row r="106" spans="2:18" s="43" customFormat="1" x14ac:dyDescent="0.25">
      <c r="B106" s="126" t="str">
        <f>IF('Fixtures + Piping computation'!C14&gt;0,'Fixtures + Piping computation'!B14 &amp; " (" &amp;'Fixtures + Piping computation'!C14 &amp; ")",'Fixtures + Piping computation'!C14)</f>
        <v>Sink-hand w/ side splash (14688/13588 (OSM))</v>
      </c>
      <c r="C106" s="568" t="s">
        <v>840</v>
      </c>
      <c r="D106" s="11" t="s">
        <v>828</v>
      </c>
      <c r="E106" s="11" t="s">
        <v>46</v>
      </c>
      <c r="F106" s="110">
        <f>'Fixtures + Piping computation'!D169</f>
        <v>1</v>
      </c>
      <c r="H106" s="161">
        <v>2.5</v>
      </c>
      <c r="I106" s="159">
        <f t="shared" si="58"/>
        <v>2.5</v>
      </c>
      <c r="J106" s="160">
        <f>I106*Summary!$H$4</f>
        <v>431.25</v>
      </c>
      <c r="K106" s="161"/>
      <c r="L106" s="110">
        <f>'Pricing Master Sheet'!E33</f>
        <v>0</v>
      </c>
      <c r="M106" s="162">
        <f t="shared" si="59"/>
        <v>0</v>
      </c>
      <c r="N106" s="163">
        <f t="shared" si="60"/>
        <v>431.25</v>
      </c>
      <c r="Q106" s="349"/>
      <c r="R106" s="349"/>
    </row>
    <row r="107" spans="2:18" s="43" customFormat="1" ht="15" customHeight="1" x14ac:dyDescent="0.25">
      <c r="B107" s="164" t="s">
        <v>134</v>
      </c>
      <c r="C107" s="49"/>
      <c r="D107" s="11"/>
      <c r="E107" s="11"/>
      <c r="F107" s="110"/>
      <c r="H107" s="161"/>
      <c r="I107" s="159"/>
      <c r="J107" s="160"/>
      <c r="K107" s="161"/>
      <c r="L107" s="110"/>
      <c r="M107" s="162"/>
      <c r="N107" s="163"/>
      <c r="Q107" s="349"/>
      <c r="R107" s="349"/>
    </row>
    <row r="108" spans="2:18" s="43" customFormat="1" ht="15" customHeight="1" x14ac:dyDescent="0.25">
      <c r="B108" s="133" t="s">
        <v>673</v>
      </c>
      <c r="C108" s="49" t="s">
        <v>692</v>
      </c>
      <c r="D108" s="11" t="s">
        <v>46</v>
      </c>
      <c r="E108" s="11" t="s">
        <v>46</v>
      </c>
      <c r="F108" s="110">
        <f>F106</f>
        <v>1</v>
      </c>
      <c r="H108" s="161"/>
      <c r="I108" s="159"/>
      <c r="J108" s="160"/>
      <c r="K108" s="161"/>
      <c r="L108" s="110"/>
      <c r="M108" s="162">
        <f t="shared" ref="M108:M109" si="73">((F108+G108)*K108)+((F108+G108)*L108)</f>
        <v>0</v>
      </c>
      <c r="N108" s="163">
        <f t="shared" ref="N108:N109" si="74">M108+J108</f>
        <v>0</v>
      </c>
      <c r="Q108" s="349"/>
      <c r="R108" s="349"/>
    </row>
    <row r="109" spans="2:18" s="43" customFormat="1" ht="15" customHeight="1" x14ac:dyDescent="0.25">
      <c r="B109" s="133" t="s">
        <v>851</v>
      </c>
      <c r="C109" s="109" t="s">
        <v>839</v>
      </c>
      <c r="D109" s="11" t="s">
        <v>46</v>
      </c>
      <c r="E109" s="11" t="s">
        <v>46</v>
      </c>
      <c r="F109" s="110">
        <f>F106*2</f>
        <v>2</v>
      </c>
      <c r="H109" s="161"/>
      <c r="I109" s="159"/>
      <c r="J109" s="160"/>
      <c r="K109" s="161"/>
      <c r="L109" s="110"/>
      <c r="M109" s="162">
        <f t="shared" si="73"/>
        <v>0</v>
      </c>
      <c r="N109" s="163">
        <f t="shared" si="74"/>
        <v>0</v>
      </c>
      <c r="Q109" s="349"/>
      <c r="R109" s="349"/>
    </row>
    <row r="110" spans="2:18" s="43" customFormat="1" ht="15" customHeight="1" x14ac:dyDescent="0.25">
      <c r="B110" s="126"/>
      <c r="C110" s="49"/>
      <c r="D110" s="11"/>
      <c r="E110" s="11"/>
      <c r="F110" s="110"/>
      <c r="H110" s="161"/>
      <c r="I110" s="159"/>
      <c r="J110" s="160"/>
      <c r="K110" s="161"/>
      <c r="L110" s="110"/>
      <c r="M110" s="162"/>
      <c r="N110" s="163"/>
      <c r="Q110" s="349"/>
      <c r="R110" s="349"/>
    </row>
    <row r="111" spans="2:18" s="43" customFormat="1" x14ac:dyDescent="0.25">
      <c r="B111" s="126" t="str">
        <f>IF('Fixtures + Piping computation'!C15&gt;0,'Fixtures + Piping computation'!B15 &amp; " (" &amp;'Fixtures + Piping computation'!C15 &amp; ")",'Fixtures + Piping computation'!C15)</f>
        <v>3-Comp SST (13264 (OSM))</v>
      </c>
      <c r="C111" s="568" t="s">
        <v>840</v>
      </c>
      <c r="D111" s="11" t="s">
        <v>828</v>
      </c>
      <c r="E111" s="11" t="s">
        <v>46</v>
      </c>
      <c r="F111" s="110">
        <f>'Fixtures + Piping computation'!D170</f>
        <v>1</v>
      </c>
      <c r="H111" s="161">
        <v>3.2</v>
      </c>
      <c r="I111" s="159">
        <f t="shared" si="58"/>
        <v>3.2</v>
      </c>
      <c r="J111" s="160">
        <f>I111*Summary!$H$4</f>
        <v>552</v>
      </c>
      <c r="K111" s="161"/>
      <c r="L111" s="110">
        <f>'Pricing Master Sheet'!E26</f>
        <v>0</v>
      </c>
      <c r="M111" s="162">
        <f t="shared" si="59"/>
        <v>0</v>
      </c>
      <c r="N111" s="163">
        <f t="shared" si="60"/>
        <v>552</v>
      </c>
      <c r="Q111" s="349"/>
      <c r="R111" s="349"/>
    </row>
    <row r="112" spans="2:18" s="43" customFormat="1" ht="15" customHeight="1" x14ac:dyDescent="0.25">
      <c r="B112" s="164" t="s">
        <v>134</v>
      </c>
      <c r="C112" s="49"/>
      <c r="D112" s="11"/>
      <c r="E112" s="11"/>
      <c r="F112" s="110"/>
      <c r="H112" s="161"/>
      <c r="I112" s="159"/>
      <c r="J112" s="160"/>
      <c r="K112" s="161"/>
      <c r="L112" s="110"/>
      <c r="M112" s="162"/>
      <c r="N112" s="163"/>
      <c r="Q112" s="349"/>
      <c r="R112" s="349"/>
    </row>
    <row r="113" spans="2:18" s="43" customFormat="1" ht="15" customHeight="1" x14ac:dyDescent="0.25">
      <c r="B113" s="133" t="str">
        <f>'Fixtures + Piping computation'!C171</f>
        <v>3-comp F- pre-rinse with sprayer (10447 (OSM))</v>
      </c>
      <c r="C113" s="568" t="s">
        <v>840</v>
      </c>
      <c r="D113" s="11" t="s">
        <v>828</v>
      </c>
      <c r="E113" s="11" t="s">
        <v>46</v>
      </c>
      <c r="F113" s="110">
        <f>'Fixtures + Piping computation'!D171</f>
        <v>1</v>
      </c>
      <c r="H113" s="161"/>
      <c r="I113" s="159"/>
      <c r="J113" s="160"/>
      <c r="K113" s="161"/>
      <c r="L113" s="110"/>
      <c r="M113" s="162">
        <f t="shared" ref="M113" si="75">((F113+G113)*K113)+((F113+G113)*L113)</f>
        <v>0</v>
      </c>
      <c r="N113" s="163">
        <f t="shared" ref="N113" si="76">M113+J113</f>
        <v>0</v>
      </c>
      <c r="Q113" s="349"/>
      <c r="R113" s="349"/>
    </row>
    <row r="114" spans="2:18" s="43" customFormat="1" ht="15" customHeight="1" x14ac:dyDescent="0.25">
      <c r="B114" s="133" t="str">
        <f>'Fixtures + Piping computation'!C172</f>
        <v>3-comp F- pre-rinse swing (10804 (OSM))</v>
      </c>
      <c r="C114" s="568" t="s">
        <v>840</v>
      </c>
      <c r="D114" s="11" t="s">
        <v>828</v>
      </c>
      <c r="E114" s="11" t="s">
        <v>46</v>
      </c>
      <c r="F114" s="110">
        <f>'Fixtures + Piping computation'!D172</f>
        <v>1</v>
      </c>
      <c r="H114" s="161"/>
      <c r="I114" s="159"/>
      <c r="J114" s="160"/>
      <c r="K114" s="161"/>
      <c r="L114" s="110"/>
      <c r="M114" s="162">
        <f t="shared" ref="M114" si="77">((F114+G114)*K114)+((F114+G114)*L114)</f>
        <v>0</v>
      </c>
      <c r="N114" s="163">
        <f t="shared" ref="N114" si="78">M114+J114</f>
        <v>0</v>
      </c>
      <c r="Q114" s="349"/>
      <c r="R114" s="349"/>
    </row>
    <row r="115" spans="2:18" s="43" customFormat="1" ht="15" customHeight="1" x14ac:dyDescent="0.25">
      <c r="B115" s="133" t="s">
        <v>673</v>
      </c>
      <c r="C115" s="49" t="s">
        <v>692</v>
      </c>
      <c r="D115" s="11" t="s">
        <v>46</v>
      </c>
      <c r="E115" s="11" t="s">
        <v>46</v>
      </c>
      <c r="F115" s="110">
        <f>F113</f>
        <v>1</v>
      </c>
      <c r="H115" s="161"/>
      <c r="I115" s="159"/>
      <c r="J115" s="160"/>
      <c r="K115" s="161"/>
      <c r="L115" s="110"/>
      <c r="M115" s="162">
        <f t="shared" ref="M115:M116" si="79">((F115+G115)*K115)+((F115+G115)*L115)</f>
        <v>0</v>
      </c>
      <c r="N115" s="163">
        <f t="shared" ref="N115:N116" si="80">M115+J115</f>
        <v>0</v>
      </c>
      <c r="Q115" s="349"/>
      <c r="R115" s="349"/>
    </row>
    <row r="116" spans="2:18" s="43" customFormat="1" ht="15" customHeight="1" x14ac:dyDescent="0.25">
      <c r="B116" s="133" t="s">
        <v>851</v>
      </c>
      <c r="C116" s="109" t="s">
        <v>839</v>
      </c>
      <c r="D116" s="11" t="s">
        <v>46</v>
      </c>
      <c r="E116" s="11" t="s">
        <v>46</v>
      </c>
      <c r="F116" s="110">
        <f>F111*2</f>
        <v>2</v>
      </c>
      <c r="H116" s="161"/>
      <c r="I116" s="159"/>
      <c r="J116" s="160"/>
      <c r="K116" s="161"/>
      <c r="L116" s="110"/>
      <c r="M116" s="162">
        <f t="shared" si="79"/>
        <v>0</v>
      </c>
      <c r="N116" s="163">
        <f t="shared" si="80"/>
        <v>0</v>
      </c>
      <c r="Q116" s="349"/>
      <c r="R116" s="349"/>
    </row>
    <row r="117" spans="2:18" s="43" customFormat="1" ht="15" customHeight="1" x14ac:dyDescent="0.25">
      <c r="B117" s="126"/>
      <c r="C117" s="49"/>
      <c r="D117" s="11"/>
      <c r="E117" s="11"/>
      <c r="F117" s="110"/>
      <c r="H117" s="161"/>
      <c r="I117" s="159"/>
      <c r="J117" s="160"/>
      <c r="K117" s="161"/>
      <c r="L117" s="110"/>
      <c r="M117" s="162"/>
      <c r="N117" s="163"/>
      <c r="Q117" s="349"/>
      <c r="R117" s="349"/>
    </row>
    <row r="118" spans="2:18" s="43" customFormat="1" x14ac:dyDescent="0.25">
      <c r="B118" s="126" t="str">
        <f>IF('Fixtures + Piping computation'!C18&gt;0,'Fixtures + Piping computation'!B18 &amp; " (" &amp;'Fixtures + Piping computation'!C18 &amp; ")",'Fixtures + Piping computation'!C18)</f>
        <v>Sink-rinse drop-in SST (10549/10152 (OSM))</v>
      </c>
      <c r="C118" s="568" t="s">
        <v>840</v>
      </c>
      <c r="D118" s="11" t="s">
        <v>828</v>
      </c>
      <c r="E118" s="11" t="s">
        <v>46</v>
      </c>
      <c r="F118" s="110">
        <f>'Fixtures + Piping computation'!D173</f>
        <v>1</v>
      </c>
      <c r="H118" s="161">
        <v>2.1</v>
      </c>
      <c r="I118" s="159">
        <f t="shared" si="58"/>
        <v>2.1</v>
      </c>
      <c r="J118" s="160">
        <f>I118*Summary!$H$4</f>
        <v>362.25</v>
      </c>
      <c r="K118" s="161"/>
      <c r="L118" s="110">
        <f>'Pricing Master Sheet'!E20</f>
        <v>0</v>
      </c>
      <c r="M118" s="162">
        <f t="shared" si="59"/>
        <v>0</v>
      </c>
      <c r="N118" s="163">
        <f t="shared" si="60"/>
        <v>362.25</v>
      </c>
      <c r="Q118" s="349"/>
      <c r="R118" s="349"/>
    </row>
    <row r="119" spans="2:18" s="43" customFormat="1" ht="15" customHeight="1" x14ac:dyDescent="0.25">
      <c r="B119" s="164" t="s">
        <v>134</v>
      </c>
      <c r="C119" s="49"/>
      <c r="D119" s="11"/>
      <c r="E119" s="11"/>
      <c r="F119" s="110"/>
      <c r="H119" s="161"/>
      <c r="I119" s="159"/>
      <c r="J119" s="160"/>
      <c r="K119" s="161"/>
      <c r="L119" s="110"/>
      <c r="M119" s="162"/>
      <c r="N119" s="163"/>
      <c r="Q119" s="349"/>
      <c r="R119" s="349"/>
    </row>
    <row r="120" spans="2:18" s="43" customFormat="1" ht="15" customHeight="1" x14ac:dyDescent="0.25">
      <c r="B120" s="133" t="s">
        <v>837</v>
      </c>
      <c r="C120" s="109" t="s">
        <v>839</v>
      </c>
      <c r="D120" s="11" t="s">
        <v>46</v>
      </c>
      <c r="E120" s="11" t="s">
        <v>46</v>
      </c>
      <c r="F120" s="110">
        <f>F118*2</f>
        <v>2</v>
      </c>
      <c r="H120" s="161"/>
      <c r="I120" s="159"/>
      <c r="J120" s="160"/>
      <c r="K120" s="161"/>
      <c r="L120" s="110"/>
      <c r="M120" s="162">
        <f t="shared" ref="M120" si="81">((F120+G120)*K120)+((F120+G120)*L120)</f>
        <v>0</v>
      </c>
      <c r="N120" s="163">
        <f t="shared" ref="N120" si="82">M120+J120</f>
        <v>0</v>
      </c>
      <c r="Q120" s="349"/>
      <c r="R120" s="349"/>
    </row>
    <row r="121" spans="2:18" s="43" customFormat="1" ht="15" customHeight="1" x14ac:dyDescent="0.25">
      <c r="B121" s="133" t="s">
        <v>846</v>
      </c>
      <c r="C121" s="49" t="s">
        <v>287</v>
      </c>
      <c r="D121" s="11" t="s">
        <v>46</v>
      </c>
      <c r="E121" s="11" t="s">
        <v>46</v>
      </c>
      <c r="F121" s="110">
        <f>F120</f>
        <v>2</v>
      </c>
      <c r="H121" s="161"/>
      <c r="I121" s="159"/>
      <c r="J121" s="160"/>
      <c r="K121" s="161"/>
      <c r="L121" s="110"/>
      <c r="M121" s="162">
        <f t="shared" ref="M121" si="83">((F121+G121)*K121)+((F121+G121)*L121)</f>
        <v>0</v>
      </c>
      <c r="N121" s="163">
        <f t="shared" ref="N121" si="84">M121+J121</f>
        <v>0</v>
      </c>
      <c r="Q121" s="349"/>
      <c r="R121" s="349"/>
    </row>
    <row r="122" spans="2:18" s="43" customFormat="1" x14ac:dyDescent="0.25">
      <c r="B122" s="126"/>
      <c r="C122" s="49"/>
      <c r="D122" s="11"/>
      <c r="E122" s="11"/>
      <c r="F122" s="110"/>
      <c r="H122" s="161"/>
      <c r="I122" s="159"/>
      <c r="J122" s="160"/>
      <c r="K122" s="161"/>
      <c r="L122" s="110"/>
      <c r="M122" s="162"/>
      <c r="N122" s="163"/>
      <c r="Q122" s="349"/>
      <c r="R122" s="349"/>
    </row>
    <row r="123" spans="2:18" s="43" customFormat="1" x14ac:dyDescent="0.25">
      <c r="B123" s="126" t="str">
        <f>IF('Fixtures + Piping computation'!C19&gt;0,'Fixtures + Piping computation'!B19 &amp; " (" &amp;'Fixtures + Piping computation'!C19 &amp; ")",'Fixtures + Piping computation'!C19)</f>
        <v>Sink water filling  (18473 (OSM))</v>
      </c>
      <c r="C123" s="568" t="s">
        <v>840</v>
      </c>
      <c r="D123" s="11" t="s">
        <v>828</v>
      </c>
      <c r="E123" s="11" t="s">
        <v>46</v>
      </c>
      <c r="F123" s="110">
        <f>'Fixtures + Piping computation'!D174</f>
        <v>1</v>
      </c>
      <c r="H123" s="161">
        <v>2.5</v>
      </c>
      <c r="I123" s="159">
        <f t="shared" si="58"/>
        <v>2.5</v>
      </c>
      <c r="J123" s="160">
        <f>I123*Summary!$H$4</f>
        <v>431.25</v>
      </c>
      <c r="K123" s="161"/>
      <c r="L123" s="110">
        <f>'Pricing Master Sheet'!E38</f>
        <v>0</v>
      </c>
      <c r="M123" s="162">
        <f t="shared" si="59"/>
        <v>0</v>
      </c>
      <c r="N123" s="163">
        <f t="shared" si="60"/>
        <v>431.25</v>
      </c>
      <c r="Q123" s="349"/>
      <c r="R123" s="349"/>
    </row>
    <row r="124" spans="2:18" x14ac:dyDescent="0.25">
      <c r="B124" s="164" t="s">
        <v>134</v>
      </c>
      <c r="C124" s="49"/>
      <c r="F124" s="56"/>
      <c r="H124" s="56"/>
      <c r="I124" s="82"/>
      <c r="J124" s="51"/>
      <c r="K124" s="52"/>
      <c r="L124" s="110"/>
      <c r="M124" s="84"/>
      <c r="N124" s="88"/>
      <c r="Q124" s="349"/>
      <c r="R124" s="349"/>
    </row>
    <row r="125" spans="2:18" s="43" customFormat="1" x14ac:dyDescent="0.25">
      <c r="B125" s="133" t="str">
        <f>IF('Fixtures + Piping computation'!C20&gt;0,'Fixtures + Piping computation'!B20 &amp; " (" &amp;'Fixtures + Piping computation'!C20 &amp; ")",'Fixtures + Piping computation'!C20)</f>
        <v>SW F-water tower (10153 (OSM))</v>
      </c>
      <c r="C125" s="568" t="s">
        <v>840</v>
      </c>
      <c r="D125" s="11" t="s">
        <v>828</v>
      </c>
      <c r="E125" s="11" t="s">
        <v>46</v>
      </c>
      <c r="F125" s="110">
        <f>'Fixtures + Piping computation'!D175</f>
        <v>1</v>
      </c>
      <c r="H125" s="161"/>
      <c r="I125" s="159"/>
      <c r="J125" s="160"/>
      <c r="K125" s="161"/>
      <c r="L125" s="110"/>
      <c r="M125" s="162">
        <f t="shared" ref="M125" si="85">((F125+G125)*K125)+((F125+G125)*L125)</f>
        <v>0</v>
      </c>
      <c r="N125" s="163">
        <f t="shared" ref="N125" si="86">M125+J125</f>
        <v>0</v>
      </c>
      <c r="Q125" s="349"/>
      <c r="R125" s="349"/>
    </row>
    <row r="126" spans="2:18" s="43" customFormat="1" x14ac:dyDescent="0.25">
      <c r="B126" s="133" t="str">
        <f>'Fixtures + Piping computation'!C176</f>
        <v>SW F-double lab (10215 (OSM))</v>
      </c>
      <c r="C126" s="568" t="s">
        <v>840</v>
      </c>
      <c r="D126" s="11" t="s">
        <v>828</v>
      </c>
      <c r="E126" s="11" t="s">
        <v>46</v>
      </c>
      <c r="F126" s="110">
        <f>'Fixtures + Piping computation'!D177</f>
        <v>1</v>
      </c>
      <c r="H126" s="161"/>
      <c r="I126" s="159"/>
      <c r="J126" s="160"/>
      <c r="K126" s="161"/>
      <c r="L126" s="110"/>
      <c r="M126" s="162">
        <f t="shared" ref="M126" si="87">((F126+G126)*K126)+((F126+G126)*L126)</f>
        <v>0</v>
      </c>
      <c r="N126" s="163">
        <f t="shared" ref="N126" si="88">M126+J126</f>
        <v>0</v>
      </c>
      <c r="Q126" s="349"/>
      <c r="R126" s="349"/>
    </row>
    <row r="127" spans="2:18" s="43" customFormat="1" x14ac:dyDescent="0.25">
      <c r="B127" s="133" t="str">
        <f>IF('Fixtures + Piping computation'!C22&gt;0,'Fixtures + Piping computation'!B22 &amp; " (" &amp;'Fixtures + Piping computation'!C22 &amp; ")",'Fixtures + Piping computation'!C22)</f>
        <v>SW-F-Insta hot2 (22642 (OSM))</v>
      </c>
      <c r="C127" s="568" t="s">
        <v>840</v>
      </c>
      <c r="D127" s="11" t="s">
        <v>828</v>
      </c>
      <c r="E127" s="11" t="s">
        <v>46</v>
      </c>
      <c r="F127" s="110">
        <f>'Fixtures + Piping computation'!D172</f>
        <v>1</v>
      </c>
      <c r="H127" s="161"/>
      <c r="I127" s="159"/>
      <c r="J127" s="160"/>
      <c r="K127" s="161"/>
      <c r="L127" s="110"/>
      <c r="M127" s="162">
        <f t="shared" ref="M127:M128" si="89">((F127+G127)*K127)+((F127+G127)*L127)</f>
        <v>0</v>
      </c>
      <c r="N127" s="163">
        <f t="shared" ref="N127:N128" si="90">M127+J127</f>
        <v>0</v>
      </c>
      <c r="Q127" s="349"/>
      <c r="R127" s="349"/>
    </row>
    <row r="128" spans="2:18" s="43" customFormat="1" ht="15" customHeight="1" x14ac:dyDescent="0.25">
      <c r="B128" s="133" t="s">
        <v>851</v>
      </c>
      <c r="C128" s="109" t="s">
        <v>839</v>
      </c>
      <c r="D128" s="11" t="s">
        <v>46</v>
      </c>
      <c r="E128" s="11" t="s">
        <v>46</v>
      </c>
      <c r="F128" s="110">
        <f>F123*2</f>
        <v>2</v>
      </c>
      <c r="H128" s="161"/>
      <c r="I128" s="159"/>
      <c r="J128" s="160"/>
      <c r="K128" s="161"/>
      <c r="L128" s="110"/>
      <c r="M128" s="162">
        <f t="shared" si="89"/>
        <v>0</v>
      </c>
      <c r="N128" s="163">
        <f t="shared" si="90"/>
        <v>0</v>
      </c>
      <c r="Q128" s="349"/>
      <c r="R128" s="349"/>
    </row>
    <row r="129" spans="2:1012 1027:2036 2051:3060 3075:4084 4099:5108 5123:6132 6147:7156 7171:8180 8195:9204 9219:10228 10243:11252 11267:12276 12291:13300 13315:14324 14339:15348 15363:16372" x14ac:dyDescent="0.25">
      <c r="B129" s="164"/>
      <c r="C129" s="49"/>
      <c r="F129" s="56"/>
      <c r="H129" s="56"/>
      <c r="I129" s="82"/>
      <c r="J129" s="51"/>
      <c r="K129" s="52"/>
      <c r="L129" s="110"/>
      <c r="M129" s="84"/>
      <c r="N129" s="88"/>
      <c r="Q129" s="349"/>
      <c r="R129" s="349"/>
    </row>
    <row r="130" spans="2:1012 1027:2036 2051:3060 3075:4084 4099:5108 5123:6132 6147:7156 7171:8180 8195:9204 9219:10228 10243:11252 11267:12276 12291:13300 13315:14324 14339:15348 15363:16372" s="43" customFormat="1" x14ac:dyDescent="0.25">
      <c r="B130" s="126" t="str">
        <f>'Fixtures + Piping computation'!C178</f>
        <v>Sink drop-in (22630 (OSM))</v>
      </c>
      <c r="C130" s="568" t="s">
        <v>840</v>
      </c>
      <c r="D130" s="11" t="s">
        <v>828</v>
      </c>
      <c r="E130" s="11" t="s">
        <v>46</v>
      </c>
      <c r="F130" s="110">
        <f>'Fixtures + Piping computation'!D178</f>
        <v>1</v>
      </c>
      <c r="H130" s="161">
        <v>2.5</v>
      </c>
      <c r="I130" s="159">
        <f t="shared" ref="I130" si="91">(F130+G130)*H130</f>
        <v>2.5</v>
      </c>
      <c r="J130" s="160">
        <f>I130*Summary!$H$4</f>
        <v>431.25</v>
      </c>
      <c r="K130" s="161"/>
      <c r="L130" s="110">
        <f>'Pricing Master Sheet'!E43</f>
        <v>0</v>
      </c>
      <c r="M130" s="162">
        <f t="shared" ref="M130" si="92">((F130+G130)*K130)+((F130+G130)*L130)</f>
        <v>0</v>
      </c>
      <c r="N130" s="163">
        <f t="shared" ref="N130" si="93">M130+J130</f>
        <v>431.25</v>
      </c>
      <c r="Q130" s="349"/>
      <c r="R130" s="349"/>
    </row>
    <row r="131" spans="2:1012 1027:2036 2051:3060 3075:4084 4099:5108 5123:6132 6147:7156 7171:8180 8195:9204 9219:10228 10243:11252 11267:12276 12291:13300 13315:14324 14339:15348 15363:16372" x14ac:dyDescent="0.25">
      <c r="B131" s="164" t="s">
        <v>134</v>
      </c>
      <c r="C131" s="49"/>
      <c r="F131" s="56"/>
      <c r="H131" s="56"/>
      <c r="I131" s="82"/>
      <c r="J131" s="51"/>
      <c r="K131" s="52"/>
      <c r="L131" s="110"/>
      <c r="M131" s="84"/>
      <c r="N131" s="88"/>
      <c r="Q131" s="349"/>
      <c r="R131" s="349"/>
    </row>
    <row r="132" spans="2:1012 1027:2036 2051:3060 3075:4084 4099:5108 5123:6132 6147:7156 7171:8180 8195:9204 9219:10228 10243:11252 11267:12276 12291:13300 13315:14324 14339:15348 15363:16372" s="43" customFormat="1" x14ac:dyDescent="0.25">
      <c r="B132" s="133" t="str">
        <f>'Fixtures + Piping computation'!C179</f>
        <v>Sink F-water tower (10153 (OSM))</v>
      </c>
      <c r="C132" s="568" t="s">
        <v>840</v>
      </c>
      <c r="D132" s="11" t="s">
        <v>828</v>
      </c>
      <c r="E132" s="11" t="s">
        <v>46</v>
      </c>
      <c r="F132" s="110">
        <f>'Fixtures + Piping computation'!D179</f>
        <v>1</v>
      </c>
      <c r="H132" s="161"/>
      <c r="I132" s="159"/>
      <c r="J132" s="160"/>
      <c r="K132" s="161"/>
      <c r="L132" s="110"/>
      <c r="M132" s="162">
        <f t="shared" ref="M132" si="94">((F132+G132)*K132)+((F132+G132)*L132)</f>
        <v>0</v>
      </c>
      <c r="N132" s="163">
        <f t="shared" ref="N132" si="95">M132+J132</f>
        <v>0</v>
      </c>
      <c r="Q132" s="349"/>
      <c r="R132" s="349"/>
    </row>
    <row r="133" spans="2:1012 1027:2036 2051:3060 3075:4084 4099:5108 5123:6132 6147:7156 7171:8180 8195:9204 9219:10228 10243:11252 11267:12276 12291:13300 13315:14324 14339:15348 15363:16372" s="43" customFormat="1" x14ac:dyDescent="0.25">
      <c r="B133" s="133" t="str">
        <f>'Fixtures + Piping computation'!C180</f>
        <v>Sink F-single lab (10943 (OSM))</v>
      </c>
      <c r="C133" s="568" t="s">
        <v>840</v>
      </c>
      <c r="D133" s="11" t="s">
        <v>828</v>
      </c>
      <c r="E133" s="11" t="s">
        <v>46</v>
      </c>
      <c r="F133" s="110">
        <f>'Fixtures + Piping computation'!D180</f>
        <v>1</v>
      </c>
      <c r="H133" s="161"/>
      <c r="I133" s="159"/>
      <c r="J133" s="160"/>
      <c r="K133" s="161"/>
      <c r="L133" s="110"/>
      <c r="M133" s="162">
        <f t="shared" ref="M133:M134" si="96">((F133+G133)*K133)+((F133+G133)*L133)</f>
        <v>0</v>
      </c>
      <c r="N133" s="163">
        <f t="shared" ref="N133:N134" si="97">M133+J133</f>
        <v>0</v>
      </c>
      <c r="Q133" s="349"/>
      <c r="R133" s="349"/>
    </row>
    <row r="134" spans="2:1012 1027:2036 2051:3060 3075:4084 4099:5108 5123:6132 6147:7156 7171:8180 8195:9204 9219:10228 10243:11252 11267:12276 12291:13300 13315:14324 14339:15348 15363:16372" s="43" customFormat="1" ht="15" customHeight="1" x14ac:dyDescent="0.25">
      <c r="B134" s="133" t="s">
        <v>851</v>
      </c>
      <c r="C134" s="109" t="s">
        <v>839</v>
      </c>
      <c r="D134" s="11" t="s">
        <v>46</v>
      </c>
      <c r="E134" s="11" t="s">
        <v>46</v>
      </c>
      <c r="F134" s="110">
        <f>F130*2</f>
        <v>2</v>
      </c>
      <c r="H134" s="161"/>
      <c r="I134" s="159"/>
      <c r="J134" s="160"/>
      <c r="K134" s="161"/>
      <c r="L134" s="110"/>
      <c r="M134" s="162">
        <f t="shared" si="96"/>
        <v>0</v>
      </c>
      <c r="N134" s="163">
        <f t="shared" si="97"/>
        <v>0</v>
      </c>
      <c r="Q134" s="349"/>
      <c r="R134" s="349"/>
    </row>
    <row r="135" spans="2:1012 1027:2036 2051:3060 3075:4084 4099:5108 5123:6132 6147:7156 7171:8180 8195:9204 9219:10228 10243:11252 11267:12276 12291:13300 13315:14324 14339:15348 15363:16372" x14ac:dyDescent="0.25">
      <c r="B135" s="164"/>
      <c r="C135" s="49"/>
      <c r="F135" s="56"/>
      <c r="H135" s="56"/>
      <c r="I135" s="82"/>
      <c r="J135" s="51"/>
      <c r="K135" s="52"/>
      <c r="L135" s="110"/>
      <c r="M135" s="84"/>
      <c r="N135" s="88"/>
      <c r="Q135" s="349"/>
      <c r="R135" s="349"/>
    </row>
    <row r="136" spans="2:1012 1027:2036 2051:3060 3075:4084 4099:5108 5123:6132 6147:7156 7171:8180 8195:9204 9219:10228 10243:11252 11267:12276 12291:13300 13315:14324 14339:15348 15363:16372" s="43" customFormat="1" x14ac:dyDescent="0.25">
      <c r="B136" s="126" t="str">
        <f>IF('Fixtures + Piping computation'!C26&gt;0,'Fixtures + Piping computation'!B26 &amp; " (" &amp;'Fixtures + Piping computation'!C26 &amp; ")",'Fixtures + Piping computation'!C26)</f>
        <v>Faucet-single handle (10597 (OSM))</v>
      </c>
      <c r="C136" s="568" t="s">
        <v>840</v>
      </c>
      <c r="D136" s="11" t="s">
        <v>828</v>
      </c>
      <c r="E136" s="11" t="s">
        <v>46</v>
      </c>
      <c r="F136" s="110">
        <f>'Fixtures + Piping computation'!D181</f>
        <v>2</v>
      </c>
      <c r="H136" s="161">
        <v>1</v>
      </c>
      <c r="I136" s="159">
        <f t="shared" ref="I136" si="98">(F136+G136)*H136</f>
        <v>2</v>
      </c>
      <c r="J136" s="160">
        <f>I136*Summary!$H$4</f>
        <v>345</v>
      </c>
      <c r="K136" s="161"/>
      <c r="L136" s="110">
        <f>'Pricing Master Sheet'!E54</f>
        <v>0</v>
      </c>
      <c r="M136" s="162">
        <f t="shared" ref="M136" si="99">((F136+G136)*K136)+((F136+G136)*L136)</f>
        <v>0</v>
      </c>
      <c r="N136" s="163">
        <f t="shared" ref="N136" si="100">M136+J136</f>
        <v>345</v>
      </c>
      <c r="Q136" s="349"/>
      <c r="R136" s="349"/>
    </row>
    <row r="137" spans="2:1012 1027:2036 2051:3060 3075:4084 4099:5108 5123:6132 6147:7156 7171:8180 8195:9204 9219:10228 10243:11252 11267:12276 12291:13300 13315:14324 14339:15348 15363:16372" x14ac:dyDescent="0.25">
      <c r="B137" s="164" t="s">
        <v>134</v>
      </c>
      <c r="C137" s="49"/>
      <c r="F137" s="56"/>
      <c r="H137" s="56"/>
      <c r="I137" s="82"/>
      <c r="J137" s="51"/>
      <c r="K137" s="52"/>
      <c r="L137" s="110"/>
      <c r="M137" s="84"/>
      <c r="N137" s="88"/>
      <c r="Q137" s="349"/>
      <c r="R137" s="349"/>
    </row>
    <row r="138" spans="2:1012 1027:2036 2051:3060 3075:4084 4099:5108 5123:6132 6147:7156 7171:8180 8195:9204 9219:10228 10243:11252 11267:12276 12291:13300 13315:14324 14339:15348 15363:16372" s="43" customFormat="1" ht="15" customHeight="1" x14ac:dyDescent="0.25">
      <c r="B138" s="133" t="s">
        <v>851</v>
      </c>
      <c r="C138" s="109" t="s">
        <v>839</v>
      </c>
      <c r="D138" s="11" t="s">
        <v>46</v>
      </c>
      <c r="E138" s="11" t="s">
        <v>46</v>
      </c>
      <c r="F138" s="110">
        <f>F136*2</f>
        <v>4</v>
      </c>
      <c r="H138" s="161"/>
      <c r="I138" s="159"/>
      <c r="J138" s="160"/>
      <c r="K138" s="161"/>
      <c r="L138" s="110"/>
      <c r="M138" s="162">
        <f t="shared" ref="M138" si="101">((F138+G138)*K138)+((F138+G138)*L138)</f>
        <v>0</v>
      </c>
      <c r="N138" s="163">
        <f t="shared" ref="N138" si="102">M138+J138</f>
        <v>0</v>
      </c>
      <c r="Q138" s="349"/>
      <c r="R138" s="349"/>
    </row>
    <row r="139" spans="2:1012 1027:2036 2051:3060 3075:4084 4099:5108 5123:6132 6147:7156 7171:8180 8195:9204 9219:10228 10243:11252 11267:12276 12291:13300 13315:14324 14339:15348 15363:16372" x14ac:dyDescent="0.25">
      <c r="B139" s="158"/>
      <c r="C139" s="49"/>
      <c r="F139" s="56"/>
      <c r="H139" s="56"/>
      <c r="I139" s="82"/>
      <c r="J139" s="51"/>
      <c r="K139" s="161"/>
      <c r="L139" s="110"/>
      <c r="M139" s="162"/>
      <c r="N139" s="163"/>
      <c r="Q139" s="349"/>
      <c r="R139" s="349"/>
    </row>
    <row r="140" spans="2:1012 1027:2036 2051:3060 3075:4084 4099:5108 5123:6132 6147:7156 7171:8180 8195:9204 9219:10228 10243:11252 11267:12276 12291:13300 13315:14324 14339:15348 15363:16372" ht="21.75" thickBot="1" x14ac:dyDescent="0.3">
      <c r="B140" s="144"/>
      <c r="J140" s="51"/>
      <c r="M140" s="84"/>
      <c r="N140" s="88"/>
      <c r="Q140" s="349"/>
      <c r="R140" s="349"/>
    </row>
    <row r="141" spans="2:1012 1027:2036 2051:3060 3075:4084 4099:5108 5123:6132 6147:7156 7171:8180 8195:9204 9219:10228 10243:11252 11267:12276 12291:13300 13315:14324 14339:15348 15363:16372" s="214" customFormat="1" ht="22.5" customHeight="1" thickBot="1" x14ac:dyDescent="0.3">
      <c r="B141" s="397"/>
      <c r="C141" s="191" t="s">
        <v>453</v>
      </c>
      <c r="D141" s="191"/>
      <c r="E141" s="191"/>
      <c r="F141" s="398">
        <f>'Fixtures + Piping computation'!E28</f>
        <v>27</v>
      </c>
      <c r="G141" s="398"/>
      <c r="H141" s="191"/>
      <c r="I141" s="399">
        <f>SUM(I79:I140)</f>
        <v>35.25</v>
      </c>
      <c r="J141" s="400">
        <f>SUM(J79:J140)</f>
        <v>6080.625</v>
      </c>
      <c r="K141" s="398"/>
      <c r="L141" s="398"/>
      <c r="M141" s="400">
        <f>SUM(M79:M140)</f>
        <v>0</v>
      </c>
      <c r="N141" s="401"/>
      <c r="O141" s="387">
        <f>SUM(N79:N140)</f>
        <v>6080.625</v>
      </c>
      <c r="P141" s="481" t="str">
        <f>IF(O141=(M141+J141), "GOOD", "ERROR RECHECK")</f>
        <v>GOOD</v>
      </c>
      <c r="Q141" s="349"/>
      <c r="R141" s="349"/>
    </row>
    <row r="142" spans="2:1012 1027:2036 2051:3060 3075:4084 4099:5108 5123:6132 6147:7156 7171:8180 8195:9204 9219:10228 10243:11252 11267:12276 12291:13300 13315:14324 14339:15348 15363:16372" ht="27" customHeight="1" thickBot="1" x14ac:dyDescent="0.3">
      <c r="B142" s="381"/>
      <c r="C142" s="396"/>
      <c r="D142" s="396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R142"/>
      <c r="S142" s="11"/>
      <c r="T142" s="11"/>
      <c r="AI142" s="11"/>
      <c r="AJ142" s="11"/>
      <c r="AY142" s="11"/>
      <c r="AZ142" s="11"/>
      <c r="BO142" s="11"/>
      <c r="BP142" s="11"/>
      <c r="CE142" s="11"/>
      <c r="CF142" s="11"/>
      <c r="CU142" s="11"/>
      <c r="CV142" s="11"/>
      <c r="DK142" s="11"/>
      <c r="DL142" s="11"/>
      <c r="EA142" s="11"/>
      <c r="EB142" s="11"/>
      <c r="EQ142" s="11"/>
      <c r="ER142" s="11"/>
      <c r="FG142" s="11"/>
      <c r="FH142" s="11"/>
      <c r="FW142" s="11"/>
      <c r="FX142" s="11"/>
      <c r="GM142" s="11"/>
      <c r="GN142" s="11"/>
      <c r="HC142" s="11"/>
      <c r="HD142" s="11"/>
      <c r="HS142" s="11"/>
      <c r="HT142" s="11"/>
      <c r="II142" s="11"/>
      <c r="IJ142" s="11"/>
      <c r="IY142" s="11"/>
      <c r="IZ142" s="11"/>
      <c r="JO142" s="11"/>
      <c r="JP142" s="11"/>
      <c r="KE142" s="11"/>
      <c r="KF142" s="11"/>
      <c r="KU142" s="11"/>
      <c r="KV142" s="11"/>
      <c r="LK142" s="11"/>
      <c r="LL142" s="11"/>
      <c r="MA142" s="11"/>
      <c r="MB142" s="11"/>
      <c r="MQ142" s="11"/>
      <c r="MR142" s="11"/>
      <c r="NG142" s="11"/>
      <c r="NH142" s="11"/>
      <c r="NW142" s="11"/>
      <c r="NX142" s="11"/>
      <c r="OM142" s="11"/>
      <c r="ON142" s="11"/>
      <c r="PC142" s="11"/>
      <c r="PD142" s="11"/>
      <c r="PS142" s="11"/>
      <c r="PT142" s="11"/>
      <c r="QI142" s="11"/>
      <c r="QJ142" s="11"/>
      <c r="QY142" s="11"/>
      <c r="QZ142" s="11"/>
      <c r="RO142" s="11"/>
      <c r="RP142" s="11"/>
      <c r="SE142" s="11"/>
      <c r="SF142" s="11"/>
      <c r="SU142" s="11"/>
      <c r="SV142" s="11"/>
      <c r="TK142" s="11"/>
      <c r="TL142" s="11"/>
      <c r="UA142" s="11"/>
      <c r="UB142" s="11"/>
      <c r="UQ142" s="11"/>
      <c r="UR142" s="11"/>
      <c r="VG142" s="11"/>
      <c r="VH142" s="11"/>
      <c r="VW142" s="11"/>
      <c r="VX142" s="11"/>
      <c r="WM142" s="11"/>
      <c r="WN142" s="11"/>
      <c r="XC142" s="11"/>
      <c r="XD142" s="11"/>
      <c r="XS142" s="11"/>
      <c r="XT142" s="11"/>
      <c r="YI142" s="11"/>
      <c r="YJ142" s="11"/>
      <c r="YY142" s="11"/>
      <c r="YZ142" s="11"/>
      <c r="ZO142" s="11"/>
      <c r="ZP142" s="11"/>
      <c r="AAE142" s="11"/>
      <c r="AAF142" s="11"/>
      <c r="AAU142" s="11"/>
      <c r="AAV142" s="11"/>
      <c r="ABK142" s="11"/>
      <c r="ABL142" s="11"/>
      <c r="ACA142" s="11"/>
      <c r="ACB142" s="11"/>
      <c r="ACQ142" s="11"/>
      <c r="ACR142" s="11"/>
      <c r="ADG142" s="11"/>
      <c r="ADH142" s="11"/>
      <c r="ADW142" s="11"/>
      <c r="ADX142" s="11"/>
      <c r="AEM142" s="11"/>
      <c r="AEN142" s="11"/>
      <c r="AFC142" s="11"/>
      <c r="AFD142" s="11"/>
      <c r="AFS142" s="11"/>
      <c r="AFT142" s="11"/>
      <c r="AGI142" s="11"/>
      <c r="AGJ142" s="11"/>
      <c r="AGY142" s="11"/>
      <c r="AGZ142" s="11"/>
      <c r="AHO142" s="11"/>
      <c r="AHP142" s="11"/>
      <c r="AIE142" s="11"/>
      <c r="AIF142" s="11"/>
      <c r="AIU142" s="11"/>
      <c r="AIV142" s="11"/>
      <c r="AJK142" s="11"/>
      <c r="AJL142" s="11"/>
      <c r="AKA142" s="11"/>
      <c r="AKB142" s="11"/>
      <c r="AKQ142" s="11"/>
      <c r="AKR142" s="11"/>
      <c r="ALG142" s="11"/>
      <c r="ALH142" s="11"/>
      <c r="ALW142" s="11"/>
      <c r="ALX142" s="11"/>
      <c r="AMM142" s="11"/>
      <c r="AMN142" s="11"/>
      <c r="ANC142" s="11"/>
      <c r="AND142" s="11"/>
      <c r="ANS142" s="11"/>
      <c r="ANT142" s="11"/>
      <c r="AOI142" s="11"/>
      <c r="AOJ142" s="11"/>
      <c r="AOY142" s="11"/>
      <c r="AOZ142" s="11"/>
      <c r="APO142" s="11"/>
      <c r="APP142" s="11"/>
      <c r="AQE142" s="11"/>
      <c r="AQF142" s="11"/>
      <c r="AQU142" s="11"/>
      <c r="AQV142" s="11"/>
      <c r="ARK142" s="11"/>
      <c r="ARL142" s="11"/>
      <c r="ASA142" s="11"/>
      <c r="ASB142" s="11"/>
      <c r="ASQ142" s="11"/>
      <c r="ASR142" s="11"/>
      <c r="ATG142" s="11"/>
      <c r="ATH142" s="11"/>
      <c r="ATW142" s="11"/>
      <c r="ATX142" s="11"/>
      <c r="AUM142" s="11"/>
      <c r="AUN142" s="11"/>
      <c r="AVC142" s="11"/>
      <c r="AVD142" s="11"/>
      <c r="AVS142" s="11"/>
      <c r="AVT142" s="11"/>
      <c r="AWI142" s="11"/>
      <c r="AWJ142" s="11"/>
      <c r="AWY142" s="11"/>
      <c r="AWZ142" s="11"/>
      <c r="AXO142" s="11"/>
      <c r="AXP142" s="11"/>
      <c r="AYE142" s="11"/>
      <c r="AYF142" s="11"/>
      <c r="AYU142" s="11"/>
      <c r="AYV142" s="11"/>
      <c r="AZK142" s="11"/>
      <c r="AZL142" s="11"/>
      <c r="BAA142" s="11"/>
      <c r="BAB142" s="11"/>
      <c r="BAQ142" s="11"/>
      <c r="BAR142" s="11"/>
      <c r="BBG142" s="11"/>
      <c r="BBH142" s="11"/>
      <c r="BBW142" s="11"/>
      <c r="BBX142" s="11"/>
      <c r="BCM142" s="11"/>
      <c r="BCN142" s="11"/>
      <c r="BDC142" s="11"/>
      <c r="BDD142" s="11"/>
      <c r="BDS142" s="11"/>
      <c r="BDT142" s="11"/>
      <c r="BEI142" s="11"/>
      <c r="BEJ142" s="11"/>
      <c r="BEY142" s="11"/>
      <c r="BEZ142" s="11"/>
      <c r="BFO142" s="11"/>
      <c r="BFP142" s="11"/>
      <c r="BGE142" s="11"/>
      <c r="BGF142" s="11"/>
      <c r="BGU142" s="11"/>
      <c r="BGV142" s="11"/>
      <c r="BHK142" s="11"/>
      <c r="BHL142" s="11"/>
      <c r="BIA142" s="11"/>
      <c r="BIB142" s="11"/>
      <c r="BIQ142" s="11"/>
      <c r="BIR142" s="11"/>
      <c r="BJG142" s="11"/>
      <c r="BJH142" s="11"/>
      <c r="BJW142" s="11"/>
      <c r="BJX142" s="11"/>
      <c r="BKM142" s="11"/>
      <c r="BKN142" s="11"/>
      <c r="BLC142" s="11"/>
      <c r="BLD142" s="11"/>
      <c r="BLS142" s="11"/>
      <c r="BLT142" s="11"/>
      <c r="BMI142" s="11"/>
      <c r="BMJ142" s="11"/>
      <c r="BMY142" s="11"/>
      <c r="BMZ142" s="11"/>
      <c r="BNO142" s="11"/>
      <c r="BNP142" s="11"/>
      <c r="BOE142" s="11"/>
      <c r="BOF142" s="11"/>
      <c r="BOU142" s="11"/>
      <c r="BOV142" s="11"/>
      <c r="BPK142" s="11"/>
      <c r="BPL142" s="11"/>
      <c r="BQA142" s="11"/>
      <c r="BQB142" s="11"/>
      <c r="BQQ142" s="11"/>
      <c r="BQR142" s="11"/>
      <c r="BRG142" s="11"/>
      <c r="BRH142" s="11"/>
      <c r="BRW142" s="11"/>
      <c r="BRX142" s="11"/>
      <c r="BSM142" s="11"/>
      <c r="BSN142" s="11"/>
      <c r="BTC142" s="11"/>
      <c r="BTD142" s="11"/>
      <c r="BTS142" s="11"/>
      <c r="BTT142" s="11"/>
      <c r="BUI142" s="11"/>
      <c r="BUJ142" s="11"/>
      <c r="BUY142" s="11"/>
      <c r="BUZ142" s="11"/>
      <c r="BVO142" s="11"/>
      <c r="BVP142" s="11"/>
      <c r="BWE142" s="11"/>
      <c r="BWF142" s="11"/>
      <c r="BWU142" s="11"/>
      <c r="BWV142" s="11"/>
      <c r="BXK142" s="11"/>
      <c r="BXL142" s="11"/>
      <c r="BYA142" s="11"/>
      <c r="BYB142" s="11"/>
      <c r="BYQ142" s="11"/>
      <c r="BYR142" s="11"/>
      <c r="BZG142" s="11"/>
      <c r="BZH142" s="11"/>
      <c r="BZW142" s="11"/>
      <c r="BZX142" s="11"/>
      <c r="CAM142" s="11"/>
      <c r="CAN142" s="11"/>
      <c r="CBC142" s="11"/>
      <c r="CBD142" s="11"/>
      <c r="CBS142" s="11"/>
      <c r="CBT142" s="11"/>
      <c r="CCI142" s="11"/>
      <c r="CCJ142" s="11"/>
      <c r="CCY142" s="11"/>
      <c r="CCZ142" s="11"/>
      <c r="CDO142" s="11"/>
      <c r="CDP142" s="11"/>
      <c r="CEE142" s="11"/>
      <c r="CEF142" s="11"/>
      <c r="CEU142" s="11"/>
      <c r="CEV142" s="11"/>
      <c r="CFK142" s="11"/>
      <c r="CFL142" s="11"/>
      <c r="CGA142" s="11"/>
      <c r="CGB142" s="11"/>
      <c r="CGQ142" s="11"/>
      <c r="CGR142" s="11"/>
      <c r="CHG142" s="11"/>
      <c r="CHH142" s="11"/>
      <c r="CHW142" s="11"/>
      <c r="CHX142" s="11"/>
      <c r="CIM142" s="11"/>
      <c r="CIN142" s="11"/>
      <c r="CJC142" s="11"/>
      <c r="CJD142" s="11"/>
      <c r="CJS142" s="11"/>
      <c r="CJT142" s="11"/>
      <c r="CKI142" s="11"/>
      <c r="CKJ142" s="11"/>
      <c r="CKY142" s="11"/>
      <c r="CKZ142" s="11"/>
      <c r="CLO142" s="11"/>
      <c r="CLP142" s="11"/>
      <c r="CME142" s="11"/>
      <c r="CMF142" s="11"/>
      <c r="CMU142" s="11"/>
      <c r="CMV142" s="11"/>
      <c r="CNK142" s="11"/>
      <c r="CNL142" s="11"/>
      <c r="COA142" s="11"/>
      <c r="COB142" s="11"/>
      <c r="COQ142" s="11"/>
      <c r="COR142" s="11"/>
      <c r="CPG142" s="11"/>
      <c r="CPH142" s="11"/>
      <c r="CPW142" s="11"/>
      <c r="CPX142" s="11"/>
      <c r="CQM142" s="11"/>
      <c r="CQN142" s="11"/>
      <c r="CRC142" s="11"/>
      <c r="CRD142" s="11"/>
      <c r="CRS142" s="11"/>
      <c r="CRT142" s="11"/>
      <c r="CSI142" s="11"/>
      <c r="CSJ142" s="11"/>
      <c r="CSY142" s="11"/>
      <c r="CSZ142" s="11"/>
      <c r="CTO142" s="11"/>
      <c r="CTP142" s="11"/>
      <c r="CUE142" s="11"/>
      <c r="CUF142" s="11"/>
      <c r="CUU142" s="11"/>
      <c r="CUV142" s="11"/>
      <c r="CVK142" s="11"/>
      <c r="CVL142" s="11"/>
      <c r="CWA142" s="11"/>
      <c r="CWB142" s="11"/>
      <c r="CWQ142" s="11"/>
      <c r="CWR142" s="11"/>
      <c r="CXG142" s="11"/>
      <c r="CXH142" s="11"/>
      <c r="CXW142" s="11"/>
      <c r="CXX142" s="11"/>
      <c r="CYM142" s="11"/>
      <c r="CYN142" s="11"/>
      <c r="CZC142" s="11"/>
      <c r="CZD142" s="11"/>
      <c r="CZS142" s="11"/>
      <c r="CZT142" s="11"/>
      <c r="DAI142" s="11"/>
      <c r="DAJ142" s="11"/>
      <c r="DAY142" s="11"/>
      <c r="DAZ142" s="11"/>
      <c r="DBO142" s="11"/>
      <c r="DBP142" s="11"/>
      <c r="DCE142" s="11"/>
      <c r="DCF142" s="11"/>
      <c r="DCU142" s="11"/>
      <c r="DCV142" s="11"/>
      <c r="DDK142" s="11"/>
      <c r="DDL142" s="11"/>
      <c r="DEA142" s="11"/>
      <c r="DEB142" s="11"/>
      <c r="DEQ142" s="11"/>
      <c r="DER142" s="11"/>
      <c r="DFG142" s="11"/>
      <c r="DFH142" s="11"/>
      <c r="DFW142" s="11"/>
      <c r="DFX142" s="11"/>
      <c r="DGM142" s="11"/>
      <c r="DGN142" s="11"/>
      <c r="DHC142" s="11"/>
      <c r="DHD142" s="11"/>
      <c r="DHS142" s="11"/>
      <c r="DHT142" s="11"/>
      <c r="DII142" s="11"/>
      <c r="DIJ142" s="11"/>
      <c r="DIY142" s="11"/>
      <c r="DIZ142" s="11"/>
      <c r="DJO142" s="11"/>
      <c r="DJP142" s="11"/>
      <c r="DKE142" s="11"/>
      <c r="DKF142" s="11"/>
      <c r="DKU142" s="11"/>
      <c r="DKV142" s="11"/>
      <c r="DLK142" s="11"/>
      <c r="DLL142" s="11"/>
      <c r="DMA142" s="11"/>
      <c r="DMB142" s="11"/>
      <c r="DMQ142" s="11"/>
      <c r="DMR142" s="11"/>
      <c r="DNG142" s="11"/>
      <c r="DNH142" s="11"/>
      <c r="DNW142" s="11"/>
      <c r="DNX142" s="11"/>
      <c r="DOM142" s="11"/>
      <c r="DON142" s="11"/>
      <c r="DPC142" s="11"/>
      <c r="DPD142" s="11"/>
      <c r="DPS142" s="11"/>
      <c r="DPT142" s="11"/>
      <c r="DQI142" s="11"/>
      <c r="DQJ142" s="11"/>
      <c r="DQY142" s="11"/>
      <c r="DQZ142" s="11"/>
      <c r="DRO142" s="11"/>
      <c r="DRP142" s="11"/>
      <c r="DSE142" s="11"/>
      <c r="DSF142" s="11"/>
      <c r="DSU142" s="11"/>
      <c r="DSV142" s="11"/>
      <c r="DTK142" s="11"/>
      <c r="DTL142" s="11"/>
      <c r="DUA142" s="11"/>
      <c r="DUB142" s="11"/>
      <c r="DUQ142" s="11"/>
      <c r="DUR142" s="11"/>
      <c r="DVG142" s="11"/>
      <c r="DVH142" s="11"/>
      <c r="DVW142" s="11"/>
      <c r="DVX142" s="11"/>
      <c r="DWM142" s="11"/>
      <c r="DWN142" s="11"/>
      <c r="DXC142" s="11"/>
      <c r="DXD142" s="11"/>
      <c r="DXS142" s="11"/>
      <c r="DXT142" s="11"/>
      <c r="DYI142" s="11"/>
      <c r="DYJ142" s="11"/>
      <c r="DYY142" s="11"/>
      <c r="DYZ142" s="11"/>
      <c r="DZO142" s="11"/>
      <c r="DZP142" s="11"/>
      <c r="EAE142" s="11"/>
      <c r="EAF142" s="11"/>
      <c r="EAU142" s="11"/>
      <c r="EAV142" s="11"/>
      <c r="EBK142" s="11"/>
      <c r="EBL142" s="11"/>
      <c r="ECA142" s="11"/>
      <c r="ECB142" s="11"/>
      <c r="ECQ142" s="11"/>
      <c r="ECR142" s="11"/>
      <c r="EDG142" s="11"/>
      <c r="EDH142" s="11"/>
      <c r="EDW142" s="11"/>
      <c r="EDX142" s="11"/>
      <c r="EEM142" s="11"/>
      <c r="EEN142" s="11"/>
      <c r="EFC142" s="11"/>
      <c r="EFD142" s="11"/>
      <c r="EFS142" s="11"/>
      <c r="EFT142" s="11"/>
      <c r="EGI142" s="11"/>
      <c r="EGJ142" s="11"/>
      <c r="EGY142" s="11"/>
      <c r="EGZ142" s="11"/>
      <c r="EHO142" s="11"/>
      <c r="EHP142" s="11"/>
      <c r="EIE142" s="11"/>
      <c r="EIF142" s="11"/>
      <c r="EIU142" s="11"/>
      <c r="EIV142" s="11"/>
      <c r="EJK142" s="11"/>
      <c r="EJL142" s="11"/>
      <c r="EKA142" s="11"/>
      <c r="EKB142" s="11"/>
      <c r="EKQ142" s="11"/>
      <c r="EKR142" s="11"/>
      <c r="ELG142" s="11"/>
      <c r="ELH142" s="11"/>
      <c r="ELW142" s="11"/>
      <c r="ELX142" s="11"/>
      <c r="EMM142" s="11"/>
      <c r="EMN142" s="11"/>
      <c r="ENC142" s="11"/>
      <c r="END142" s="11"/>
      <c r="ENS142" s="11"/>
      <c r="ENT142" s="11"/>
      <c r="EOI142" s="11"/>
      <c r="EOJ142" s="11"/>
      <c r="EOY142" s="11"/>
      <c r="EOZ142" s="11"/>
      <c r="EPO142" s="11"/>
      <c r="EPP142" s="11"/>
      <c r="EQE142" s="11"/>
      <c r="EQF142" s="11"/>
      <c r="EQU142" s="11"/>
      <c r="EQV142" s="11"/>
      <c r="ERK142" s="11"/>
      <c r="ERL142" s="11"/>
      <c r="ESA142" s="11"/>
      <c r="ESB142" s="11"/>
      <c r="ESQ142" s="11"/>
      <c r="ESR142" s="11"/>
      <c r="ETG142" s="11"/>
      <c r="ETH142" s="11"/>
      <c r="ETW142" s="11"/>
      <c r="ETX142" s="11"/>
      <c r="EUM142" s="11"/>
      <c r="EUN142" s="11"/>
      <c r="EVC142" s="11"/>
      <c r="EVD142" s="11"/>
      <c r="EVS142" s="11"/>
      <c r="EVT142" s="11"/>
      <c r="EWI142" s="11"/>
      <c r="EWJ142" s="11"/>
      <c r="EWY142" s="11"/>
      <c r="EWZ142" s="11"/>
      <c r="EXO142" s="11"/>
      <c r="EXP142" s="11"/>
      <c r="EYE142" s="11"/>
      <c r="EYF142" s="11"/>
      <c r="EYU142" s="11"/>
      <c r="EYV142" s="11"/>
      <c r="EZK142" s="11"/>
      <c r="EZL142" s="11"/>
      <c r="FAA142" s="11"/>
      <c r="FAB142" s="11"/>
      <c r="FAQ142" s="11"/>
      <c r="FAR142" s="11"/>
      <c r="FBG142" s="11"/>
      <c r="FBH142" s="11"/>
      <c r="FBW142" s="11"/>
      <c r="FBX142" s="11"/>
      <c r="FCM142" s="11"/>
      <c r="FCN142" s="11"/>
      <c r="FDC142" s="11"/>
      <c r="FDD142" s="11"/>
      <c r="FDS142" s="11"/>
      <c r="FDT142" s="11"/>
      <c r="FEI142" s="11"/>
      <c r="FEJ142" s="11"/>
      <c r="FEY142" s="11"/>
      <c r="FEZ142" s="11"/>
      <c r="FFO142" s="11"/>
      <c r="FFP142" s="11"/>
      <c r="FGE142" s="11"/>
      <c r="FGF142" s="11"/>
      <c r="FGU142" s="11"/>
      <c r="FGV142" s="11"/>
      <c r="FHK142" s="11"/>
      <c r="FHL142" s="11"/>
      <c r="FIA142" s="11"/>
      <c r="FIB142" s="11"/>
      <c r="FIQ142" s="11"/>
      <c r="FIR142" s="11"/>
      <c r="FJG142" s="11"/>
      <c r="FJH142" s="11"/>
      <c r="FJW142" s="11"/>
      <c r="FJX142" s="11"/>
      <c r="FKM142" s="11"/>
      <c r="FKN142" s="11"/>
      <c r="FLC142" s="11"/>
      <c r="FLD142" s="11"/>
      <c r="FLS142" s="11"/>
      <c r="FLT142" s="11"/>
      <c r="FMI142" s="11"/>
      <c r="FMJ142" s="11"/>
      <c r="FMY142" s="11"/>
      <c r="FMZ142" s="11"/>
      <c r="FNO142" s="11"/>
      <c r="FNP142" s="11"/>
      <c r="FOE142" s="11"/>
      <c r="FOF142" s="11"/>
      <c r="FOU142" s="11"/>
      <c r="FOV142" s="11"/>
      <c r="FPK142" s="11"/>
      <c r="FPL142" s="11"/>
      <c r="FQA142" s="11"/>
      <c r="FQB142" s="11"/>
      <c r="FQQ142" s="11"/>
      <c r="FQR142" s="11"/>
      <c r="FRG142" s="11"/>
      <c r="FRH142" s="11"/>
      <c r="FRW142" s="11"/>
      <c r="FRX142" s="11"/>
      <c r="FSM142" s="11"/>
      <c r="FSN142" s="11"/>
      <c r="FTC142" s="11"/>
      <c r="FTD142" s="11"/>
      <c r="FTS142" s="11"/>
      <c r="FTT142" s="11"/>
      <c r="FUI142" s="11"/>
      <c r="FUJ142" s="11"/>
      <c r="FUY142" s="11"/>
      <c r="FUZ142" s="11"/>
      <c r="FVO142" s="11"/>
      <c r="FVP142" s="11"/>
      <c r="FWE142" s="11"/>
      <c r="FWF142" s="11"/>
      <c r="FWU142" s="11"/>
      <c r="FWV142" s="11"/>
      <c r="FXK142" s="11"/>
      <c r="FXL142" s="11"/>
      <c r="FYA142" s="11"/>
      <c r="FYB142" s="11"/>
      <c r="FYQ142" s="11"/>
      <c r="FYR142" s="11"/>
      <c r="FZG142" s="11"/>
      <c r="FZH142" s="11"/>
      <c r="FZW142" s="11"/>
      <c r="FZX142" s="11"/>
      <c r="GAM142" s="11"/>
      <c r="GAN142" s="11"/>
      <c r="GBC142" s="11"/>
      <c r="GBD142" s="11"/>
      <c r="GBS142" s="11"/>
      <c r="GBT142" s="11"/>
      <c r="GCI142" s="11"/>
      <c r="GCJ142" s="11"/>
      <c r="GCY142" s="11"/>
      <c r="GCZ142" s="11"/>
      <c r="GDO142" s="11"/>
      <c r="GDP142" s="11"/>
      <c r="GEE142" s="11"/>
      <c r="GEF142" s="11"/>
      <c r="GEU142" s="11"/>
      <c r="GEV142" s="11"/>
      <c r="GFK142" s="11"/>
      <c r="GFL142" s="11"/>
      <c r="GGA142" s="11"/>
      <c r="GGB142" s="11"/>
      <c r="GGQ142" s="11"/>
      <c r="GGR142" s="11"/>
      <c r="GHG142" s="11"/>
      <c r="GHH142" s="11"/>
      <c r="GHW142" s="11"/>
      <c r="GHX142" s="11"/>
      <c r="GIM142" s="11"/>
      <c r="GIN142" s="11"/>
      <c r="GJC142" s="11"/>
      <c r="GJD142" s="11"/>
      <c r="GJS142" s="11"/>
      <c r="GJT142" s="11"/>
      <c r="GKI142" s="11"/>
      <c r="GKJ142" s="11"/>
      <c r="GKY142" s="11"/>
      <c r="GKZ142" s="11"/>
      <c r="GLO142" s="11"/>
      <c r="GLP142" s="11"/>
      <c r="GME142" s="11"/>
      <c r="GMF142" s="11"/>
      <c r="GMU142" s="11"/>
      <c r="GMV142" s="11"/>
      <c r="GNK142" s="11"/>
      <c r="GNL142" s="11"/>
      <c r="GOA142" s="11"/>
      <c r="GOB142" s="11"/>
      <c r="GOQ142" s="11"/>
      <c r="GOR142" s="11"/>
      <c r="GPG142" s="11"/>
      <c r="GPH142" s="11"/>
      <c r="GPW142" s="11"/>
      <c r="GPX142" s="11"/>
      <c r="GQM142" s="11"/>
      <c r="GQN142" s="11"/>
      <c r="GRC142" s="11"/>
      <c r="GRD142" s="11"/>
      <c r="GRS142" s="11"/>
      <c r="GRT142" s="11"/>
      <c r="GSI142" s="11"/>
      <c r="GSJ142" s="11"/>
      <c r="GSY142" s="11"/>
      <c r="GSZ142" s="11"/>
      <c r="GTO142" s="11"/>
      <c r="GTP142" s="11"/>
      <c r="GUE142" s="11"/>
      <c r="GUF142" s="11"/>
      <c r="GUU142" s="11"/>
      <c r="GUV142" s="11"/>
      <c r="GVK142" s="11"/>
      <c r="GVL142" s="11"/>
      <c r="GWA142" s="11"/>
      <c r="GWB142" s="11"/>
      <c r="GWQ142" s="11"/>
      <c r="GWR142" s="11"/>
      <c r="GXG142" s="11"/>
      <c r="GXH142" s="11"/>
      <c r="GXW142" s="11"/>
      <c r="GXX142" s="11"/>
      <c r="GYM142" s="11"/>
      <c r="GYN142" s="11"/>
      <c r="GZC142" s="11"/>
      <c r="GZD142" s="11"/>
      <c r="GZS142" s="11"/>
      <c r="GZT142" s="11"/>
      <c r="HAI142" s="11"/>
      <c r="HAJ142" s="11"/>
      <c r="HAY142" s="11"/>
      <c r="HAZ142" s="11"/>
      <c r="HBO142" s="11"/>
      <c r="HBP142" s="11"/>
      <c r="HCE142" s="11"/>
      <c r="HCF142" s="11"/>
      <c r="HCU142" s="11"/>
      <c r="HCV142" s="11"/>
      <c r="HDK142" s="11"/>
      <c r="HDL142" s="11"/>
      <c r="HEA142" s="11"/>
      <c r="HEB142" s="11"/>
      <c r="HEQ142" s="11"/>
      <c r="HER142" s="11"/>
      <c r="HFG142" s="11"/>
      <c r="HFH142" s="11"/>
      <c r="HFW142" s="11"/>
      <c r="HFX142" s="11"/>
      <c r="HGM142" s="11"/>
      <c r="HGN142" s="11"/>
      <c r="HHC142" s="11"/>
      <c r="HHD142" s="11"/>
      <c r="HHS142" s="11"/>
      <c r="HHT142" s="11"/>
      <c r="HII142" s="11"/>
      <c r="HIJ142" s="11"/>
      <c r="HIY142" s="11"/>
      <c r="HIZ142" s="11"/>
      <c r="HJO142" s="11"/>
      <c r="HJP142" s="11"/>
      <c r="HKE142" s="11"/>
      <c r="HKF142" s="11"/>
      <c r="HKU142" s="11"/>
      <c r="HKV142" s="11"/>
      <c r="HLK142" s="11"/>
      <c r="HLL142" s="11"/>
      <c r="HMA142" s="11"/>
      <c r="HMB142" s="11"/>
      <c r="HMQ142" s="11"/>
      <c r="HMR142" s="11"/>
      <c r="HNG142" s="11"/>
      <c r="HNH142" s="11"/>
      <c r="HNW142" s="11"/>
      <c r="HNX142" s="11"/>
      <c r="HOM142" s="11"/>
      <c r="HON142" s="11"/>
      <c r="HPC142" s="11"/>
      <c r="HPD142" s="11"/>
      <c r="HPS142" s="11"/>
      <c r="HPT142" s="11"/>
      <c r="HQI142" s="11"/>
      <c r="HQJ142" s="11"/>
      <c r="HQY142" s="11"/>
      <c r="HQZ142" s="11"/>
      <c r="HRO142" s="11"/>
      <c r="HRP142" s="11"/>
      <c r="HSE142" s="11"/>
      <c r="HSF142" s="11"/>
      <c r="HSU142" s="11"/>
      <c r="HSV142" s="11"/>
      <c r="HTK142" s="11"/>
      <c r="HTL142" s="11"/>
      <c r="HUA142" s="11"/>
      <c r="HUB142" s="11"/>
      <c r="HUQ142" s="11"/>
      <c r="HUR142" s="11"/>
      <c r="HVG142" s="11"/>
      <c r="HVH142" s="11"/>
      <c r="HVW142" s="11"/>
      <c r="HVX142" s="11"/>
      <c r="HWM142" s="11"/>
      <c r="HWN142" s="11"/>
      <c r="HXC142" s="11"/>
      <c r="HXD142" s="11"/>
      <c r="HXS142" s="11"/>
      <c r="HXT142" s="11"/>
      <c r="HYI142" s="11"/>
      <c r="HYJ142" s="11"/>
      <c r="HYY142" s="11"/>
      <c r="HYZ142" s="11"/>
      <c r="HZO142" s="11"/>
      <c r="HZP142" s="11"/>
      <c r="IAE142" s="11"/>
      <c r="IAF142" s="11"/>
      <c r="IAU142" s="11"/>
      <c r="IAV142" s="11"/>
      <c r="IBK142" s="11"/>
      <c r="IBL142" s="11"/>
      <c r="ICA142" s="11"/>
      <c r="ICB142" s="11"/>
      <c r="ICQ142" s="11"/>
      <c r="ICR142" s="11"/>
      <c r="IDG142" s="11"/>
      <c r="IDH142" s="11"/>
      <c r="IDW142" s="11"/>
      <c r="IDX142" s="11"/>
      <c r="IEM142" s="11"/>
      <c r="IEN142" s="11"/>
      <c r="IFC142" s="11"/>
      <c r="IFD142" s="11"/>
      <c r="IFS142" s="11"/>
      <c r="IFT142" s="11"/>
      <c r="IGI142" s="11"/>
      <c r="IGJ142" s="11"/>
      <c r="IGY142" s="11"/>
      <c r="IGZ142" s="11"/>
      <c r="IHO142" s="11"/>
      <c r="IHP142" s="11"/>
      <c r="IIE142" s="11"/>
      <c r="IIF142" s="11"/>
      <c r="IIU142" s="11"/>
      <c r="IIV142" s="11"/>
      <c r="IJK142" s="11"/>
      <c r="IJL142" s="11"/>
      <c r="IKA142" s="11"/>
      <c r="IKB142" s="11"/>
      <c r="IKQ142" s="11"/>
      <c r="IKR142" s="11"/>
      <c r="ILG142" s="11"/>
      <c r="ILH142" s="11"/>
      <c r="ILW142" s="11"/>
      <c r="ILX142" s="11"/>
      <c r="IMM142" s="11"/>
      <c r="IMN142" s="11"/>
      <c r="INC142" s="11"/>
      <c r="IND142" s="11"/>
      <c r="INS142" s="11"/>
      <c r="INT142" s="11"/>
      <c r="IOI142" s="11"/>
      <c r="IOJ142" s="11"/>
      <c r="IOY142" s="11"/>
      <c r="IOZ142" s="11"/>
      <c r="IPO142" s="11"/>
      <c r="IPP142" s="11"/>
      <c r="IQE142" s="11"/>
      <c r="IQF142" s="11"/>
      <c r="IQU142" s="11"/>
      <c r="IQV142" s="11"/>
      <c r="IRK142" s="11"/>
      <c r="IRL142" s="11"/>
      <c r="ISA142" s="11"/>
      <c r="ISB142" s="11"/>
      <c r="ISQ142" s="11"/>
      <c r="ISR142" s="11"/>
      <c r="ITG142" s="11"/>
      <c r="ITH142" s="11"/>
      <c r="ITW142" s="11"/>
      <c r="ITX142" s="11"/>
      <c r="IUM142" s="11"/>
      <c r="IUN142" s="11"/>
      <c r="IVC142" s="11"/>
      <c r="IVD142" s="11"/>
      <c r="IVS142" s="11"/>
      <c r="IVT142" s="11"/>
      <c r="IWI142" s="11"/>
      <c r="IWJ142" s="11"/>
      <c r="IWY142" s="11"/>
      <c r="IWZ142" s="11"/>
      <c r="IXO142" s="11"/>
      <c r="IXP142" s="11"/>
      <c r="IYE142" s="11"/>
      <c r="IYF142" s="11"/>
      <c r="IYU142" s="11"/>
      <c r="IYV142" s="11"/>
      <c r="IZK142" s="11"/>
      <c r="IZL142" s="11"/>
      <c r="JAA142" s="11"/>
      <c r="JAB142" s="11"/>
      <c r="JAQ142" s="11"/>
      <c r="JAR142" s="11"/>
      <c r="JBG142" s="11"/>
      <c r="JBH142" s="11"/>
      <c r="JBW142" s="11"/>
      <c r="JBX142" s="11"/>
      <c r="JCM142" s="11"/>
      <c r="JCN142" s="11"/>
      <c r="JDC142" s="11"/>
      <c r="JDD142" s="11"/>
      <c r="JDS142" s="11"/>
      <c r="JDT142" s="11"/>
      <c r="JEI142" s="11"/>
      <c r="JEJ142" s="11"/>
      <c r="JEY142" s="11"/>
      <c r="JEZ142" s="11"/>
      <c r="JFO142" s="11"/>
      <c r="JFP142" s="11"/>
      <c r="JGE142" s="11"/>
      <c r="JGF142" s="11"/>
      <c r="JGU142" s="11"/>
      <c r="JGV142" s="11"/>
      <c r="JHK142" s="11"/>
      <c r="JHL142" s="11"/>
      <c r="JIA142" s="11"/>
      <c r="JIB142" s="11"/>
      <c r="JIQ142" s="11"/>
      <c r="JIR142" s="11"/>
      <c r="JJG142" s="11"/>
      <c r="JJH142" s="11"/>
      <c r="JJW142" s="11"/>
      <c r="JJX142" s="11"/>
      <c r="JKM142" s="11"/>
      <c r="JKN142" s="11"/>
      <c r="JLC142" s="11"/>
      <c r="JLD142" s="11"/>
      <c r="JLS142" s="11"/>
      <c r="JLT142" s="11"/>
      <c r="JMI142" s="11"/>
      <c r="JMJ142" s="11"/>
      <c r="JMY142" s="11"/>
      <c r="JMZ142" s="11"/>
      <c r="JNO142" s="11"/>
      <c r="JNP142" s="11"/>
      <c r="JOE142" s="11"/>
      <c r="JOF142" s="11"/>
      <c r="JOU142" s="11"/>
      <c r="JOV142" s="11"/>
      <c r="JPK142" s="11"/>
      <c r="JPL142" s="11"/>
      <c r="JQA142" s="11"/>
      <c r="JQB142" s="11"/>
      <c r="JQQ142" s="11"/>
      <c r="JQR142" s="11"/>
      <c r="JRG142" s="11"/>
      <c r="JRH142" s="11"/>
      <c r="JRW142" s="11"/>
      <c r="JRX142" s="11"/>
      <c r="JSM142" s="11"/>
      <c r="JSN142" s="11"/>
      <c r="JTC142" s="11"/>
      <c r="JTD142" s="11"/>
      <c r="JTS142" s="11"/>
      <c r="JTT142" s="11"/>
      <c r="JUI142" s="11"/>
      <c r="JUJ142" s="11"/>
      <c r="JUY142" s="11"/>
      <c r="JUZ142" s="11"/>
      <c r="JVO142" s="11"/>
      <c r="JVP142" s="11"/>
      <c r="JWE142" s="11"/>
      <c r="JWF142" s="11"/>
      <c r="JWU142" s="11"/>
      <c r="JWV142" s="11"/>
      <c r="JXK142" s="11"/>
      <c r="JXL142" s="11"/>
      <c r="JYA142" s="11"/>
      <c r="JYB142" s="11"/>
      <c r="JYQ142" s="11"/>
      <c r="JYR142" s="11"/>
      <c r="JZG142" s="11"/>
      <c r="JZH142" s="11"/>
      <c r="JZW142" s="11"/>
      <c r="JZX142" s="11"/>
      <c r="KAM142" s="11"/>
      <c r="KAN142" s="11"/>
      <c r="KBC142" s="11"/>
      <c r="KBD142" s="11"/>
      <c r="KBS142" s="11"/>
      <c r="KBT142" s="11"/>
      <c r="KCI142" s="11"/>
      <c r="KCJ142" s="11"/>
      <c r="KCY142" s="11"/>
      <c r="KCZ142" s="11"/>
      <c r="KDO142" s="11"/>
      <c r="KDP142" s="11"/>
      <c r="KEE142" s="11"/>
      <c r="KEF142" s="11"/>
      <c r="KEU142" s="11"/>
      <c r="KEV142" s="11"/>
      <c r="KFK142" s="11"/>
      <c r="KFL142" s="11"/>
      <c r="KGA142" s="11"/>
      <c r="KGB142" s="11"/>
      <c r="KGQ142" s="11"/>
      <c r="KGR142" s="11"/>
      <c r="KHG142" s="11"/>
      <c r="KHH142" s="11"/>
      <c r="KHW142" s="11"/>
      <c r="KHX142" s="11"/>
      <c r="KIM142" s="11"/>
      <c r="KIN142" s="11"/>
      <c r="KJC142" s="11"/>
      <c r="KJD142" s="11"/>
      <c r="KJS142" s="11"/>
      <c r="KJT142" s="11"/>
      <c r="KKI142" s="11"/>
      <c r="KKJ142" s="11"/>
      <c r="KKY142" s="11"/>
      <c r="KKZ142" s="11"/>
      <c r="KLO142" s="11"/>
      <c r="KLP142" s="11"/>
      <c r="KME142" s="11"/>
      <c r="KMF142" s="11"/>
      <c r="KMU142" s="11"/>
      <c r="KMV142" s="11"/>
      <c r="KNK142" s="11"/>
      <c r="KNL142" s="11"/>
      <c r="KOA142" s="11"/>
      <c r="KOB142" s="11"/>
      <c r="KOQ142" s="11"/>
      <c r="KOR142" s="11"/>
      <c r="KPG142" s="11"/>
      <c r="KPH142" s="11"/>
      <c r="KPW142" s="11"/>
      <c r="KPX142" s="11"/>
      <c r="KQM142" s="11"/>
      <c r="KQN142" s="11"/>
      <c r="KRC142" s="11"/>
      <c r="KRD142" s="11"/>
      <c r="KRS142" s="11"/>
      <c r="KRT142" s="11"/>
      <c r="KSI142" s="11"/>
      <c r="KSJ142" s="11"/>
      <c r="KSY142" s="11"/>
      <c r="KSZ142" s="11"/>
      <c r="KTO142" s="11"/>
      <c r="KTP142" s="11"/>
      <c r="KUE142" s="11"/>
      <c r="KUF142" s="11"/>
      <c r="KUU142" s="11"/>
      <c r="KUV142" s="11"/>
      <c r="KVK142" s="11"/>
      <c r="KVL142" s="11"/>
      <c r="KWA142" s="11"/>
      <c r="KWB142" s="11"/>
      <c r="KWQ142" s="11"/>
      <c r="KWR142" s="11"/>
      <c r="KXG142" s="11"/>
      <c r="KXH142" s="11"/>
      <c r="KXW142" s="11"/>
      <c r="KXX142" s="11"/>
      <c r="KYM142" s="11"/>
      <c r="KYN142" s="11"/>
      <c r="KZC142" s="11"/>
      <c r="KZD142" s="11"/>
      <c r="KZS142" s="11"/>
      <c r="KZT142" s="11"/>
      <c r="LAI142" s="11"/>
      <c r="LAJ142" s="11"/>
      <c r="LAY142" s="11"/>
      <c r="LAZ142" s="11"/>
      <c r="LBO142" s="11"/>
      <c r="LBP142" s="11"/>
      <c r="LCE142" s="11"/>
      <c r="LCF142" s="11"/>
      <c r="LCU142" s="11"/>
      <c r="LCV142" s="11"/>
      <c r="LDK142" s="11"/>
      <c r="LDL142" s="11"/>
      <c r="LEA142" s="11"/>
      <c r="LEB142" s="11"/>
      <c r="LEQ142" s="11"/>
      <c r="LER142" s="11"/>
      <c r="LFG142" s="11"/>
      <c r="LFH142" s="11"/>
      <c r="LFW142" s="11"/>
      <c r="LFX142" s="11"/>
      <c r="LGM142" s="11"/>
      <c r="LGN142" s="11"/>
      <c r="LHC142" s="11"/>
      <c r="LHD142" s="11"/>
      <c r="LHS142" s="11"/>
      <c r="LHT142" s="11"/>
      <c r="LII142" s="11"/>
      <c r="LIJ142" s="11"/>
      <c r="LIY142" s="11"/>
      <c r="LIZ142" s="11"/>
      <c r="LJO142" s="11"/>
      <c r="LJP142" s="11"/>
      <c r="LKE142" s="11"/>
      <c r="LKF142" s="11"/>
      <c r="LKU142" s="11"/>
      <c r="LKV142" s="11"/>
      <c r="LLK142" s="11"/>
      <c r="LLL142" s="11"/>
      <c r="LMA142" s="11"/>
      <c r="LMB142" s="11"/>
      <c r="LMQ142" s="11"/>
      <c r="LMR142" s="11"/>
      <c r="LNG142" s="11"/>
      <c r="LNH142" s="11"/>
      <c r="LNW142" s="11"/>
      <c r="LNX142" s="11"/>
      <c r="LOM142" s="11"/>
      <c r="LON142" s="11"/>
      <c r="LPC142" s="11"/>
      <c r="LPD142" s="11"/>
      <c r="LPS142" s="11"/>
      <c r="LPT142" s="11"/>
      <c r="LQI142" s="11"/>
      <c r="LQJ142" s="11"/>
      <c r="LQY142" s="11"/>
      <c r="LQZ142" s="11"/>
      <c r="LRO142" s="11"/>
      <c r="LRP142" s="11"/>
      <c r="LSE142" s="11"/>
      <c r="LSF142" s="11"/>
      <c r="LSU142" s="11"/>
      <c r="LSV142" s="11"/>
      <c r="LTK142" s="11"/>
      <c r="LTL142" s="11"/>
      <c r="LUA142" s="11"/>
      <c r="LUB142" s="11"/>
      <c r="LUQ142" s="11"/>
      <c r="LUR142" s="11"/>
      <c r="LVG142" s="11"/>
      <c r="LVH142" s="11"/>
      <c r="LVW142" s="11"/>
      <c r="LVX142" s="11"/>
      <c r="LWM142" s="11"/>
      <c r="LWN142" s="11"/>
      <c r="LXC142" s="11"/>
      <c r="LXD142" s="11"/>
      <c r="LXS142" s="11"/>
      <c r="LXT142" s="11"/>
      <c r="LYI142" s="11"/>
      <c r="LYJ142" s="11"/>
      <c r="LYY142" s="11"/>
      <c r="LYZ142" s="11"/>
      <c r="LZO142" s="11"/>
      <c r="LZP142" s="11"/>
      <c r="MAE142" s="11"/>
      <c r="MAF142" s="11"/>
      <c r="MAU142" s="11"/>
      <c r="MAV142" s="11"/>
      <c r="MBK142" s="11"/>
      <c r="MBL142" s="11"/>
      <c r="MCA142" s="11"/>
      <c r="MCB142" s="11"/>
      <c r="MCQ142" s="11"/>
      <c r="MCR142" s="11"/>
      <c r="MDG142" s="11"/>
      <c r="MDH142" s="11"/>
      <c r="MDW142" s="11"/>
      <c r="MDX142" s="11"/>
      <c r="MEM142" s="11"/>
      <c r="MEN142" s="11"/>
      <c r="MFC142" s="11"/>
      <c r="MFD142" s="11"/>
      <c r="MFS142" s="11"/>
      <c r="MFT142" s="11"/>
      <c r="MGI142" s="11"/>
      <c r="MGJ142" s="11"/>
      <c r="MGY142" s="11"/>
      <c r="MGZ142" s="11"/>
      <c r="MHO142" s="11"/>
      <c r="MHP142" s="11"/>
      <c r="MIE142" s="11"/>
      <c r="MIF142" s="11"/>
      <c r="MIU142" s="11"/>
      <c r="MIV142" s="11"/>
      <c r="MJK142" s="11"/>
      <c r="MJL142" s="11"/>
      <c r="MKA142" s="11"/>
      <c r="MKB142" s="11"/>
      <c r="MKQ142" s="11"/>
      <c r="MKR142" s="11"/>
      <c r="MLG142" s="11"/>
      <c r="MLH142" s="11"/>
      <c r="MLW142" s="11"/>
      <c r="MLX142" s="11"/>
      <c r="MMM142" s="11"/>
      <c r="MMN142" s="11"/>
      <c r="MNC142" s="11"/>
      <c r="MND142" s="11"/>
      <c r="MNS142" s="11"/>
      <c r="MNT142" s="11"/>
      <c r="MOI142" s="11"/>
      <c r="MOJ142" s="11"/>
      <c r="MOY142" s="11"/>
      <c r="MOZ142" s="11"/>
      <c r="MPO142" s="11"/>
      <c r="MPP142" s="11"/>
      <c r="MQE142" s="11"/>
      <c r="MQF142" s="11"/>
      <c r="MQU142" s="11"/>
      <c r="MQV142" s="11"/>
      <c r="MRK142" s="11"/>
      <c r="MRL142" s="11"/>
      <c r="MSA142" s="11"/>
      <c r="MSB142" s="11"/>
      <c r="MSQ142" s="11"/>
      <c r="MSR142" s="11"/>
      <c r="MTG142" s="11"/>
      <c r="MTH142" s="11"/>
      <c r="MTW142" s="11"/>
      <c r="MTX142" s="11"/>
      <c r="MUM142" s="11"/>
      <c r="MUN142" s="11"/>
      <c r="MVC142" s="11"/>
      <c r="MVD142" s="11"/>
      <c r="MVS142" s="11"/>
      <c r="MVT142" s="11"/>
      <c r="MWI142" s="11"/>
      <c r="MWJ142" s="11"/>
      <c r="MWY142" s="11"/>
      <c r="MWZ142" s="11"/>
      <c r="MXO142" s="11"/>
      <c r="MXP142" s="11"/>
      <c r="MYE142" s="11"/>
      <c r="MYF142" s="11"/>
      <c r="MYU142" s="11"/>
      <c r="MYV142" s="11"/>
      <c r="MZK142" s="11"/>
      <c r="MZL142" s="11"/>
      <c r="NAA142" s="11"/>
      <c r="NAB142" s="11"/>
      <c r="NAQ142" s="11"/>
      <c r="NAR142" s="11"/>
      <c r="NBG142" s="11"/>
      <c r="NBH142" s="11"/>
      <c r="NBW142" s="11"/>
      <c r="NBX142" s="11"/>
      <c r="NCM142" s="11"/>
      <c r="NCN142" s="11"/>
      <c r="NDC142" s="11"/>
      <c r="NDD142" s="11"/>
      <c r="NDS142" s="11"/>
      <c r="NDT142" s="11"/>
      <c r="NEI142" s="11"/>
      <c r="NEJ142" s="11"/>
      <c r="NEY142" s="11"/>
      <c r="NEZ142" s="11"/>
      <c r="NFO142" s="11"/>
      <c r="NFP142" s="11"/>
      <c r="NGE142" s="11"/>
      <c r="NGF142" s="11"/>
      <c r="NGU142" s="11"/>
      <c r="NGV142" s="11"/>
      <c r="NHK142" s="11"/>
      <c r="NHL142" s="11"/>
      <c r="NIA142" s="11"/>
      <c r="NIB142" s="11"/>
      <c r="NIQ142" s="11"/>
      <c r="NIR142" s="11"/>
      <c r="NJG142" s="11"/>
      <c r="NJH142" s="11"/>
      <c r="NJW142" s="11"/>
      <c r="NJX142" s="11"/>
      <c r="NKM142" s="11"/>
      <c r="NKN142" s="11"/>
      <c r="NLC142" s="11"/>
      <c r="NLD142" s="11"/>
      <c r="NLS142" s="11"/>
      <c r="NLT142" s="11"/>
      <c r="NMI142" s="11"/>
      <c r="NMJ142" s="11"/>
      <c r="NMY142" s="11"/>
      <c r="NMZ142" s="11"/>
      <c r="NNO142" s="11"/>
      <c r="NNP142" s="11"/>
      <c r="NOE142" s="11"/>
      <c r="NOF142" s="11"/>
      <c r="NOU142" s="11"/>
      <c r="NOV142" s="11"/>
      <c r="NPK142" s="11"/>
      <c r="NPL142" s="11"/>
      <c r="NQA142" s="11"/>
      <c r="NQB142" s="11"/>
      <c r="NQQ142" s="11"/>
      <c r="NQR142" s="11"/>
      <c r="NRG142" s="11"/>
      <c r="NRH142" s="11"/>
      <c r="NRW142" s="11"/>
      <c r="NRX142" s="11"/>
      <c r="NSM142" s="11"/>
      <c r="NSN142" s="11"/>
      <c r="NTC142" s="11"/>
      <c r="NTD142" s="11"/>
      <c r="NTS142" s="11"/>
      <c r="NTT142" s="11"/>
      <c r="NUI142" s="11"/>
      <c r="NUJ142" s="11"/>
      <c r="NUY142" s="11"/>
      <c r="NUZ142" s="11"/>
      <c r="NVO142" s="11"/>
      <c r="NVP142" s="11"/>
      <c r="NWE142" s="11"/>
      <c r="NWF142" s="11"/>
      <c r="NWU142" s="11"/>
      <c r="NWV142" s="11"/>
      <c r="NXK142" s="11"/>
      <c r="NXL142" s="11"/>
      <c r="NYA142" s="11"/>
      <c r="NYB142" s="11"/>
      <c r="NYQ142" s="11"/>
      <c r="NYR142" s="11"/>
      <c r="NZG142" s="11"/>
      <c r="NZH142" s="11"/>
      <c r="NZW142" s="11"/>
      <c r="NZX142" s="11"/>
      <c r="OAM142" s="11"/>
      <c r="OAN142" s="11"/>
      <c r="OBC142" s="11"/>
      <c r="OBD142" s="11"/>
      <c r="OBS142" s="11"/>
      <c r="OBT142" s="11"/>
      <c r="OCI142" s="11"/>
      <c r="OCJ142" s="11"/>
      <c r="OCY142" s="11"/>
      <c r="OCZ142" s="11"/>
      <c r="ODO142" s="11"/>
      <c r="ODP142" s="11"/>
      <c r="OEE142" s="11"/>
      <c r="OEF142" s="11"/>
      <c r="OEU142" s="11"/>
      <c r="OEV142" s="11"/>
      <c r="OFK142" s="11"/>
      <c r="OFL142" s="11"/>
      <c r="OGA142" s="11"/>
      <c r="OGB142" s="11"/>
      <c r="OGQ142" s="11"/>
      <c r="OGR142" s="11"/>
      <c r="OHG142" s="11"/>
      <c r="OHH142" s="11"/>
      <c r="OHW142" s="11"/>
      <c r="OHX142" s="11"/>
      <c r="OIM142" s="11"/>
      <c r="OIN142" s="11"/>
      <c r="OJC142" s="11"/>
      <c r="OJD142" s="11"/>
      <c r="OJS142" s="11"/>
      <c r="OJT142" s="11"/>
      <c r="OKI142" s="11"/>
      <c r="OKJ142" s="11"/>
      <c r="OKY142" s="11"/>
      <c r="OKZ142" s="11"/>
      <c r="OLO142" s="11"/>
      <c r="OLP142" s="11"/>
      <c r="OME142" s="11"/>
      <c r="OMF142" s="11"/>
      <c r="OMU142" s="11"/>
      <c r="OMV142" s="11"/>
      <c r="ONK142" s="11"/>
      <c r="ONL142" s="11"/>
      <c r="OOA142" s="11"/>
      <c r="OOB142" s="11"/>
      <c r="OOQ142" s="11"/>
      <c r="OOR142" s="11"/>
      <c r="OPG142" s="11"/>
      <c r="OPH142" s="11"/>
      <c r="OPW142" s="11"/>
      <c r="OPX142" s="11"/>
      <c r="OQM142" s="11"/>
      <c r="OQN142" s="11"/>
      <c r="ORC142" s="11"/>
      <c r="ORD142" s="11"/>
      <c r="ORS142" s="11"/>
      <c r="ORT142" s="11"/>
      <c r="OSI142" s="11"/>
      <c r="OSJ142" s="11"/>
      <c r="OSY142" s="11"/>
      <c r="OSZ142" s="11"/>
      <c r="OTO142" s="11"/>
      <c r="OTP142" s="11"/>
      <c r="OUE142" s="11"/>
      <c r="OUF142" s="11"/>
      <c r="OUU142" s="11"/>
      <c r="OUV142" s="11"/>
      <c r="OVK142" s="11"/>
      <c r="OVL142" s="11"/>
      <c r="OWA142" s="11"/>
      <c r="OWB142" s="11"/>
      <c r="OWQ142" s="11"/>
      <c r="OWR142" s="11"/>
      <c r="OXG142" s="11"/>
      <c r="OXH142" s="11"/>
      <c r="OXW142" s="11"/>
      <c r="OXX142" s="11"/>
      <c r="OYM142" s="11"/>
      <c r="OYN142" s="11"/>
      <c r="OZC142" s="11"/>
      <c r="OZD142" s="11"/>
      <c r="OZS142" s="11"/>
      <c r="OZT142" s="11"/>
      <c r="PAI142" s="11"/>
      <c r="PAJ142" s="11"/>
      <c r="PAY142" s="11"/>
      <c r="PAZ142" s="11"/>
      <c r="PBO142" s="11"/>
      <c r="PBP142" s="11"/>
      <c r="PCE142" s="11"/>
      <c r="PCF142" s="11"/>
      <c r="PCU142" s="11"/>
      <c r="PCV142" s="11"/>
      <c r="PDK142" s="11"/>
      <c r="PDL142" s="11"/>
      <c r="PEA142" s="11"/>
      <c r="PEB142" s="11"/>
      <c r="PEQ142" s="11"/>
      <c r="PER142" s="11"/>
      <c r="PFG142" s="11"/>
      <c r="PFH142" s="11"/>
      <c r="PFW142" s="11"/>
      <c r="PFX142" s="11"/>
      <c r="PGM142" s="11"/>
      <c r="PGN142" s="11"/>
      <c r="PHC142" s="11"/>
      <c r="PHD142" s="11"/>
      <c r="PHS142" s="11"/>
      <c r="PHT142" s="11"/>
      <c r="PII142" s="11"/>
      <c r="PIJ142" s="11"/>
      <c r="PIY142" s="11"/>
      <c r="PIZ142" s="11"/>
      <c r="PJO142" s="11"/>
      <c r="PJP142" s="11"/>
      <c r="PKE142" s="11"/>
      <c r="PKF142" s="11"/>
      <c r="PKU142" s="11"/>
      <c r="PKV142" s="11"/>
      <c r="PLK142" s="11"/>
      <c r="PLL142" s="11"/>
      <c r="PMA142" s="11"/>
      <c r="PMB142" s="11"/>
      <c r="PMQ142" s="11"/>
      <c r="PMR142" s="11"/>
      <c r="PNG142" s="11"/>
      <c r="PNH142" s="11"/>
      <c r="PNW142" s="11"/>
      <c r="PNX142" s="11"/>
      <c r="POM142" s="11"/>
      <c r="PON142" s="11"/>
      <c r="PPC142" s="11"/>
      <c r="PPD142" s="11"/>
      <c r="PPS142" s="11"/>
      <c r="PPT142" s="11"/>
      <c r="PQI142" s="11"/>
      <c r="PQJ142" s="11"/>
      <c r="PQY142" s="11"/>
      <c r="PQZ142" s="11"/>
      <c r="PRO142" s="11"/>
      <c r="PRP142" s="11"/>
      <c r="PSE142" s="11"/>
      <c r="PSF142" s="11"/>
      <c r="PSU142" s="11"/>
      <c r="PSV142" s="11"/>
      <c r="PTK142" s="11"/>
      <c r="PTL142" s="11"/>
      <c r="PUA142" s="11"/>
      <c r="PUB142" s="11"/>
      <c r="PUQ142" s="11"/>
      <c r="PUR142" s="11"/>
      <c r="PVG142" s="11"/>
      <c r="PVH142" s="11"/>
      <c r="PVW142" s="11"/>
      <c r="PVX142" s="11"/>
      <c r="PWM142" s="11"/>
      <c r="PWN142" s="11"/>
      <c r="PXC142" s="11"/>
      <c r="PXD142" s="11"/>
      <c r="PXS142" s="11"/>
      <c r="PXT142" s="11"/>
      <c r="PYI142" s="11"/>
      <c r="PYJ142" s="11"/>
      <c r="PYY142" s="11"/>
      <c r="PYZ142" s="11"/>
      <c r="PZO142" s="11"/>
      <c r="PZP142" s="11"/>
      <c r="QAE142" s="11"/>
      <c r="QAF142" s="11"/>
      <c r="QAU142" s="11"/>
      <c r="QAV142" s="11"/>
      <c r="QBK142" s="11"/>
      <c r="QBL142" s="11"/>
      <c r="QCA142" s="11"/>
      <c r="QCB142" s="11"/>
      <c r="QCQ142" s="11"/>
      <c r="QCR142" s="11"/>
      <c r="QDG142" s="11"/>
      <c r="QDH142" s="11"/>
      <c r="QDW142" s="11"/>
      <c r="QDX142" s="11"/>
      <c r="QEM142" s="11"/>
      <c r="QEN142" s="11"/>
      <c r="QFC142" s="11"/>
      <c r="QFD142" s="11"/>
      <c r="QFS142" s="11"/>
      <c r="QFT142" s="11"/>
      <c r="QGI142" s="11"/>
      <c r="QGJ142" s="11"/>
      <c r="QGY142" s="11"/>
      <c r="QGZ142" s="11"/>
      <c r="QHO142" s="11"/>
      <c r="QHP142" s="11"/>
      <c r="QIE142" s="11"/>
      <c r="QIF142" s="11"/>
      <c r="QIU142" s="11"/>
      <c r="QIV142" s="11"/>
      <c r="QJK142" s="11"/>
      <c r="QJL142" s="11"/>
      <c r="QKA142" s="11"/>
      <c r="QKB142" s="11"/>
      <c r="QKQ142" s="11"/>
      <c r="QKR142" s="11"/>
      <c r="QLG142" s="11"/>
      <c r="QLH142" s="11"/>
      <c r="QLW142" s="11"/>
      <c r="QLX142" s="11"/>
      <c r="QMM142" s="11"/>
      <c r="QMN142" s="11"/>
      <c r="QNC142" s="11"/>
      <c r="QND142" s="11"/>
      <c r="QNS142" s="11"/>
      <c r="QNT142" s="11"/>
      <c r="QOI142" s="11"/>
      <c r="QOJ142" s="11"/>
      <c r="QOY142" s="11"/>
      <c r="QOZ142" s="11"/>
      <c r="QPO142" s="11"/>
      <c r="QPP142" s="11"/>
      <c r="QQE142" s="11"/>
      <c r="QQF142" s="11"/>
      <c r="QQU142" s="11"/>
      <c r="QQV142" s="11"/>
      <c r="QRK142" s="11"/>
      <c r="QRL142" s="11"/>
      <c r="QSA142" s="11"/>
      <c r="QSB142" s="11"/>
      <c r="QSQ142" s="11"/>
      <c r="QSR142" s="11"/>
      <c r="QTG142" s="11"/>
      <c r="QTH142" s="11"/>
      <c r="QTW142" s="11"/>
      <c r="QTX142" s="11"/>
      <c r="QUM142" s="11"/>
      <c r="QUN142" s="11"/>
      <c r="QVC142" s="11"/>
      <c r="QVD142" s="11"/>
      <c r="QVS142" s="11"/>
      <c r="QVT142" s="11"/>
      <c r="QWI142" s="11"/>
      <c r="QWJ142" s="11"/>
      <c r="QWY142" s="11"/>
      <c r="QWZ142" s="11"/>
      <c r="QXO142" s="11"/>
      <c r="QXP142" s="11"/>
      <c r="QYE142" s="11"/>
      <c r="QYF142" s="11"/>
      <c r="QYU142" s="11"/>
      <c r="QYV142" s="11"/>
      <c r="QZK142" s="11"/>
      <c r="QZL142" s="11"/>
      <c r="RAA142" s="11"/>
      <c r="RAB142" s="11"/>
      <c r="RAQ142" s="11"/>
      <c r="RAR142" s="11"/>
      <c r="RBG142" s="11"/>
      <c r="RBH142" s="11"/>
      <c r="RBW142" s="11"/>
      <c r="RBX142" s="11"/>
      <c r="RCM142" s="11"/>
      <c r="RCN142" s="11"/>
      <c r="RDC142" s="11"/>
      <c r="RDD142" s="11"/>
      <c r="RDS142" s="11"/>
      <c r="RDT142" s="11"/>
      <c r="REI142" s="11"/>
      <c r="REJ142" s="11"/>
      <c r="REY142" s="11"/>
      <c r="REZ142" s="11"/>
      <c r="RFO142" s="11"/>
      <c r="RFP142" s="11"/>
      <c r="RGE142" s="11"/>
      <c r="RGF142" s="11"/>
      <c r="RGU142" s="11"/>
      <c r="RGV142" s="11"/>
      <c r="RHK142" s="11"/>
      <c r="RHL142" s="11"/>
      <c r="RIA142" s="11"/>
      <c r="RIB142" s="11"/>
      <c r="RIQ142" s="11"/>
      <c r="RIR142" s="11"/>
      <c r="RJG142" s="11"/>
      <c r="RJH142" s="11"/>
      <c r="RJW142" s="11"/>
      <c r="RJX142" s="11"/>
      <c r="RKM142" s="11"/>
      <c r="RKN142" s="11"/>
      <c r="RLC142" s="11"/>
      <c r="RLD142" s="11"/>
      <c r="RLS142" s="11"/>
      <c r="RLT142" s="11"/>
      <c r="RMI142" s="11"/>
      <c r="RMJ142" s="11"/>
      <c r="RMY142" s="11"/>
      <c r="RMZ142" s="11"/>
      <c r="RNO142" s="11"/>
      <c r="RNP142" s="11"/>
      <c r="ROE142" s="11"/>
      <c r="ROF142" s="11"/>
      <c r="ROU142" s="11"/>
      <c r="ROV142" s="11"/>
      <c r="RPK142" s="11"/>
      <c r="RPL142" s="11"/>
      <c r="RQA142" s="11"/>
      <c r="RQB142" s="11"/>
      <c r="RQQ142" s="11"/>
      <c r="RQR142" s="11"/>
      <c r="RRG142" s="11"/>
      <c r="RRH142" s="11"/>
      <c r="RRW142" s="11"/>
      <c r="RRX142" s="11"/>
      <c r="RSM142" s="11"/>
      <c r="RSN142" s="11"/>
      <c r="RTC142" s="11"/>
      <c r="RTD142" s="11"/>
      <c r="RTS142" s="11"/>
      <c r="RTT142" s="11"/>
      <c r="RUI142" s="11"/>
      <c r="RUJ142" s="11"/>
      <c r="RUY142" s="11"/>
      <c r="RUZ142" s="11"/>
      <c r="RVO142" s="11"/>
      <c r="RVP142" s="11"/>
      <c r="RWE142" s="11"/>
      <c r="RWF142" s="11"/>
      <c r="RWU142" s="11"/>
      <c r="RWV142" s="11"/>
      <c r="RXK142" s="11"/>
      <c r="RXL142" s="11"/>
      <c r="RYA142" s="11"/>
      <c r="RYB142" s="11"/>
      <c r="RYQ142" s="11"/>
      <c r="RYR142" s="11"/>
      <c r="RZG142" s="11"/>
      <c r="RZH142" s="11"/>
      <c r="RZW142" s="11"/>
      <c r="RZX142" s="11"/>
      <c r="SAM142" s="11"/>
      <c r="SAN142" s="11"/>
      <c r="SBC142" s="11"/>
      <c r="SBD142" s="11"/>
      <c r="SBS142" s="11"/>
      <c r="SBT142" s="11"/>
      <c r="SCI142" s="11"/>
      <c r="SCJ142" s="11"/>
      <c r="SCY142" s="11"/>
      <c r="SCZ142" s="11"/>
      <c r="SDO142" s="11"/>
      <c r="SDP142" s="11"/>
      <c r="SEE142" s="11"/>
      <c r="SEF142" s="11"/>
      <c r="SEU142" s="11"/>
      <c r="SEV142" s="11"/>
      <c r="SFK142" s="11"/>
      <c r="SFL142" s="11"/>
      <c r="SGA142" s="11"/>
      <c r="SGB142" s="11"/>
      <c r="SGQ142" s="11"/>
      <c r="SGR142" s="11"/>
      <c r="SHG142" s="11"/>
      <c r="SHH142" s="11"/>
      <c r="SHW142" s="11"/>
      <c r="SHX142" s="11"/>
      <c r="SIM142" s="11"/>
      <c r="SIN142" s="11"/>
      <c r="SJC142" s="11"/>
      <c r="SJD142" s="11"/>
      <c r="SJS142" s="11"/>
      <c r="SJT142" s="11"/>
      <c r="SKI142" s="11"/>
      <c r="SKJ142" s="11"/>
      <c r="SKY142" s="11"/>
      <c r="SKZ142" s="11"/>
      <c r="SLO142" s="11"/>
      <c r="SLP142" s="11"/>
      <c r="SME142" s="11"/>
      <c r="SMF142" s="11"/>
      <c r="SMU142" s="11"/>
      <c r="SMV142" s="11"/>
      <c r="SNK142" s="11"/>
      <c r="SNL142" s="11"/>
      <c r="SOA142" s="11"/>
      <c r="SOB142" s="11"/>
      <c r="SOQ142" s="11"/>
      <c r="SOR142" s="11"/>
      <c r="SPG142" s="11"/>
      <c r="SPH142" s="11"/>
      <c r="SPW142" s="11"/>
      <c r="SPX142" s="11"/>
      <c r="SQM142" s="11"/>
      <c r="SQN142" s="11"/>
      <c r="SRC142" s="11"/>
      <c r="SRD142" s="11"/>
      <c r="SRS142" s="11"/>
      <c r="SRT142" s="11"/>
      <c r="SSI142" s="11"/>
      <c r="SSJ142" s="11"/>
      <c r="SSY142" s="11"/>
      <c r="SSZ142" s="11"/>
      <c r="STO142" s="11"/>
      <c r="STP142" s="11"/>
      <c r="SUE142" s="11"/>
      <c r="SUF142" s="11"/>
      <c r="SUU142" s="11"/>
      <c r="SUV142" s="11"/>
      <c r="SVK142" s="11"/>
      <c r="SVL142" s="11"/>
      <c r="SWA142" s="11"/>
      <c r="SWB142" s="11"/>
      <c r="SWQ142" s="11"/>
      <c r="SWR142" s="11"/>
      <c r="SXG142" s="11"/>
      <c r="SXH142" s="11"/>
      <c r="SXW142" s="11"/>
      <c r="SXX142" s="11"/>
      <c r="SYM142" s="11"/>
      <c r="SYN142" s="11"/>
      <c r="SZC142" s="11"/>
      <c r="SZD142" s="11"/>
      <c r="SZS142" s="11"/>
      <c r="SZT142" s="11"/>
      <c r="TAI142" s="11"/>
      <c r="TAJ142" s="11"/>
      <c r="TAY142" s="11"/>
      <c r="TAZ142" s="11"/>
      <c r="TBO142" s="11"/>
      <c r="TBP142" s="11"/>
      <c r="TCE142" s="11"/>
      <c r="TCF142" s="11"/>
      <c r="TCU142" s="11"/>
      <c r="TCV142" s="11"/>
      <c r="TDK142" s="11"/>
      <c r="TDL142" s="11"/>
      <c r="TEA142" s="11"/>
      <c r="TEB142" s="11"/>
      <c r="TEQ142" s="11"/>
      <c r="TER142" s="11"/>
      <c r="TFG142" s="11"/>
      <c r="TFH142" s="11"/>
      <c r="TFW142" s="11"/>
      <c r="TFX142" s="11"/>
      <c r="TGM142" s="11"/>
      <c r="TGN142" s="11"/>
      <c r="THC142" s="11"/>
      <c r="THD142" s="11"/>
      <c r="THS142" s="11"/>
      <c r="THT142" s="11"/>
      <c r="TII142" s="11"/>
      <c r="TIJ142" s="11"/>
      <c r="TIY142" s="11"/>
      <c r="TIZ142" s="11"/>
      <c r="TJO142" s="11"/>
      <c r="TJP142" s="11"/>
      <c r="TKE142" s="11"/>
      <c r="TKF142" s="11"/>
      <c r="TKU142" s="11"/>
      <c r="TKV142" s="11"/>
      <c r="TLK142" s="11"/>
      <c r="TLL142" s="11"/>
      <c r="TMA142" s="11"/>
      <c r="TMB142" s="11"/>
      <c r="TMQ142" s="11"/>
      <c r="TMR142" s="11"/>
      <c r="TNG142" s="11"/>
      <c r="TNH142" s="11"/>
      <c r="TNW142" s="11"/>
      <c r="TNX142" s="11"/>
      <c r="TOM142" s="11"/>
      <c r="TON142" s="11"/>
      <c r="TPC142" s="11"/>
      <c r="TPD142" s="11"/>
      <c r="TPS142" s="11"/>
      <c r="TPT142" s="11"/>
      <c r="TQI142" s="11"/>
      <c r="TQJ142" s="11"/>
      <c r="TQY142" s="11"/>
      <c r="TQZ142" s="11"/>
      <c r="TRO142" s="11"/>
      <c r="TRP142" s="11"/>
      <c r="TSE142" s="11"/>
      <c r="TSF142" s="11"/>
      <c r="TSU142" s="11"/>
      <c r="TSV142" s="11"/>
      <c r="TTK142" s="11"/>
      <c r="TTL142" s="11"/>
      <c r="TUA142" s="11"/>
      <c r="TUB142" s="11"/>
      <c r="TUQ142" s="11"/>
      <c r="TUR142" s="11"/>
      <c r="TVG142" s="11"/>
      <c r="TVH142" s="11"/>
      <c r="TVW142" s="11"/>
      <c r="TVX142" s="11"/>
      <c r="TWM142" s="11"/>
      <c r="TWN142" s="11"/>
      <c r="TXC142" s="11"/>
      <c r="TXD142" s="11"/>
      <c r="TXS142" s="11"/>
      <c r="TXT142" s="11"/>
      <c r="TYI142" s="11"/>
      <c r="TYJ142" s="11"/>
      <c r="TYY142" s="11"/>
      <c r="TYZ142" s="11"/>
      <c r="TZO142" s="11"/>
      <c r="TZP142" s="11"/>
      <c r="UAE142" s="11"/>
      <c r="UAF142" s="11"/>
      <c r="UAU142" s="11"/>
      <c r="UAV142" s="11"/>
      <c r="UBK142" s="11"/>
      <c r="UBL142" s="11"/>
      <c r="UCA142" s="11"/>
      <c r="UCB142" s="11"/>
      <c r="UCQ142" s="11"/>
      <c r="UCR142" s="11"/>
      <c r="UDG142" s="11"/>
      <c r="UDH142" s="11"/>
      <c r="UDW142" s="11"/>
      <c r="UDX142" s="11"/>
      <c r="UEM142" s="11"/>
      <c r="UEN142" s="11"/>
      <c r="UFC142" s="11"/>
      <c r="UFD142" s="11"/>
      <c r="UFS142" s="11"/>
      <c r="UFT142" s="11"/>
      <c r="UGI142" s="11"/>
      <c r="UGJ142" s="11"/>
      <c r="UGY142" s="11"/>
      <c r="UGZ142" s="11"/>
      <c r="UHO142" s="11"/>
      <c r="UHP142" s="11"/>
      <c r="UIE142" s="11"/>
      <c r="UIF142" s="11"/>
      <c r="UIU142" s="11"/>
      <c r="UIV142" s="11"/>
      <c r="UJK142" s="11"/>
      <c r="UJL142" s="11"/>
      <c r="UKA142" s="11"/>
      <c r="UKB142" s="11"/>
      <c r="UKQ142" s="11"/>
      <c r="UKR142" s="11"/>
      <c r="ULG142" s="11"/>
      <c r="ULH142" s="11"/>
      <c r="ULW142" s="11"/>
      <c r="ULX142" s="11"/>
      <c r="UMM142" s="11"/>
      <c r="UMN142" s="11"/>
      <c r="UNC142" s="11"/>
      <c r="UND142" s="11"/>
      <c r="UNS142" s="11"/>
      <c r="UNT142" s="11"/>
      <c r="UOI142" s="11"/>
      <c r="UOJ142" s="11"/>
      <c r="UOY142" s="11"/>
      <c r="UOZ142" s="11"/>
      <c r="UPO142" s="11"/>
      <c r="UPP142" s="11"/>
      <c r="UQE142" s="11"/>
      <c r="UQF142" s="11"/>
      <c r="UQU142" s="11"/>
      <c r="UQV142" s="11"/>
      <c r="URK142" s="11"/>
      <c r="URL142" s="11"/>
      <c r="USA142" s="11"/>
      <c r="USB142" s="11"/>
      <c r="USQ142" s="11"/>
      <c r="USR142" s="11"/>
      <c r="UTG142" s="11"/>
      <c r="UTH142" s="11"/>
      <c r="UTW142" s="11"/>
      <c r="UTX142" s="11"/>
      <c r="UUM142" s="11"/>
      <c r="UUN142" s="11"/>
      <c r="UVC142" s="11"/>
      <c r="UVD142" s="11"/>
      <c r="UVS142" s="11"/>
      <c r="UVT142" s="11"/>
      <c r="UWI142" s="11"/>
      <c r="UWJ142" s="11"/>
      <c r="UWY142" s="11"/>
      <c r="UWZ142" s="11"/>
      <c r="UXO142" s="11"/>
      <c r="UXP142" s="11"/>
      <c r="UYE142" s="11"/>
      <c r="UYF142" s="11"/>
      <c r="UYU142" s="11"/>
      <c r="UYV142" s="11"/>
      <c r="UZK142" s="11"/>
      <c r="UZL142" s="11"/>
      <c r="VAA142" s="11"/>
      <c r="VAB142" s="11"/>
      <c r="VAQ142" s="11"/>
      <c r="VAR142" s="11"/>
      <c r="VBG142" s="11"/>
      <c r="VBH142" s="11"/>
      <c r="VBW142" s="11"/>
      <c r="VBX142" s="11"/>
      <c r="VCM142" s="11"/>
      <c r="VCN142" s="11"/>
      <c r="VDC142" s="11"/>
      <c r="VDD142" s="11"/>
      <c r="VDS142" s="11"/>
      <c r="VDT142" s="11"/>
      <c r="VEI142" s="11"/>
      <c r="VEJ142" s="11"/>
      <c r="VEY142" s="11"/>
      <c r="VEZ142" s="11"/>
      <c r="VFO142" s="11"/>
      <c r="VFP142" s="11"/>
      <c r="VGE142" s="11"/>
      <c r="VGF142" s="11"/>
      <c r="VGU142" s="11"/>
      <c r="VGV142" s="11"/>
      <c r="VHK142" s="11"/>
      <c r="VHL142" s="11"/>
      <c r="VIA142" s="11"/>
      <c r="VIB142" s="11"/>
      <c r="VIQ142" s="11"/>
      <c r="VIR142" s="11"/>
      <c r="VJG142" s="11"/>
      <c r="VJH142" s="11"/>
      <c r="VJW142" s="11"/>
      <c r="VJX142" s="11"/>
      <c r="VKM142" s="11"/>
      <c r="VKN142" s="11"/>
      <c r="VLC142" s="11"/>
      <c r="VLD142" s="11"/>
      <c r="VLS142" s="11"/>
      <c r="VLT142" s="11"/>
      <c r="VMI142" s="11"/>
      <c r="VMJ142" s="11"/>
      <c r="VMY142" s="11"/>
      <c r="VMZ142" s="11"/>
      <c r="VNO142" s="11"/>
      <c r="VNP142" s="11"/>
      <c r="VOE142" s="11"/>
      <c r="VOF142" s="11"/>
      <c r="VOU142" s="11"/>
      <c r="VOV142" s="11"/>
      <c r="VPK142" s="11"/>
      <c r="VPL142" s="11"/>
      <c r="VQA142" s="11"/>
      <c r="VQB142" s="11"/>
      <c r="VQQ142" s="11"/>
      <c r="VQR142" s="11"/>
      <c r="VRG142" s="11"/>
      <c r="VRH142" s="11"/>
      <c r="VRW142" s="11"/>
      <c r="VRX142" s="11"/>
      <c r="VSM142" s="11"/>
      <c r="VSN142" s="11"/>
      <c r="VTC142" s="11"/>
      <c r="VTD142" s="11"/>
      <c r="VTS142" s="11"/>
      <c r="VTT142" s="11"/>
      <c r="VUI142" s="11"/>
      <c r="VUJ142" s="11"/>
      <c r="VUY142" s="11"/>
      <c r="VUZ142" s="11"/>
      <c r="VVO142" s="11"/>
      <c r="VVP142" s="11"/>
      <c r="VWE142" s="11"/>
      <c r="VWF142" s="11"/>
      <c r="VWU142" s="11"/>
      <c r="VWV142" s="11"/>
      <c r="VXK142" s="11"/>
      <c r="VXL142" s="11"/>
      <c r="VYA142" s="11"/>
      <c r="VYB142" s="11"/>
      <c r="VYQ142" s="11"/>
      <c r="VYR142" s="11"/>
      <c r="VZG142" s="11"/>
      <c r="VZH142" s="11"/>
      <c r="VZW142" s="11"/>
      <c r="VZX142" s="11"/>
      <c r="WAM142" s="11"/>
      <c r="WAN142" s="11"/>
      <c r="WBC142" s="11"/>
      <c r="WBD142" s="11"/>
      <c r="WBS142" s="11"/>
      <c r="WBT142" s="11"/>
      <c r="WCI142" s="11"/>
      <c r="WCJ142" s="11"/>
      <c r="WCY142" s="11"/>
      <c r="WCZ142" s="11"/>
      <c r="WDO142" s="11"/>
      <c r="WDP142" s="11"/>
      <c r="WEE142" s="11"/>
      <c r="WEF142" s="11"/>
      <c r="WEU142" s="11"/>
      <c r="WEV142" s="11"/>
      <c r="WFK142" s="11"/>
      <c r="WFL142" s="11"/>
      <c r="WGA142" s="11"/>
      <c r="WGB142" s="11"/>
      <c r="WGQ142" s="11"/>
      <c r="WGR142" s="11"/>
      <c r="WHG142" s="11"/>
      <c r="WHH142" s="11"/>
      <c r="WHW142" s="11"/>
      <c r="WHX142" s="11"/>
      <c r="WIM142" s="11"/>
      <c r="WIN142" s="11"/>
      <c r="WJC142" s="11"/>
      <c r="WJD142" s="11"/>
      <c r="WJS142" s="11"/>
      <c r="WJT142" s="11"/>
      <c r="WKI142" s="11"/>
      <c r="WKJ142" s="11"/>
      <c r="WKY142" s="11"/>
      <c r="WKZ142" s="11"/>
      <c r="WLO142" s="11"/>
      <c r="WLP142" s="11"/>
      <c r="WME142" s="11"/>
      <c r="WMF142" s="11"/>
      <c r="WMU142" s="11"/>
      <c r="WMV142" s="11"/>
      <c r="WNK142" s="11"/>
      <c r="WNL142" s="11"/>
      <c r="WOA142" s="11"/>
      <c r="WOB142" s="11"/>
      <c r="WOQ142" s="11"/>
      <c r="WOR142" s="11"/>
      <c r="WPG142" s="11"/>
      <c r="WPH142" s="11"/>
      <c r="WPW142" s="11"/>
      <c r="WPX142" s="11"/>
      <c r="WQM142" s="11"/>
      <c r="WQN142" s="11"/>
      <c r="WRC142" s="11"/>
      <c r="WRD142" s="11"/>
      <c r="WRS142" s="11"/>
      <c r="WRT142" s="11"/>
      <c r="WSI142" s="11"/>
      <c r="WSJ142" s="11"/>
      <c r="WSY142" s="11"/>
      <c r="WSZ142" s="11"/>
      <c r="WTO142" s="11"/>
      <c r="WTP142" s="11"/>
      <c r="WUE142" s="11"/>
      <c r="WUF142" s="11"/>
      <c r="WUU142" s="11"/>
      <c r="WUV142" s="11"/>
      <c r="WVK142" s="11"/>
      <c r="WVL142" s="11"/>
      <c r="WWA142" s="11"/>
      <c r="WWB142" s="11"/>
      <c r="WWQ142" s="11"/>
      <c r="WWR142" s="11"/>
      <c r="WXG142" s="11"/>
      <c r="WXH142" s="11"/>
      <c r="WXW142" s="11"/>
      <c r="WXX142" s="11"/>
      <c r="WYM142" s="11"/>
      <c r="WYN142" s="11"/>
      <c r="WZC142" s="11"/>
      <c r="WZD142" s="11"/>
      <c r="WZS142" s="11"/>
      <c r="WZT142" s="11"/>
      <c r="XAI142" s="11"/>
      <c r="XAJ142" s="11"/>
      <c r="XAY142" s="11"/>
      <c r="XAZ142" s="11"/>
      <c r="XBO142" s="11"/>
      <c r="XBP142" s="11"/>
      <c r="XCE142" s="11"/>
      <c r="XCF142" s="11"/>
      <c r="XCU142" s="11"/>
      <c r="XCV142" s="11"/>
      <c r="XDK142" s="11"/>
      <c r="XDL142" s="11"/>
      <c r="XEA142" s="11"/>
      <c r="XEB142" s="11"/>
      <c r="XEQ142" s="11"/>
      <c r="XER142" s="11"/>
    </row>
    <row r="143" spans="2:1012 1027:2036 2051:3060 3075:4084 4099:5108 5123:6132 6147:7156 7171:8180 8195:9204 9219:10228 10243:11252 11267:12276 12291:13300 13315:14324 14339:15348 15363:16372" ht="15.75" thickBot="1" x14ac:dyDescent="0.3">
      <c r="B143" s="389"/>
      <c r="C143" s="390"/>
      <c r="D143" s="391"/>
      <c r="E143" s="391"/>
      <c r="F143" s="390"/>
      <c r="G143" s="390"/>
      <c r="H143" s="390"/>
      <c r="I143" s="403"/>
      <c r="J143" s="390"/>
      <c r="K143" s="390"/>
      <c r="L143" s="390"/>
      <c r="M143" s="390"/>
      <c r="N143" s="404"/>
      <c r="Q143" s="349"/>
      <c r="R143" s="349"/>
    </row>
    <row r="144" spans="2:1012 1027:2036 2051:3060 3075:4084 4099:5108 5123:6132 6147:7156 7171:8180 8195:9204 9219:10228 10243:11252 11267:12276 12291:13300 13315:14324 14339:15348 15363:16372" ht="22.5" customHeight="1" thickTop="1" thickBot="1" x14ac:dyDescent="0.3">
      <c r="B144" s="422" t="s">
        <v>93</v>
      </c>
      <c r="C144" s="423" t="s">
        <v>127</v>
      </c>
      <c r="D144" s="415"/>
      <c r="E144" s="415"/>
      <c r="F144" s="417"/>
      <c r="G144" s="417"/>
      <c r="H144" s="417"/>
      <c r="I144" s="424"/>
      <c r="J144" s="417"/>
      <c r="K144" s="417"/>
      <c r="L144" s="417"/>
      <c r="M144" s="417"/>
      <c r="N144" s="425"/>
      <c r="Q144" s="349"/>
      <c r="R144" s="349"/>
    </row>
    <row r="145" spans="2:21" ht="15.75" thickTop="1" x14ac:dyDescent="0.25">
      <c r="B145" s="86"/>
      <c r="I145" s="55"/>
      <c r="N145" s="87"/>
      <c r="Q145" s="349"/>
      <c r="R145" s="349"/>
    </row>
    <row r="146" spans="2:21" x14ac:dyDescent="0.25">
      <c r="B146" s="81" t="s">
        <v>42</v>
      </c>
      <c r="C146" s="222"/>
      <c r="I146" s="55"/>
      <c r="N146" s="87"/>
      <c r="Q146" s="349"/>
      <c r="R146" s="349"/>
    </row>
    <row r="147" spans="2:21" outlineLevel="1" x14ac:dyDescent="0.25">
      <c r="B147" s="133" t="str">
        <f>IF('Fixtures + Piping computation'!C55&gt;0,'Fixtures + Piping computation'!B55 &amp; " (" &amp;'Fixtures + Piping computation'!C55 &amp; ")",'Fixtures + Piping computation'!B55)</f>
        <v>Floor Sink 3" (10294/10726 (OSM))</v>
      </c>
      <c r="C147" s="568" t="s">
        <v>840</v>
      </c>
      <c r="D147" s="11" t="s">
        <v>828</v>
      </c>
      <c r="E147" s="11" t="s">
        <v>46</v>
      </c>
      <c r="F147" s="146">
        <f>'Fixtures + Piping computation'!D209</f>
        <v>6</v>
      </c>
      <c r="H147" s="52">
        <v>1</v>
      </c>
      <c r="I147" s="159">
        <f>(F147+G147)*H147</f>
        <v>6</v>
      </c>
      <c r="J147" s="160">
        <f>I147*Summary!$H$4</f>
        <v>1035</v>
      </c>
      <c r="K147" s="225"/>
      <c r="L147" s="161">
        <v>0</v>
      </c>
      <c r="M147" s="165">
        <f t="shared" ref="M147:M149" si="103">((F147+G147)*K147)+((F147+G147)*L147)</f>
        <v>0</v>
      </c>
      <c r="N147" s="166">
        <f t="shared" ref="N147:N149" si="104">M147+J147</f>
        <v>1035</v>
      </c>
      <c r="Q147" s="349"/>
      <c r="R147" s="349"/>
    </row>
    <row r="148" spans="2:21" outlineLevel="1" x14ac:dyDescent="0.25">
      <c r="B148" s="133" t="str">
        <f>IF('Fixtures + Piping computation'!C56&gt;0,'Fixtures + Piping computation'!B56 &amp; " (" &amp;'Fixtures + Piping computation'!C56 &amp; ")",'Fixtures + Piping computation'!B56)</f>
        <v>Floor Sink 3" (X8150/X8151)</v>
      </c>
      <c r="C148" s="109" t="s">
        <v>845</v>
      </c>
      <c r="D148" s="11" t="s">
        <v>46</v>
      </c>
      <c r="E148" s="11" t="s">
        <v>46</v>
      </c>
      <c r="F148" s="146">
        <f>'Fixtures + Piping computation'!D210</f>
        <v>1</v>
      </c>
      <c r="H148" s="52">
        <v>1</v>
      </c>
      <c r="I148" s="159">
        <f>(F148+G148)*H148</f>
        <v>1</v>
      </c>
      <c r="J148" s="160">
        <f>I148*Summary!$H$4</f>
        <v>172.5</v>
      </c>
      <c r="K148" s="225"/>
      <c r="L148" s="161">
        <v>0</v>
      </c>
      <c r="M148" s="165">
        <f t="shared" si="103"/>
        <v>0</v>
      </c>
      <c r="N148" s="166">
        <f t="shared" si="104"/>
        <v>172.5</v>
      </c>
      <c r="O148" t="s">
        <v>145</v>
      </c>
      <c r="Q148" s="349"/>
      <c r="R148" s="349"/>
      <c r="U148" t="s">
        <v>869</v>
      </c>
    </row>
    <row r="149" spans="2:21" outlineLevel="1" x14ac:dyDescent="0.25">
      <c r="B149" s="133" t="str">
        <f>IF('Fixtures + Piping computation'!C57&gt;0,'Fixtures + Piping computation'!B57 &amp; " (" &amp;'Fixtures + Piping computation'!C57 &amp; ")",'Fixtures + Piping computation'!B57)</f>
        <v>Floor Drain 3" (10594)</v>
      </c>
      <c r="C149" s="109" t="s">
        <v>678</v>
      </c>
      <c r="D149" s="11" t="s">
        <v>46</v>
      </c>
      <c r="E149" s="11" t="s">
        <v>46</v>
      </c>
      <c r="F149" s="146">
        <f>'Fixtures + Piping computation'!D211</f>
        <v>2</v>
      </c>
      <c r="H149" s="52">
        <v>0.5</v>
      </c>
      <c r="I149" s="159">
        <f t="shared" ref="I149" si="105">(F149+G149)*H149</f>
        <v>1</v>
      </c>
      <c r="J149" s="160">
        <f>I149*Summary!$H$4</f>
        <v>172.5</v>
      </c>
      <c r="K149" s="225"/>
      <c r="L149" s="161">
        <v>0</v>
      </c>
      <c r="M149" s="165">
        <f t="shared" si="103"/>
        <v>0</v>
      </c>
      <c r="N149" s="166">
        <f t="shared" si="104"/>
        <v>172.5</v>
      </c>
      <c r="Q149" s="349"/>
      <c r="R149" s="349"/>
    </row>
    <row r="150" spans="2:21" outlineLevel="1" x14ac:dyDescent="0.25">
      <c r="B150" s="133" t="str">
        <f>IF('Fixtures + Piping computation'!C58&gt;0,'Fixtures + Piping computation'!B58 &amp; " (" &amp;'Fixtures + Piping computation'!C58 &amp; ")",'Fixtures + Piping computation'!B58)</f>
        <v>Cleanout 3" (X2003)</v>
      </c>
      <c r="C150" s="109" t="s">
        <v>679</v>
      </c>
      <c r="D150" s="11" t="s">
        <v>46</v>
      </c>
      <c r="E150" s="11" t="s">
        <v>46</v>
      </c>
      <c r="F150" s="146">
        <f>'Fixtures + Piping computation'!D212</f>
        <v>1</v>
      </c>
      <c r="H150" s="52">
        <v>0.45</v>
      </c>
      <c r="I150" s="159">
        <f>(F150+G150)*H150</f>
        <v>0.45</v>
      </c>
      <c r="J150" s="160">
        <f>I150*Summary!$H$4</f>
        <v>77.625</v>
      </c>
      <c r="K150" s="225"/>
      <c r="L150" s="161">
        <v>0</v>
      </c>
      <c r="M150" s="165">
        <f t="shared" ref="M150:M151" si="106">((F150+G150)*K150)+((F150+G150)*L150)</f>
        <v>0</v>
      </c>
      <c r="N150" s="166">
        <f t="shared" ref="N150:N151" si="107">M150+J150</f>
        <v>77.625</v>
      </c>
      <c r="O150" t="s">
        <v>145</v>
      </c>
      <c r="Q150" s="349"/>
      <c r="R150" s="349"/>
    </row>
    <row r="151" spans="2:21" outlineLevel="1" x14ac:dyDescent="0.25">
      <c r="B151" s="133" t="str">
        <f>IF('Fixtures + Piping computation'!C59&gt;0,'Fixtures + Piping computation'!B59 &amp; " (" &amp;'Fixtures + Piping computation'!C59 &amp; ")",'Fixtures + Piping computation'!B59)</f>
        <v>Cleanout 4" (X2003)</v>
      </c>
      <c r="C151" s="109" t="s">
        <v>679</v>
      </c>
      <c r="D151" s="11" t="s">
        <v>46</v>
      </c>
      <c r="E151" s="11" t="s">
        <v>46</v>
      </c>
      <c r="F151" s="146">
        <f>'Fixtures + Piping computation'!D213</f>
        <v>2</v>
      </c>
      <c r="H151" s="52">
        <v>0.5</v>
      </c>
      <c r="I151" s="159">
        <f t="shared" ref="I151" si="108">(F151+G151)*H151</f>
        <v>1</v>
      </c>
      <c r="J151" s="160">
        <f>I151*Summary!$H$4</f>
        <v>172.5</v>
      </c>
      <c r="K151" s="225"/>
      <c r="L151" s="161">
        <v>0</v>
      </c>
      <c r="M151" s="165">
        <f t="shared" si="106"/>
        <v>0</v>
      </c>
      <c r="N151" s="166">
        <f t="shared" si="107"/>
        <v>172.5</v>
      </c>
      <c r="Q151" s="349"/>
      <c r="R151" s="349"/>
    </row>
    <row r="152" spans="2:21" outlineLevel="1" x14ac:dyDescent="0.25">
      <c r="B152" s="133" t="str">
        <f>IF('Fixtures + Piping computation'!C60&gt;0,'Fixtures + Piping computation'!B60 &amp; " (" &amp;'Fixtures + Piping computation'!C60 &amp; ")",'Fixtures + Piping computation'!B60)</f>
        <v>Vent through roof, 4" (VTR)</v>
      </c>
      <c r="C152" s="109" t="s">
        <v>844</v>
      </c>
      <c r="D152" s="11" t="s">
        <v>46</v>
      </c>
      <c r="E152" s="11" t="s">
        <v>46</v>
      </c>
      <c r="F152" s="146">
        <f>'Fixtures + Piping computation'!D214</f>
        <v>1</v>
      </c>
      <c r="H152" s="52">
        <v>1</v>
      </c>
      <c r="I152" s="159">
        <f t="shared" ref="I152" si="109">(F152+G152)*H152</f>
        <v>1</v>
      </c>
      <c r="J152" s="160">
        <f>I152*Summary!$H$4</f>
        <v>172.5</v>
      </c>
      <c r="K152" s="225"/>
      <c r="L152" s="161">
        <v>0</v>
      </c>
      <c r="M152" s="165">
        <f t="shared" ref="M152" si="110">((F152+G152)*K152)+((F152+G152)*L152)</f>
        <v>0</v>
      </c>
      <c r="N152" s="166">
        <f t="shared" ref="N152" si="111">M152+J152</f>
        <v>172.5</v>
      </c>
      <c r="Q152" s="349"/>
      <c r="R152" s="349"/>
    </row>
    <row r="153" spans="2:21" s="43" customFormat="1" ht="30" outlineLevel="1" x14ac:dyDescent="0.25">
      <c r="B153" s="594" t="s">
        <v>854</v>
      </c>
      <c r="C153" s="109" t="s">
        <v>866</v>
      </c>
      <c r="D153" s="11" t="s">
        <v>46</v>
      </c>
      <c r="E153" s="11" t="s">
        <v>46</v>
      </c>
      <c r="F153" s="595">
        <v>6</v>
      </c>
      <c r="H153" s="161">
        <v>0.3</v>
      </c>
      <c r="I153" s="159">
        <f t="shared" ref="I153" si="112">(F153+G153)*H153</f>
        <v>1.7999999999999998</v>
      </c>
      <c r="J153" s="160">
        <f>I153*Summary!$H$4</f>
        <v>310.49999999999994</v>
      </c>
      <c r="K153" s="596"/>
      <c r="L153" s="161">
        <v>0</v>
      </c>
      <c r="M153" s="165">
        <f t="shared" ref="M153" si="113">((F153+G153)*K153)+((F153+G153)*L153)</f>
        <v>0</v>
      </c>
      <c r="N153" s="166">
        <f t="shared" ref="N153" si="114">M153+J153</f>
        <v>310.49999999999994</v>
      </c>
      <c r="Q153" s="349"/>
      <c r="R153" s="349"/>
    </row>
    <row r="154" spans="2:21" s="43" customFormat="1" outlineLevel="1" x14ac:dyDescent="0.25">
      <c r="B154" s="594" t="s">
        <v>980</v>
      </c>
      <c r="C154" s="109"/>
      <c r="D154" s="11" t="s">
        <v>46</v>
      </c>
      <c r="E154" s="11" t="s">
        <v>46</v>
      </c>
      <c r="F154" s="595">
        <f>F53+F54+F55+F47</f>
        <v>7</v>
      </c>
      <c r="H154" s="161">
        <v>0.5</v>
      </c>
      <c r="I154" s="159">
        <f t="shared" ref="I154" si="115">(F154+G154)*H154</f>
        <v>3.5</v>
      </c>
      <c r="J154" s="160">
        <f>I154*Summary!$H$4</f>
        <v>603.75</v>
      </c>
      <c r="K154" s="596"/>
      <c r="L154" s="161">
        <v>0</v>
      </c>
      <c r="M154" s="165">
        <f t="shared" ref="M154" si="116">((F154+G154)*K154)+((F154+G154)*L154)</f>
        <v>0</v>
      </c>
      <c r="N154" s="166">
        <f t="shared" ref="N154" si="117">M154+J154</f>
        <v>603.75</v>
      </c>
      <c r="Q154" s="349"/>
      <c r="R154" s="349"/>
    </row>
    <row r="155" spans="2:21" s="43" customFormat="1" outlineLevel="1" x14ac:dyDescent="0.25">
      <c r="B155" s="594"/>
      <c r="C155" s="109"/>
      <c r="D155" s="11"/>
      <c r="E155" s="11"/>
      <c r="F155" s="595"/>
      <c r="H155" s="161"/>
      <c r="I155" s="159"/>
      <c r="J155" s="160"/>
      <c r="K155" s="596"/>
      <c r="L155" s="161"/>
      <c r="M155" s="165"/>
      <c r="N155" s="166"/>
      <c r="Q155" s="349"/>
      <c r="R155" s="349"/>
    </row>
    <row r="156" spans="2:21" outlineLevel="1" x14ac:dyDescent="0.25">
      <c r="B156" s="133"/>
      <c r="F156" s="146"/>
      <c r="H156" s="52"/>
      <c r="I156" s="159"/>
      <c r="J156" s="160"/>
      <c r="K156" s="225"/>
      <c r="L156" s="161"/>
      <c r="M156" s="165"/>
      <c r="N156" s="166"/>
      <c r="Q156" s="349"/>
      <c r="R156" s="349"/>
    </row>
    <row r="157" spans="2:21" outlineLevel="1" x14ac:dyDescent="0.25">
      <c r="B157" s="533" t="str">
        <f>IF('Fixtures + Piping computation'!C62&gt;0,'Fixtures + Piping computation'!B62 &amp; " (" &amp;'Fixtures + Piping computation'!C62 &amp; ")",'Fixtures + Piping computation'!B62)</f>
        <v xml:space="preserve"> ---Nothing Follows--- </v>
      </c>
      <c r="F157" s="146">
        <f>'Fixtures + Piping computation'!E62</f>
        <v>0</v>
      </c>
      <c r="H157" s="52"/>
      <c r="I157" s="159"/>
      <c r="J157" s="160"/>
      <c r="K157" s="225"/>
      <c r="L157" s="161"/>
      <c r="M157" s="165"/>
      <c r="N157" s="166"/>
      <c r="Q157" s="349"/>
      <c r="R157" s="349"/>
    </row>
    <row r="158" spans="2:21" ht="15.75" outlineLevel="1" thickBot="1" x14ac:dyDescent="0.3">
      <c r="B158" s="133">
        <f>IF('Fixtures + Piping computation'!C65&gt;0,'Fixtures + Piping computation'!B65 &amp; " (" &amp;'Fixtures + Piping computation'!C65 &amp; ")",'Fixtures + Piping computation'!B65)</f>
        <v>0</v>
      </c>
      <c r="F158" s="146"/>
      <c r="H158" s="52"/>
      <c r="I158" s="159"/>
      <c r="J158" s="160"/>
      <c r="K158" s="225"/>
      <c r="L158" s="161"/>
      <c r="M158" s="165"/>
      <c r="N158" s="166"/>
      <c r="Q158" s="349"/>
      <c r="R158" s="349"/>
    </row>
    <row r="159" spans="2:21" x14ac:dyDescent="0.25">
      <c r="B159" s="405"/>
      <c r="C159" s="406" t="s">
        <v>454</v>
      </c>
      <c r="D159" s="407"/>
      <c r="E159" s="407"/>
      <c r="F159" s="408">
        <f>SUM(F145:F158)</f>
        <v>26</v>
      </c>
      <c r="G159" s="408"/>
      <c r="H159" s="408"/>
      <c r="I159" s="408">
        <f>SUM(I146:I158)</f>
        <v>15.75</v>
      </c>
      <c r="J159" s="409">
        <f>SUM(J146:J158)</f>
        <v>2716.875</v>
      </c>
      <c r="K159" s="408"/>
      <c r="L159" s="408"/>
      <c r="M159" s="409">
        <f>SUM(M146:M158)</f>
        <v>0</v>
      </c>
      <c r="N159" s="410"/>
      <c r="Q159" s="349"/>
      <c r="R159" s="349"/>
    </row>
    <row r="160" spans="2:21" x14ac:dyDescent="0.25">
      <c r="B160" s="133"/>
      <c r="F160" s="146"/>
      <c r="H160" s="52"/>
      <c r="I160" s="159"/>
      <c r="J160" s="160"/>
      <c r="K160" s="225"/>
      <c r="L160" s="161"/>
      <c r="M160" s="165"/>
      <c r="N160" s="166"/>
      <c r="Q160" s="349"/>
      <c r="R160" s="349"/>
    </row>
    <row r="161" spans="2:18" x14ac:dyDescent="0.25">
      <c r="B161" s="81" t="s">
        <v>130</v>
      </c>
      <c r="F161" s="56"/>
      <c r="H161" s="52"/>
      <c r="I161" s="159"/>
      <c r="J161" s="160"/>
      <c r="K161" s="226"/>
      <c r="L161" s="161"/>
      <c r="M161" s="165"/>
      <c r="N161" s="166"/>
      <c r="Q161" s="349"/>
      <c r="R161" s="349"/>
    </row>
    <row r="162" spans="2:18" outlineLevel="1" x14ac:dyDescent="0.25">
      <c r="B162" s="126" t="str">
        <f>'Fixtures + Piping computation'!C220</f>
        <v>Trap Primer 1/2" (TP)</v>
      </c>
      <c r="C162" t="s">
        <v>371</v>
      </c>
      <c r="D162" s="11" t="s">
        <v>46</v>
      </c>
      <c r="E162" s="11" t="s">
        <v>46</v>
      </c>
      <c r="F162" s="146">
        <f>'Fixtures + Piping computation'!D220</f>
        <v>2</v>
      </c>
      <c r="H162" s="52">
        <v>1</v>
      </c>
      <c r="I162" s="159">
        <f>(F162+G162)*H162</f>
        <v>2</v>
      </c>
      <c r="J162" s="160">
        <f>I162*Summary!$H$4</f>
        <v>345</v>
      </c>
      <c r="K162" s="593"/>
      <c r="L162" s="161">
        <v>0</v>
      </c>
      <c r="M162" s="165">
        <f t="shared" ref="M162" si="118">((F162+G162)*K162)+((F162+G162)*L162)</f>
        <v>0</v>
      </c>
      <c r="N162" s="166">
        <f t="shared" ref="N162" si="119">M162+J162</f>
        <v>345</v>
      </c>
      <c r="Q162" s="349"/>
      <c r="R162" s="349"/>
    </row>
    <row r="163" spans="2:18" outlineLevel="1" x14ac:dyDescent="0.25">
      <c r="B163" s="293" t="s">
        <v>134</v>
      </c>
      <c r="F163" s="146"/>
      <c r="H163" s="52"/>
      <c r="I163" s="159"/>
      <c r="J163" s="160"/>
      <c r="K163" s="240"/>
      <c r="L163" s="56"/>
      <c r="M163" s="84"/>
      <c r="N163" s="167"/>
      <c r="Q163" s="349"/>
      <c r="R163" s="349"/>
    </row>
    <row r="164" spans="2:18" outlineLevel="1" x14ac:dyDescent="0.25">
      <c r="B164" s="133" t="s">
        <v>837</v>
      </c>
      <c r="C164" s="109" t="s">
        <v>839</v>
      </c>
      <c r="D164" s="11" t="s">
        <v>46</v>
      </c>
      <c r="E164" s="11" t="s">
        <v>46</v>
      </c>
      <c r="F164" s="146">
        <f>F162</f>
        <v>2</v>
      </c>
      <c r="H164" s="52"/>
      <c r="I164" s="159"/>
      <c r="J164" s="160"/>
      <c r="K164" s="161"/>
      <c r="L164" s="161">
        <v>0</v>
      </c>
      <c r="M164" s="165">
        <f t="shared" ref="M164" si="120">((F164+G164)*K164)+((F164+G164)*L164)</f>
        <v>0</v>
      </c>
      <c r="N164" s="166">
        <f t="shared" ref="N164" si="121">M164+J164</f>
        <v>0</v>
      </c>
      <c r="Q164" s="349"/>
      <c r="R164" s="349"/>
    </row>
    <row r="165" spans="2:18" outlineLevel="1" x14ac:dyDescent="0.25">
      <c r="B165" s="133"/>
      <c r="C165" s="109"/>
      <c r="F165" s="146"/>
      <c r="H165" s="52"/>
      <c r="I165" s="159"/>
      <c r="J165" s="160"/>
      <c r="K165" s="161"/>
      <c r="L165" s="161"/>
      <c r="M165" s="165"/>
      <c r="N165" s="166"/>
      <c r="Q165" s="349"/>
      <c r="R165" s="349"/>
    </row>
    <row r="166" spans="2:18" outlineLevel="1" x14ac:dyDescent="0.25">
      <c r="B166" s="126" t="str">
        <f>'Fixtures + Piping computation'!C221</f>
        <v>Hosebibb, 3/4" (HB)</v>
      </c>
      <c r="C166" s="279" t="s">
        <v>868</v>
      </c>
      <c r="D166" s="11" t="s">
        <v>867</v>
      </c>
      <c r="E166" s="11" t="s">
        <v>46</v>
      </c>
      <c r="F166" s="146">
        <f>'Fixtures + Piping computation'!D221</f>
        <v>2</v>
      </c>
      <c r="H166" s="52">
        <v>1</v>
      </c>
      <c r="I166" s="159">
        <f>(F166+G166)*H166</f>
        <v>2</v>
      </c>
      <c r="J166" s="160">
        <f>I166*Summary!$H$4</f>
        <v>345</v>
      </c>
      <c r="K166" s="161"/>
      <c r="L166" s="161">
        <v>0</v>
      </c>
      <c r="M166" s="165">
        <f t="shared" ref="M166" si="122">((F166+G166)*K166)+((F166+G166)*L166)</f>
        <v>0</v>
      </c>
      <c r="N166" s="166">
        <f t="shared" ref="N166" si="123">M166+J166</f>
        <v>345</v>
      </c>
      <c r="Q166" s="349"/>
      <c r="R166" s="349"/>
    </row>
    <row r="167" spans="2:18" outlineLevel="1" x14ac:dyDescent="0.25">
      <c r="B167" s="293" t="s">
        <v>134</v>
      </c>
      <c r="F167" s="146"/>
      <c r="H167" s="52"/>
      <c r="I167" s="159"/>
      <c r="J167" s="160"/>
      <c r="K167" s="161"/>
      <c r="L167" s="56"/>
      <c r="M167" s="84"/>
      <c r="N167" s="167"/>
      <c r="Q167" s="349"/>
      <c r="R167" s="349"/>
    </row>
    <row r="168" spans="2:18" outlineLevel="1" x14ac:dyDescent="0.25">
      <c r="B168" s="133" t="s">
        <v>823</v>
      </c>
      <c r="C168" s="109" t="s">
        <v>839</v>
      </c>
      <c r="D168" s="11" t="s">
        <v>46</v>
      </c>
      <c r="E168" s="11" t="s">
        <v>46</v>
      </c>
      <c r="F168" s="146">
        <f>F166</f>
        <v>2</v>
      </c>
      <c r="H168" s="52"/>
      <c r="I168" s="159"/>
      <c r="J168" s="160"/>
      <c r="K168" s="161"/>
      <c r="L168" s="161">
        <v>0</v>
      </c>
      <c r="M168" s="165">
        <f t="shared" ref="M168" si="124">((F168+G168)*K168)+((F168+G168)*L168)</f>
        <v>0</v>
      </c>
      <c r="N168" s="166">
        <f t="shared" ref="N168" si="125">M168+J168</f>
        <v>0</v>
      </c>
      <c r="Q168" s="349"/>
      <c r="R168" s="349"/>
    </row>
    <row r="169" spans="2:18" outlineLevel="1" x14ac:dyDescent="0.25">
      <c r="B169" s="133"/>
      <c r="F169" s="146"/>
      <c r="H169" s="52"/>
      <c r="I169" s="159"/>
      <c r="J169" s="160"/>
      <c r="K169" s="161"/>
      <c r="L169" s="161"/>
      <c r="M169" s="165"/>
      <c r="N169" s="166"/>
      <c r="Q169" s="349"/>
      <c r="R169" s="349"/>
    </row>
    <row r="170" spans="2:18" outlineLevel="1" x14ac:dyDescent="0.25">
      <c r="B170" s="133" t="str">
        <f>IF('Fixtures + Piping computation'!C89&gt;0,'Fixtures + Piping computation'!B89 &amp; " (" &amp;'Fixtures + Piping computation'!C89 &amp; ")",'Fixtures + Piping computation'!B89)</f>
        <v xml:space="preserve"> ---Nothing Follows--- </v>
      </c>
      <c r="F170" s="146"/>
      <c r="H170" s="52"/>
      <c r="I170" s="159"/>
      <c r="J170" s="160"/>
      <c r="K170" s="225"/>
      <c r="L170" s="56"/>
      <c r="M170" s="84"/>
      <c r="N170" s="167"/>
      <c r="Q170" s="349"/>
      <c r="R170" s="349"/>
    </row>
    <row r="171" spans="2:18" ht="15.75" outlineLevel="1" thickBot="1" x14ac:dyDescent="0.3">
      <c r="B171" s="133"/>
      <c r="F171" s="146"/>
      <c r="H171" s="52"/>
      <c r="I171" s="159"/>
      <c r="J171" s="160"/>
      <c r="K171" s="225"/>
      <c r="L171" s="56"/>
      <c r="M171" s="84"/>
      <c r="N171" s="167"/>
      <c r="Q171" s="349"/>
      <c r="R171" s="349"/>
    </row>
    <row r="172" spans="2:18" x14ac:dyDescent="0.25">
      <c r="B172" s="405"/>
      <c r="C172" s="406" t="s">
        <v>455</v>
      </c>
      <c r="D172" s="407"/>
      <c r="E172" s="407"/>
      <c r="F172" s="408">
        <f>SUM(F160:F171)</f>
        <v>8</v>
      </c>
      <c r="G172" s="408"/>
      <c r="H172" s="408"/>
      <c r="I172" s="408">
        <f>SUM(I161:I171)</f>
        <v>4</v>
      </c>
      <c r="J172" s="409">
        <f>SUM(J161:J171)</f>
        <v>690</v>
      </c>
      <c r="K172" s="408"/>
      <c r="L172" s="408"/>
      <c r="M172" s="409">
        <f>SUM(M161:M171)</f>
        <v>0</v>
      </c>
      <c r="N172" s="410"/>
      <c r="Q172" s="349"/>
      <c r="R172" s="349"/>
    </row>
    <row r="173" spans="2:18" x14ac:dyDescent="0.25">
      <c r="B173" s="133"/>
      <c r="F173" s="146"/>
      <c r="H173" s="52"/>
      <c r="I173" s="159"/>
      <c r="J173" s="160"/>
      <c r="K173" s="225"/>
      <c r="L173" s="56"/>
      <c r="M173" s="84"/>
      <c r="N173" s="167"/>
      <c r="Q173" s="349"/>
      <c r="R173" s="349"/>
    </row>
    <row r="174" spans="2:18" x14ac:dyDescent="0.25">
      <c r="B174" s="81" t="s">
        <v>351</v>
      </c>
      <c r="F174" s="146"/>
      <c r="H174" s="52"/>
      <c r="I174" s="159"/>
      <c r="J174" s="160"/>
      <c r="K174" s="225"/>
      <c r="L174" s="56"/>
      <c r="M174" s="84"/>
      <c r="N174" s="167"/>
      <c r="Q174" s="349"/>
      <c r="R174" s="349"/>
    </row>
    <row r="175" spans="2:18" outlineLevel="1" x14ac:dyDescent="0.25">
      <c r="B175" s="126" t="str">
        <f>IF('Fixtures + Piping computation'!C95&gt;0,'Fixtures + Piping computation'!B95 &amp; " (" &amp;'Fixtures + Piping computation'!C95 &amp; ")",'Fixtures + Piping computation'!B95)</f>
        <v>To gas water heater</v>
      </c>
      <c r="F175" s="161"/>
      <c r="H175" s="52"/>
      <c r="I175" s="159"/>
      <c r="J175" s="160"/>
      <c r="K175" s="240"/>
      <c r="L175" s="52"/>
      <c r="M175" s="170"/>
      <c r="N175" s="172"/>
      <c r="Q175" s="349"/>
      <c r="R175" s="349"/>
    </row>
    <row r="176" spans="2:18" outlineLevel="1" x14ac:dyDescent="0.25">
      <c r="B176" s="293" t="s">
        <v>134</v>
      </c>
      <c r="F176" s="146"/>
      <c r="H176" s="52"/>
      <c r="I176" s="159"/>
      <c r="J176" s="160"/>
      <c r="K176" s="240"/>
      <c r="L176" s="56"/>
      <c r="M176" s="84"/>
      <c r="N176" s="167"/>
      <c r="Q176" s="349"/>
      <c r="R176" s="349"/>
    </row>
    <row r="177" spans="2:18" outlineLevel="1" x14ac:dyDescent="0.25">
      <c r="B177" s="133" t="str">
        <f>IF('Fixtures + Piping computation'!C97&gt;0,'Fixtures + Piping computation'!B97 &amp; " (" &amp;'Fixtures + Piping computation'!C97 &amp; ")",'Fixtures + Piping computation'!B97)</f>
        <v>Shut-off valve 1-1/4"</v>
      </c>
      <c r="C177" t="s">
        <v>270</v>
      </c>
      <c r="D177" s="11" t="s">
        <v>46</v>
      </c>
      <c r="E177" s="11" t="s">
        <v>46</v>
      </c>
      <c r="F177" s="110">
        <v>1</v>
      </c>
      <c r="H177" s="52">
        <v>0.4</v>
      </c>
      <c r="I177" s="159">
        <f t="shared" ref="I177" si="126">(F177+G177)*H177</f>
        <v>0.4</v>
      </c>
      <c r="J177" s="160">
        <f>I177*Summary!$H$4</f>
        <v>69</v>
      </c>
      <c r="K177" s="240"/>
      <c r="L177" s="56">
        <v>0</v>
      </c>
      <c r="M177" s="84">
        <f t="shared" ref="M177" si="127">((F177+G177)*K177)+((F177+G177)*L177)</f>
        <v>0</v>
      </c>
      <c r="N177" s="167">
        <f t="shared" ref="N177" si="128">M177+J177</f>
        <v>69</v>
      </c>
      <c r="Q177" s="349"/>
      <c r="R177" s="349"/>
    </row>
    <row r="178" spans="2:18" outlineLevel="1" x14ac:dyDescent="0.25">
      <c r="B178" s="133" t="s">
        <v>959</v>
      </c>
      <c r="D178" s="11" t="s">
        <v>46</v>
      </c>
      <c r="E178" s="11" t="s">
        <v>46</v>
      </c>
      <c r="F178" s="110">
        <v>1</v>
      </c>
      <c r="H178" s="52">
        <v>1.2</v>
      </c>
      <c r="I178" s="159">
        <f t="shared" ref="I178" si="129">(F178+G178)*H178</f>
        <v>1.2</v>
      </c>
      <c r="J178" s="160">
        <f>I178*Summary!$H$4</f>
        <v>207</v>
      </c>
      <c r="K178" s="240"/>
      <c r="L178" s="56">
        <v>0</v>
      </c>
      <c r="M178" s="84">
        <f t="shared" ref="M178" si="130">((F178+G178)*K178)+((F178+G178)*L178)</f>
        <v>0</v>
      </c>
      <c r="N178" s="167">
        <f t="shared" ref="N178" si="131">M178+J178</f>
        <v>207</v>
      </c>
      <c r="Q178" s="349"/>
      <c r="R178" s="349"/>
    </row>
    <row r="179" spans="2:18" outlineLevel="1" x14ac:dyDescent="0.25">
      <c r="B179" s="133" t="s">
        <v>967</v>
      </c>
      <c r="D179" s="11" t="s">
        <v>46</v>
      </c>
      <c r="E179" s="11" t="s">
        <v>46</v>
      </c>
      <c r="F179" s="110">
        <v>1</v>
      </c>
      <c r="H179" s="52">
        <v>0.26700000000000002</v>
      </c>
      <c r="I179" s="159">
        <f t="shared" ref="I179" si="132">(F179+G179)*H179</f>
        <v>0.26700000000000002</v>
      </c>
      <c r="J179" s="160">
        <f>I179*Summary!$H$4</f>
        <v>46.057500000000005</v>
      </c>
      <c r="K179" s="240"/>
      <c r="L179" s="56">
        <v>0</v>
      </c>
      <c r="M179" s="84">
        <f t="shared" ref="M179" si="133">((F179+G179)*K179)+((F179+G179)*L179)</f>
        <v>0</v>
      </c>
      <c r="N179" s="167">
        <f t="shared" ref="N179" si="134">M179+J179</f>
        <v>46.057500000000005</v>
      </c>
      <c r="Q179" s="349"/>
      <c r="R179" s="349"/>
    </row>
    <row r="180" spans="2:18" outlineLevel="1" x14ac:dyDescent="0.25">
      <c r="B180" s="133">
        <f>IF('Fixtures + Piping computation'!C98&gt;0,'Fixtures + Piping computation'!B98 &amp; " (" &amp;'Fixtures + Piping computation'!C98 &amp; ")",'Fixtures + Piping computation'!B98)</f>
        <v>0</v>
      </c>
      <c r="F180" s="146"/>
      <c r="H180" s="52"/>
      <c r="I180" s="159"/>
      <c r="J180" s="160"/>
      <c r="K180" s="240"/>
      <c r="L180" s="56"/>
      <c r="M180" s="84"/>
      <c r="N180" s="167"/>
      <c r="Q180" s="349"/>
      <c r="R180" s="349"/>
    </row>
    <row r="181" spans="2:18" outlineLevel="1" x14ac:dyDescent="0.25">
      <c r="B181" s="126" t="str">
        <f>IF('Fixtures + Piping computation'!C99&gt;0,'Fixtures + Piping computation'!B99 &amp; " (" &amp;'Fixtures + Piping computation'!C99 &amp; ")",'Fixtures + Piping computation'!B99)</f>
        <v>To RTU-1 / 2</v>
      </c>
      <c r="F181" s="110"/>
      <c r="H181" s="52"/>
      <c r="I181" s="159"/>
      <c r="J181" s="160"/>
      <c r="K181" s="240"/>
      <c r="L181" s="56"/>
      <c r="M181" s="84"/>
      <c r="N181" s="167"/>
      <c r="Q181" s="349"/>
      <c r="R181" s="349"/>
    </row>
    <row r="182" spans="2:18" outlineLevel="1" x14ac:dyDescent="0.25">
      <c r="B182" s="293" t="s">
        <v>134</v>
      </c>
      <c r="F182" s="146"/>
      <c r="H182" s="52"/>
      <c r="I182" s="159"/>
      <c r="J182" s="160"/>
      <c r="K182" s="240"/>
      <c r="L182" s="56"/>
      <c r="M182" s="84"/>
      <c r="N182" s="167"/>
      <c r="Q182" s="349"/>
      <c r="R182" s="349"/>
    </row>
    <row r="183" spans="2:18" outlineLevel="1" x14ac:dyDescent="0.25">
      <c r="B183" s="133" t="str">
        <f>IF('Fixtures + Piping computation'!C101&gt;0,'Fixtures + Piping computation'!B101 &amp; " (" &amp;'Fixtures + Piping computation'!C101 &amp; ")",'Fixtures + Piping computation'!B101)</f>
        <v>Shut-off valve 1-1/4"</v>
      </c>
      <c r="C183" t="s">
        <v>270</v>
      </c>
      <c r="D183" s="11" t="s">
        <v>46</v>
      </c>
      <c r="E183" s="11" t="s">
        <v>46</v>
      </c>
      <c r="F183" s="110">
        <f>'Fixtures + Piping computation'!E101</f>
        <v>2</v>
      </c>
      <c r="H183" s="52">
        <v>0.4</v>
      </c>
      <c r="I183" s="159">
        <f t="shared" ref="I183:I184" si="135">(F183+G183)*H183</f>
        <v>0.8</v>
      </c>
      <c r="J183" s="160">
        <f>I183*Summary!$H$4</f>
        <v>138</v>
      </c>
      <c r="K183" s="240"/>
      <c r="L183" s="56">
        <v>0</v>
      </c>
      <c r="M183" s="84">
        <f t="shared" ref="M183:M184" si="136">((F183+G183)*K183)+((F183+G183)*L183)</f>
        <v>0</v>
      </c>
      <c r="N183" s="167">
        <f t="shared" ref="N183:N184" si="137">M183+J183</f>
        <v>138</v>
      </c>
      <c r="Q183" s="349"/>
      <c r="R183" s="349"/>
    </row>
    <row r="184" spans="2:18" outlineLevel="1" x14ac:dyDescent="0.25">
      <c r="B184" s="133" t="s">
        <v>959</v>
      </c>
      <c r="D184" s="11" t="s">
        <v>46</v>
      </c>
      <c r="E184" s="11" t="s">
        <v>46</v>
      </c>
      <c r="F184" s="110">
        <f>F183</f>
        <v>2</v>
      </c>
      <c r="H184" s="52">
        <v>1.2</v>
      </c>
      <c r="I184" s="159">
        <f t="shared" si="135"/>
        <v>2.4</v>
      </c>
      <c r="J184" s="160">
        <f>I184*Summary!$H$4</f>
        <v>414</v>
      </c>
      <c r="K184" s="240"/>
      <c r="L184" s="56">
        <v>0</v>
      </c>
      <c r="M184" s="84">
        <f t="shared" si="136"/>
        <v>0</v>
      </c>
      <c r="N184" s="167">
        <f t="shared" si="137"/>
        <v>414</v>
      </c>
      <c r="Q184" s="349"/>
      <c r="R184" s="349"/>
    </row>
    <row r="185" spans="2:18" outlineLevel="1" x14ac:dyDescent="0.25">
      <c r="B185" s="133" t="s">
        <v>960</v>
      </c>
      <c r="D185" s="11" t="s">
        <v>46</v>
      </c>
      <c r="E185" s="11" t="s">
        <v>46</v>
      </c>
      <c r="F185" s="110">
        <f>F184</f>
        <v>2</v>
      </c>
      <c r="H185" s="52">
        <v>0.15</v>
      </c>
      <c r="I185" s="159">
        <f t="shared" ref="I185" si="138">(F185+G185)*H185</f>
        <v>0.3</v>
      </c>
      <c r="J185" s="160">
        <f>I185*Summary!$H$4</f>
        <v>51.75</v>
      </c>
      <c r="K185" s="240"/>
      <c r="L185" s="56">
        <v>0</v>
      </c>
      <c r="M185" s="84">
        <f t="shared" ref="M185" si="139">((F185+G185)*K185)+((F185+G185)*L185)</f>
        <v>0</v>
      </c>
      <c r="N185" s="167">
        <f t="shared" ref="N185" si="140">M185+J185</f>
        <v>51.75</v>
      </c>
      <c r="Q185" s="349"/>
      <c r="R185" s="349"/>
    </row>
    <row r="186" spans="2:18" outlineLevel="1" x14ac:dyDescent="0.25">
      <c r="B186" s="133" t="s">
        <v>961</v>
      </c>
      <c r="D186" s="11" t="s">
        <v>46</v>
      </c>
      <c r="E186" s="11" t="s">
        <v>46</v>
      </c>
      <c r="F186" s="110">
        <f>F185</f>
        <v>2</v>
      </c>
      <c r="H186" s="52">
        <v>0.28499999999999998</v>
      </c>
      <c r="I186" s="159">
        <f t="shared" ref="I186:I187" si="141">(F186+G186)*H186</f>
        <v>0.56999999999999995</v>
      </c>
      <c r="J186" s="160">
        <f>I186*Summary!$H$4</f>
        <v>98.324999999999989</v>
      </c>
      <c r="K186" s="240"/>
      <c r="L186" s="56">
        <v>0</v>
      </c>
      <c r="M186" s="84">
        <f t="shared" ref="M186:M187" si="142">((F186+G186)*K186)+((F186+G186)*L186)</f>
        <v>0</v>
      </c>
      <c r="N186" s="167">
        <f t="shared" ref="N186:N187" si="143">M186+J186</f>
        <v>98.324999999999989</v>
      </c>
      <c r="Q186" s="349"/>
      <c r="R186" s="349"/>
    </row>
    <row r="187" spans="2:18" outlineLevel="1" x14ac:dyDescent="0.25">
      <c r="B187" s="133" t="s">
        <v>967</v>
      </c>
      <c r="D187" s="11" t="s">
        <v>46</v>
      </c>
      <c r="E187" s="11" t="s">
        <v>46</v>
      </c>
      <c r="F187" s="110">
        <f>F183</f>
        <v>2</v>
      </c>
      <c r="H187" s="52">
        <v>0.26700000000000002</v>
      </c>
      <c r="I187" s="159">
        <f t="shared" si="141"/>
        <v>0.53400000000000003</v>
      </c>
      <c r="J187" s="160">
        <f>I187*Summary!$H$4</f>
        <v>92.115000000000009</v>
      </c>
      <c r="K187" s="240"/>
      <c r="L187" s="56">
        <v>0</v>
      </c>
      <c r="M187" s="84">
        <f t="shared" si="142"/>
        <v>0</v>
      </c>
      <c r="N187" s="167">
        <f t="shared" si="143"/>
        <v>92.115000000000009</v>
      </c>
      <c r="Q187" s="349"/>
      <c r="R187" s="349"/>
    </row>
    <row r="188" spans="2:18" outlineLevel="1" x14ac:dyDescent="0.25">
      <c r="B188" s="133">
        <f>IF('Fixtures + Piping computation'!C102&gt;0,'Fixtures + Piping computation'!B102 &amp; " (" &amp;'Fixtures + Piping computation'!C102 &amp; ")",'Fixtures + Piping computation'!B102)</f>
        <v>0</v>
      </c>
      <c r="F188" s="146"/>
      <c r="H188" s="52"/>
      <c r="I188" s="159"/>
      <c r="J188" s="160"/>
      <c r="K188" s="240"/>
      <c r="L188" s="52"/>
      <c r="M188" s="170"/>
      <c r="N188" s="172"/>
      <c r="Q188" s="349"/>
      <c r="R188" s="349"/>
    </row>
    <row r="189" spans="2:18" outlineLevel="1" x14ac:dyDescent="0.25">
      <c r="B189" s="126" t="str">
        <f>IF('Fixtures + Piping computation'!C103&gt;0,'Fixtures + Piping computation'!B103 &amp; " (" &amp;'Fixtures + Piping computation'!C103 &amp; ")",'Fixtures + Piping computation'!B103)</f>
        <v>To RTU-3</v>
      </c>
      <c r="F189" s="161"/>
      <c r="H189" s="52"/>
      <c r="I189" s="159"/>
      <c r="J189" s="160"/>
      <c r="K189" s="240"/>
      <c r="L189" s="52"/>
      <c r="M189" s="170"/>
      <c r="N189" s="172"/>
      <c r="Q189" s="349"/>
      <c r="R189" s="349"/>
    </row>
    <row r="190" spans="2:18" outlineLevel="1" x14ac:dyDescent="0.25">
      <c r="B190" s="293" t="s">
        <v>134</v>
      </c>
      <c r="F190" s="146"/>
      <c r="H190" s="52"/>
      <c r="I190" s="159"/>
      <c r="J190" s="160"/>
      <c r="K190" s="240"/>
      <c r="L190" s="56"/>
      <c r="M190" s="84"/>
      <c r="N190" s="167"/>
      <c r="Q190" s="349"/>
      <c r="R190" s="349"/>
    </row>
    <row r="191" spans="2:18" outlineLevel="1" x14ac:dyDescent="0.25">
      <c r="B191" s="133" t="str">
        <f>IF('Fixtures + Piping computation'!C105&gt;0,'Fixtures + Piping computation'!B105 &amp; " (" &amp;'Fixtures + Piping computation'!C105 &amp; ")",'Fixtures + Piping computation'!B105)</f>
        <v>Shut-off valve 1"</v>
      </c>
      <c r="C191" t="s">
        <v>270</v>
      </c>
      <c r="D191" s="11" t="s">
        <v>46</v>
      </c>
      <c r="E191" s="11" t="s">
        <v>46</v>
      </c>
      <c r="F191" s="110">
        <f>'Fixtures + Piping computation'!E105</f>
        <v>1</v>
      </c>
      <c r="H191" s="52">
        <v>0.3</v>
      </c>
      <c r="I191" s="159">
        <f t="shared" ref="I191:I195" si="144">(F191+G191)*H191</f>
        <v>0.3</v>
      </c>
      <c r="J191" s="160">
        <f>I191*Summary!$H$4</f>
        <v>51.75</v>
      </c>
      <c r="K191" s="240"/>
      <c r="L191" s="56">
        <v>0</v>
      </c>
      <c r="M191" s="84">
        <f t="shared" ref="M191:M195" si="145">((F191+G191)*K191)+((F191+G191)*L191)</f>
        <v>0</v>
      </c>
      <c r="N191" s="167">
        <f t="shared" ref="N191:N195" si="146">M191+J191</f>
        <v>51.75</v>
      </c>
      <c r="Q191" s="349"/>
      <c r="R191" s="349"/>
    </row>
    <row r="192" spans="2:18" outlineLevel="1" x14ac:dyDescent="0.25">
      <c r="B192" s="133" t="s">
        <v>968</v>
      </c>
      <c r="D192" s="11" t="s">
        <v>46</v>
      </c>
      <c r="E192" s="11" t="s">
        <v>46</v>
      </c>
      <c r="F192" s="110">
        <f>F191</f>
        <v>1</v>
      </c>
      <c r="H192" s="52">
        <v>1</v>
      </c>
      <c r="I192" s="159">
        <f t="shared" si="144"/>
        <v>1</v>
      </c>
      <c r="J192" s="160">
        <f>I192*Summary!$H$4</f>
        <v>172.5</v>
      </c>
      <c r="K192" s="240"/>
      <c r="L192" s="56">
        <v>0</v>
      </c>
      <c r="M192" s="84">
        <f t="shared" si="145"/>
        <v>0</v>
      </c>
      <c r="N192" s="167">
        <f t="shared" si="146"/>
        <v>172.5</v>
      </c>
      <c r="Q192" s="349"/>
      <c r="R192" s="349"/>
    </row>
    <row r="193" spans="2:18" outlineLevel="1" x14ac:dyDescent="0.25">
      <c r="B193" s="133" t="s">
        <v>960</v>
      </c>
      <c r="D193" s="11" t="s">
        <v>46</v>
      </c>
      <c r="E193" s="11" t="s">
        <v>46</v>
      </c>
      <c r="F193" s="110">
        <f>F192</f>
        <v>1</v>
      </c>
      <c r="H193" s="52">
        <v>0.15</v>
      </c>
      <c r="I193" s="159">
        <f t="shared" si="144"/>
        <v>0.15</v>
      </c>
      <c r="J193" s="160">
        <f>I193*Summary!$H$4</f>
        <v>25.875</v>
      </c>
      <c r="K193" s="240"/>
      <c r="L193" s="56">
        <v>0</v>
      </c>
      <c r="M193" s="84">
        <f t="shared" si="145"/>
        <v>0</v>
      </c>
      <c r="N193" s="167">
        <f t="shared" si="146"/>
        <v>25.875</v>
      </c>
      <c r="Q193" s="349"/>
      <c r="R193" s="349"/>
    </row>
    <row r="194" spans="2:18" outlineLevel="1" x14ac:dyDescent="0.25">
      <c r="B194" s="133" t="s">
        <v>961</v>
      </c>
      <c r="D194" s="11" t="s">
        <v>46</v>
      </c>
      <c r="E194" s="11" t="s">
        <v>46</v>
      </c>
      <c r="F194" s="110">
        <f>F193</f>
        <v>1</v>
      </c>
      <c r="H194" s="52">
        <v>0.23300000000000001</v>
      </c>
      <c r="I194" s="159">
        <f t="shared" si="144"/>
        <v>0.23300000000000001</v>
      </c>
      <c r="J194" s="160">
        <f>I194*Summary!$H$4</f>
        <v>40.192500000000003</v>
      </c>
      <c r="K194" s="240"/>
      <c r="L194" s="56">
        <v>0</v>
      </c>
      <c r="M194" s="84">
        <f t="shared" si="145"/>
        <v>0</v>
      </c>
      <c r="N194" s="167">
        <f t="shared" si="146"/>
        <v>40.192500000000003</v>
      </c>
      <c r="Q194" s="349"/>
      <c r="R194" s="349"/>
    </row>
    <row r="195" spans="2:18" outlineLevel="1" x14ac:dyDescent="0.25">
      <c r="B195" s="133" t="s">
        <v>969</v>
      </c>
      <c r="D195" s="11" t="s">
        <v>46</v>
      </c>
      <c r="E195" s="11" t="s">
        <v>46</v>
      </c>
      <c r="F195" s="110">
        <f>F191</f>
        <v>1</v>
      </c>
      <c r="H195" s="52">
        <v>0.218</v>
      </c>
      <c r="I195" s="159">
        <f t="shared" si="144"/>
        <v>0.218</v>
      </c>
      <c r="J195" s="160">
        <f>I195*Summary!$H$4</f>
        <v>37.604999999999997</v>
      </c>
      <c r="K195" s="240"/>
      <c r="L195" s="56">
        <v>0</v>
      </c>
      <c r="M195" s="84">
        <f t="shared" si="145"/>
        <v>0</v>
      </c>
      <c r="N195" s="167">
        <f t="shared" si="146"/>
        <v>37.604999999999997</v>
      </c>
      <c r="Q195" s="349"/>
      <c r="R195" s="349"/>
    </row>
    <row r="196" spans="2:18" outlineLevel="1" x14ac:dyDescent="0.25">
      <c r="B196" s="133">
        <f>IF('Fixtures + Piping computation'!C107&gt;0,'Fixtures + Piping computation'!B107 &amp; " (" &amp;'Fixtures + Piping computation'!C107 &amp; ")",'Fixtures + Piping computation'!B107)</f>
        <v>0</v>
      </c>
      <c r="F196" s="146"/>
      <c r="H196" s="52"/>
      <c r="I196" s="159"/>
      <c r="J196" s="160"/>
      <c r="K196" s="240"/>
      <c r="L196" s="56"/>
      <c r="M196" s="84"/>
      <c r="N196" s="167"/>
      <c r="Q196" s="349"/>
      <c r="R196" s="349"/>
    </row>
    <row r="197" spans="2:18" outlineLevel="1" x14ac:dyDescent="0.25">
      <c r="B197" s="133" t="str">
        <f>IF('Fixtures + Piping computation'!C108&gt;0,'Fixtures + Piping computation'!B108 &amp; " (" &amp;'Fixtures + Piping computation'!C108 &amp; ")",'Fixtures + Piping computation'!B108)</f>
        <v xml:space="preserve"> ---Nothing Follows--- </v>
      </c>
      <c r="F197" s="146"/>
      <c r="H197" s="52"/>
      <c r="I197" s="159"/>
      <c r="J197" s="160"/>
      <c r="K197" s="240"/>
      <c r="L197" s="56"/>
      <c r="M197" s="84"/>
      <c r="N197" s="167"/>
      <c r="Q197" s="349"/>
      <c r="R197" s="349"/>
    </row>
    <row r="198" spans="2:18" ht="15.75" outlineLevel="1" thickBot="1" x14ac:dyDescent="0.3">
      <c r="B198" s="133"/>
      <c r="F198" s="146"/>
      <c r="H198" s="52"/>
      <c r="I198" s="159"/>
      <c r="J198" s="160"/>
      <c r="K198" s="225"/>
      <c r="L198" s="56"/>
      <c r="M198" s="84"/>
      <c r="N198" s="167"/>
      <c r="Q198" s="349"/>
      <c r="R198" s="349"/>
    </row>
    <row r="199" spans="2:18" x14ac:dyDescent="0.25">
      <c r="B199" s="405"/>
      <c r="C199" s="406" t="s">
        <v>456</v>
      </c>
      <c r="D199" s="407"/>
      <c r="E199" s="407"/>
      <c r="F199" s="408">
        <f>SUM(F173:F198)</f>
        <v>18</v>
      </c>
      <c r="G199" s="408"/>
      <c r="H199" s="408"/>
      <c r="I199" s="408">
        <f>SUM(I174:I198)</f>
        <v>8.3719999999999999</v>
      </c>
      <c r="J199" s="409">
        <f>SUM(J174:J198)</f>
        <v>1444.17</v>
      </c>
      <c r="K199" s="408"/>
      <c r="L199" s="408"/>
      <c r="M199" s="409">
        <f>SUM(M174:M198)</f>
        <v>0</v>
      </c>
      <c r="N199" s="410"/>
      <c r="Q199" s="349"/>
      <c r="R199" s="349"/>
    </row>
    <row r="200" spans="2:18" x14ac:dyDescent="0.25">
      <c r="B200" s="133"/>
      <c r="F200" s="146"/>
      <c r="H200" s="52"/>
      <c r="I200" s="159"/>
      <c r="J200" s="160"/>
      <c r="K200" s="225"/>
      <c r="L200" s="56"/>
      <c r="M200" s="84"/>
      <c r="N200" s="167"/>
      <c r="Q200" s="349"/>
      <c r="R200" s="349"/>
    </row>
    <row r="201" spans="2:18" ht="15.75" thickBot="1" x14ac:dyDescent="0.3">
      <c r="B201" s="81" t="s">
        <v>457</v>
      </c>
      <c r="F201" s="146"/>
      <c r="H201" s="52"/>
      <c r="I201" s="159"/>
      <c r="J201" s="160"/>
      <c r="K201" s="225"/>
      <c r="L201" s="56"/>
      <c r="M201" s="84"/>
      <c r="N201" s="167"/>
      <c r="Q201" s="349"/>
      <c r="R201" s="349"/>
    </row>
    <row r="202" spans="2:18" hidden="1" outlineLevel="1" x14ac:dyDescent="0.25">
      <c r="B202" s="133" t="str">
        <f>IF('Fixtures + Piping computation'!C114&gt;0,'Fixtures + Piping computation'!B114 &amp; " (" &amp;'Fixtures + Piping computation'!C114 &amp; ")",'Fixtures + Piping computation'!B114)</f>
        <v>XXX</v>
      </c>
      <c r="F202" s="146"/>
      <c r="H202" s="52"/>
      <c r="I202" s="159"/>
      <c r="J202" s="160">
        <f>I202*Summary!$H$4</f>
        <v>0</v>
      </c>
      <c r="K202" s="240"/>
      <c r="L202" s="56">
        <v>0</v>
      </c>
      <c r="M202" s="84">
        <f t="shared" ref="M202" si="147">((F202+G202)*K202)+((F202+G202)*L202)</f>
        <v>0</v>
      </c>
      <c r="N202" s="167">
        <f t="shared" ref="N202" si="148">M202+J202</f>
        <v>0</v>
      </c>
      <c r="Q202" s="349"/>
      <c r="R202" s="349"/>
    </row>
    <row r="203" spans="2:18" hidden="1" outlineLevel="1" x14ac:dyDescent="0.25">
      <c r="B203" s="133">
        <f>IF('Fixtures + Piping computation'!C115&gt;0,'Fixtures + Piping computation'!B115 &amp; " (" &amp;'Fixtures + Piping computation'!C115 &amp; ")",'Fixtures + Piping computation'!B115)</f>
        <v>0</v>
      </c>
      <c r="F203" s="146"/>
      <c r="H203" s="52"/>
      <c r="I203" s="159"/>
      <c r="J203" s="160"/>
      <c r="K203" s="240"/>
      <c r="L203" s="56"/>
      <c r="M203" s="84"/>
      <c r="N203" s="167"/>
      <c r="Q203" s="349"/>
      <c r="R203" s="349"/>
    </row>
    <row r="204" spans="2:18" hidden="1" outlineLevel="1" x14ac:dyDescent="0.25">
      <c r="B204" s="133">
        <f>IF('Fixtures + Piping computation'!C116&gt;0,'Fixtures + Piping computation'!B116 &amp; " (" &amp;'Fixtures + Piping computation'!C116 &amp; ")",'Fixtures + Piping computation'!B116)</f>
        <v>0</v>
      </c>
      <c r="F204" s="146"/>
      <c r="H204" s="52"/>
      <c r="I204" s="159"/>
      <c r="J204" s="160"/>
      <c r="K204" s="240"/>
      <c r="L204" s="56"/>
      <c r="M204" s="84"/>
      <c r="N204" s="167"/>
      <c r="Q204" s="349"/>
      <c r="R204" s="349"/>
    </row>
    <row r="205" spans="2:18" hidden="1" outlineLevel="1" x14ac:dyDescent="0.25">
      <c r="B205" s="133">
        <f>IF('Fixtures + Piping computation'!C117&gt;0,'Fixtures + Piping computation'!B117 &amp; " (" &amp;'Fixtures + Piping computation'!C117 &amp; ")",'Fixtures + Piping computation'!B117)</f>
        <v>0</v>
      </c>
      <c r="F205" s="146"/>
      <c r="H205" s="52"/>
      <c r="I205" s="159"/>
      <c r="J205" s="160"/>
      <c r="K205" s="240"/>
      <c r="L205" s="56"/>
      <c r="M205" s="84"/>
      <c r="N205" s="167"/>
      <c r="Q205" s="349"/>
      <c r="R205" s="349"/>
    </row>
    <row r="206" spans="2:18" hidden="1" outlineLevel="1" x14ac:dyDescent="0.25">
      <c r="B206" s="133">
        <f>IF('Fixtures + Piping computation'!C118&gt;0,'Fixtures + Piping computation'!B118 &amp; " (" &amp;'Fixtures + Piping computation'!C118 &amp; ")",'Fixtures + Piping computation'!B118)</f>
        <v>0</v>
      </c>
      <c r="F206" s="146"/>
      <c r="H206" s="52"/>
      <c r="I206" s="159"/>
      <c r="J206" s="160"/>
      <c r="K206" s="240"/>
      <c r="L206" s="56"/>
      <c r="M206" s="84"/>
      <c r="N206" s="167"/>
      <c r="Q206" s="349"/>
      <c r="R206" s="349"/>
    </row>
    <row r="207" spans="2:18" hidden="1" outlineLevel="1" x14ac:dyDescent="0.25">
      <c r="B207" s="133" t="str">
        <f>IF('Fixtures + Piping computation'!C119&gt;0,'Fixtures + Piping computation'!B119 &amp; " (" &amp;'Fixtures + Piping computation'!C119 &amp; ")",'Fixtures + Piping computation'!B119)</f>
        <v xml:space="preserve"> ---Nothing Follows--- </v>
      </c>
      <c r="F207" s="146"/>
      <c r="H207" s="52"/>
      <c r="I207" s="159"/>
      <c r="J207" s="160"/>
      <c r="K207" s="240"/>
      <c r="L207" s="56"/>
      <c r="M207" s="84"/>
      <c r="N207" s="167"/>
      <c r="Q207" s="349"/>
      <c r="R207" s="349"/>
    </row>
    <row r="208" spans="2:18" ht="15.75" hidden="1" outlineLevel="1" thickBot="1" x14ac:dyDescent="0.3">
      <c r="B208" s="133"/>
      <c r="F208" s="146"/>
      <c r="H208" s="52"/>
      <c r="I208" s="159"/>
      <c r="J208" s="160"/>
      <c r="K208" s="225"/>
      <c r="L208" s="56"/>
      <c r="M208" s="84"/>
      <c r="N208" s="167"/>
      <c r="Q208" s="349"/>
      <c r="R208" s="349"/>
    </row>
    <row r="209" spans="2:18" ht="15" customHeight="1" collapsed="1" x14ac:dyDescent="0.25">
      <c r="B209" s="405"/>
      <c r="C209" s="406" t="s">
        <v>458</v>
      </c>
      <c r="D209" s="407"/>
      <c r="E209" s="407"/>
      <c r="F209" s="408">
        <f>SUM(F200:F208)</f>
        <v>0</v>
      </c>
      <c r="G209" s="408"/>
      <c r="H209" s="408"/>
      <c r="I209" s="408">
        <f>SUM(I201:I208)</f>
        <v>0</v>
      </c>
      <c r="J209" s="409">
        <f>SUM(J201:J208)</f>
        <v>0</v>
      </c>
      <c r="K209" s="408"/>
      <c r="L209" s="408"/>
      <c r="M209" s="409">
        <f>SUM(M201:M208)</f>
        <v>0</v>
      </c>
      <c r="N209" s="410"/>
      <c r="Q209" s="349"/>
      <c r="R209" s="349"/>
    </row>
    <row r="210" spans="2:18" x14ac:dyDescent="0.25">
      <c r="B210" s="133"/>
      <c r="F210" s="146"/>
      <c r="H210" s="52"/>
      <c r="I210" s="159"/>
      <c r="J210" s="160"/>
      <c r="K210" s="225"/>
      <c r="L210" s="56"/>
      <c r="M210" s="84"/>
      <c r="N210" s="167"/>
      <c r="Q210" s="349"/>
      <c r="R210" s="349"/>
    </row>
    <row r="211" spans="2:18" ht="15.75" thickBot="1" x14ac:dyDescent="0.3">
      <c r="B211" s="81" t="s">
        <v>545</v>
      </c>
      <c r="F211" s="146"/>
      <c r="H211" s="52"/>
      <c r="I211" s="159"/>
      <c r="J211" s="160"/>
      <c r="K211" s="225"/>
      <c r="L211" s="56"/>
      <c r="M211" s="84"/>
      <c r="N211" s="167"/>
      <c r="Q211" s="349"/>
      <c r="R211" s="349"/>
    </row>
    <row r="212" spans="2:18" hidden="1" outlineLevel="1" x14ac:dyDescent="0.25">
      <c r="B212" s="133" t="str">
        <f>IF('Fixtures + Piping computation'!C125&gt;0,'Fixtures + Piping computation'!B125 &amp; " (" &amp;'Fixtures + Piping computation'!C125 &amp; ")",'Fixtures + Piping computation'!B125)</f>
        <v>XXX</v>
      </c>
      <c r="F212" s="146"/>
      <c r="H212" s="52"/>
      <c r="I212" s="159"/>
      <c r="J212" s="160">
        <f>I212*Summary!$H$4</f>
        <v>0</v>
      </c>
      <c r="K212" s="240"/>
      <c r="L212" s="56">
        <v>0</v>
      </c>
      <c r="M212" s="84">
        <f t="shared" ref="M212" si="149">((F212+G212)*K212)+((F212+G212)*L212)</f>
        <v>0</v>
      </c>
      <c r="N212" s="167">
        <f t="shared" ref="N212" si="150">M212+J212</f>
        <v>0</v>
      </c>
      <c r="Q212" s="349"/>
      <c r="R212" s="349"/>
    </row>
    <row r="213" spans="2:18" hidden="1" outlineLevel="1" x14ac:dyDescent="0.25">
      <c r="B213" s="133">
        <f>IF('Fixtures + Piping computation'!C126&gt;0,'Fixtures + Piping computation'!B126 &amp; " (" &amp;'Fixtures + Piping computation'!C126 &amp; ")",'Fixtures + Piping computation'!B126)</f>
        <v>0</v>
      </c>
      <c r="F213" s="146"/>
      <c r="H213" s="52"/>
      <c r="I213" s="159"/>
      <c r="J213" s="160"/>
      <c r="K213" s="240"/>
      <c r="L213" s="56"/>
      <c r="M213" s="84"/>
      <c r="N213" s="167"/>
      <c r="Q213" s="349"/>
      <c r="R213" s="349"/>
    </row>
    <row r="214" spans="2:18" hidden="1" outlineLevel="1" x14ac:dyDescent="0.25">
      <c r="B214" s="133">
        <f>IF('Fixtures + Piping computation'!C127&gt;0,'Fixtures + Piping computation'!B127 &amp; " (" &amp;'Fixtures + Piping computation'!C127 &amp; ")",'Fixtures + Piping computation'!B127)</f>
        <v>0</v>
      </c>
      <c r="F214" s="146"/>
      <c r="H214" s="52"/>
      <c r="I214" s="159"/>
      <c r="J214" s="160"/>
      <c r="K214" s="240"/>
      <c r="L214" s="56"/>
      <c r="M214" s="84"/>
      <c r="N214" s="167"/>
      <c r="Q214" s="349"/>
      <c r="R214" s="349"/>
    </row>
    <row r="215" spans="2:18" hidden="1" outlineLevel="1" x14ac:dyDescent="0.25">
      <c r="B215" s="133">
        <f>IF('Fixtures + Piping computation'!C128&gt;0,'Fixtures + Piping computation'!B128 &amp; " (" &amp;'Fixtures + Piping computation'!C128 &amp; ")",'Fixtures + Piping computation'!B128)</f>
        <v>0</v>
      </c>
      <c r="F215" s="146"/>
      <c r="H215" s="52"/>
      <c r="I215" s="159"/>
      <c r="J215" s="160"/>
      <c r="K215" s="240"/>
      <c r="L215" s="56"/>
      <c r="M215" s="84"/>
      <c r="N215" s="167"/>
      <c r="Q215" s="349"/>
      <c r="R215" s="349"/>
    </row>
    <row r="216" spans="2:18" hidden="1" outlineLevel="1" x14ac:dyDescent="0.25">
      <c r="B216" s="133">
        <f>IF('Fixtures + Piping computation'!C129&gt;0,'Fixtures + Piping computation'!B129 &amp; " (" &amp;'Fixtures + Piping computation'!C129 &amp; ")",'Fixtures + Piping computation'!B129)</f>
        <v>0</v>
      </c>
      <c r="F216" s="146"/>
      <c r="H216" s="52"/>
      <c r="I216" s="159"/>
      <c r="J216" s="160"/>
      <c r="K216" s="240"/>
      <c r="L216" s="56"/>
      <c r="M216" s="84"/>
      <c r="N216" s="167"/>
      <c r="Q216" s="349"/>
      <c r="R216" s="349"/>
    </row>
    <row r="217" spans="2:18" hidden="1" outlineLevel="1" x14ac:dyDescent="0.25">
      <c r="B217" s="133" t="str">
        <f>IF('Fixtures + Piping computation'!C130&gt;0,'Fixtures + Piping computation'!B130 &amp; " (" &amp;'Fixtures + Piping computation'!C130 &amp; ")",'Fixtures + Piping computation'!B130)</f>
        <v xml:space="preserve"> ---Nothing Follows--- </v>
      </c>
      <c r="F217" s="146"/>
      <c r="H217" s="52"/>
      <c r="I217" s="159"/>
      <c r="J217" s="160"/>
      <c r="K217" s="240"/>
      <c r="L217" s="56"/>
      <c r="M217" s="84"/>
      <c r="N217" s="167"/>
      <c r="Q217" s="349"/>
      <c r="R217" s="349"/>
    </row>
    <row r="218" spans="2:18" ht="15.75" hidden="1" outlineLevel="1" thickBot="1" x14ac:dyDescent="0.3">
      <c r="B218" s="133"/>
      <c r="F218" s="146"/>
      <c r="H218" s="52"/>
      <c r="I218" s="159"/>
      <c r="J218" s="160"/>
      <c r="K218" s="225"/>
      <c r="L218" s="56"/>
      <c r="M218" s="84"/>
      <c r="N218" s="167"/>
      <c r="Q218" s="349"/>
      <c r="R218" s="349"/>
    </row>
    <row r="219" spans="2:18" ht="15" customHeight="1" collapsed="1" x14ac:dyDescent="0.25">
      <c r="B219" s="405"/>
      <c r="C219" s="406" t="s">
        <v>546</v>
      </c>
      <c r="D219" s="407"/>
      <c r="E219" s="407"/>
      <c r="F219" s="408">
        <f>SUM(F210:F218)</f>
        <v>0</v>
      </c>
      <c r="G219" s="408"/>
      <c r="H219" s="408"/>
      <c r="I219" s="408">
        <f>SUM(I211:I218)</f>
        <v>0</v>
      </c>
      <c r="J219" s="409">
        <f>SUM(J211:J218)</f>
        <v>0</v>
      </c>
      <c r="K219" s="408"/>
      <c r="L219" s="408"/>
      <c r="M219" s="409">
        <f>SUM(M211:M218)</f>
        <v>0</v>
      </c>
      <c r="N219" s="410"/>
      <c r="Q219" s="349"/>
      <c r="R219" s="349"/>
    </row>
    <row r="220" spans="2:18" x14ac:dyDescent="0.25">
      <c r="B220" s="133"/>
      <c r="F220" s="146"/>
      <c r="H220" s="52"/>
      <c r="I220" s="159"/>
      <c r="J220" s="160"/>
      <c r="K220" s="225"/>
      <c r="L220" s="56"/>
      <c r="M220" s="84"/>
      <c r="N220" s="167"/>
      <c r="Q220" s="349"/>
      <c r="R220" s="349"/>
    </row>
    <row r="221" spans="2:18" ht="15.75" thickBot="1" x14ac:dyDescent="0.3">
      <c r="B221" s="81" t="s">
        <v>548</v>
      </c>
      <c r="F221" s="146"/>
      <c r="H221" s="52"/>
      <c r="I221" s="159"/>
      <c r="J221" s="160"/>
      <c r="K221" s="225"/>
      <c r="L221" s="56"/>
      <c r="M221" s="84"/>
      <c r="N221" s="167"/>
      <c r="Q221" s="349"/>
      <c r="R221" s="349"/>
    </row>
    <row r="222" spans="2:18" hidden="1" outlineLevel="1" x14ac:dyDescent="0.25">
      <c r="B222" s="133" t="str">
        <f>IF('Fixtures + Piping computation'!C136&gt;0,'Fixtures + Piping computation'!B136 &amp; " (" &amp;'Fixtures + Piping computation'!C136 &amp; ")",'Fixtures + Piping computation'!B136)</f>
        <v>XXX</v>
      </c>
      <c r="F222" s="146"/>
      <c r="H222" s="52"/>
      <c r="I222" s="159">
        <f t="shared" ref="I222" si="151">(F222+G222)*H222</f>
        <v>0</v>
      </c>
      <c r="J222" s="160">
        <f>I222*Summary!$H$4</f>
        <v>0</v>
      </c>
      <c r="K222" s="240"/>
      <c r="L222" s="56">
        <v>0</v>
      </c>
      <c r="M222" s="84">
        <f t="shared" ref="M222" si="152">((F222+G222)*K222)+((F222+G222)*L222)</f>
        <v>0</v>
      </c>
      <c r="N222" s="167">
        <f t="shared" ref="N222" si="153">M222+J222</f>
        <v>0</v>
      </c>
      <c r="Q222" s="349"/>
      <c r="R222" s="349"/>
    </row>
    <row r="223" spans="2:18" hidden="1" outlineLevel="1" x14ac:dyDescent="0.25">
      <c r="B223" s="133">
        <f>IF('Fixtures + Piping computation'!C137&gt;0,'Fixtures + Piping computation'!B137 &amp; " (" &amp;'Fixtures + Piping computation'!C137 &amp; ")",'Fixtures + Piping computation'!B137)</f>
        <v>0</v>
      </c>
      <c r="F223" s="146"/>
      <c r="H223" s="52"/>
      <c r="I223" s="159"/>
      <c r="J223" s="160"/>
      <c r="K223" s="240"/>
      <c r="L223" s="56"/>
      <c r="M223" s="84"/>
      <c r="N223" s="167"/>
      <c r="Q223" s="349"/>
      <c r="R223" s="349"/>
    </row>
    <row r="224" spans="2:18" hidden="1" outlineLevel="1" x14ac:dyDescent="0.25">
      <c r="B224" s="133">
        <f>IF('Fixtures + Piping computation'!C138&gt;0,'Fixtures + Piping computation'!B138 &amp; " (" &amp;'Fixtures + Piping computation'!C138 &amp; ")",'Fixtures + Piping computation'!B138)</f>
        <v>0</v>
      </c>
      <c r="F224" s="146"/>
      <c r="H224" s="52"/>
      <c r="I224" s="159"/>
      <c r="J224" s="160"/>
      <c r="K224" s="240"/>
      <c r="L224" s="56"/>
      <c r="M224" s="84"/>
      <c r="N224" s="167"/>
      <c r="Q224" s="349"/>
      <c r="R224" s="349"/>
    </row>
    <row r="225" spans="2:18" hidden="1" outlineLevel="1" x14ac:dyDescent="0.25">
      <c r="B225" s="133">
        <f>IF('Fixtures + Piping computation'!C139&gt;0,'Fixtures + Piping computation'!B139 &amp; " (" &amp;'Fixtures + Piping computation'!C139 &amp; ")",'Fixtures + Piping computation'!B139)</f>
        <v>0</v>
      </c>
      <c r="F225" s="146"/>
      <c r="H225" s="52"/>
      <c r="I225" s="159"/>
      <c r="J225" s="160"/>
      <c r="K225" s="240"/>
      <c r="L225" s="56"/>
      <c r="M225" s="84"/>
      <c r="N225" s="167"/>
      <c r="Q225" s="349"/>
      <c r="R225" s="349"/>
    </row>
    <row r="226" spans="2:18" hidden="1" outlineLevel="1" x14ac:dyDescent="0.25">
      <c r="B226" s="133">
        <f>IF('Fixtures + Piping computation'!C140&gt;0,'Fixtures + Piping computation'!B140 &amp; " (" &amp;'Fixtures + Piping computation'!C140 &amp; ")",'Fixtures + Piping computation'!B140)</f>
        <v>0</v>
      </c>
      <c r="F226" s="146"/>
      <c r="H226" s="52"/>
      <c r="I226" s="159"/>
      <c r="J226" s="160"/>
      <c r="K226" s="240"/>
      <c r="L226" s="56"/>
      <c r="M226" s="84"/>
      <c r="N226" s="167"/>
      <c r="Q226" s="349"/>
      <c r="R226" s="349"/>
    </row>
    <row r="227" spans="2:18" hidden="1" outlineLevel="1" x14ac:dyDescent="0.25">
      <c r="B227" s="133" t="str">
        <f>IF('Fixtures + Piping computation'!C141&gt;0,'Fixtures + Piping computation'!B141 &amp; " (" &amp;'Fixtures + Piping computation'!C141 &amp; ")",'Fixtures + Piping computation'!B141)</f>
        <v xml:space="preserve"> ---Nothing Follows--- </v>
      </c>
      <c r="F227" s="146"/>
      <c r="H227" s="52"/>
      <c r="I227" s="159"/>
      <c r="J227" s="160"/>
      <c r="K227" s="240"/>
      <c r="L227" s="56"/>
      <c r="M227" s="84"/>
      <c r="N227" s="167"/>
      <c r="Q227" s="349"/>
      <c r="R227" s="349"/>
    </row>
    <row r="228" spans="2:18" ht="15.75" hidden="1" outlineLevel="1" thickBot="1" x14ac:dyDescent="0.3">
      <c r="B228" s="133">
        <f>IF('Fixtures + Piping computation'!C154&gt;0,'Fixtures + Piping computation'!B154 &amp; " (" &amp;'Fixtures + Piping computation'!C154 &amp; ")",'Fixtures + Piping computation'!B154)</f>
        <v>0</v>
      </c>
      <c r="F228" s="146"/>
      <c r="H228" s="52"/>
      <c r="I228" s="159"/>
      <c r="J228" s="160"/>
      <c r="K228" s="240"/>
      <c r="L228" s="56"/>
      <c r="M228" s="84"/>
      <c r="N228" s="167"/>
      <c r="Q228" s="349"/>
      <c r="R228" s="349"/>
    </row>
    <row r="229" spans="2:18" ht="15" customHeight="1" collapsed="1" x14ac:dyDescent="0.25">
      <c r="B229" s="405"/>
      <c r="C229" s="406" t="s">
        <v>547</v>
      </c>
      <c r="D229" s="407"/>
      <c r="E229" s="407"/>
      <c r="F229" s="408">
        <f>SUM(F220:F228)</f>
        <v>0</v>
      </c>
      <c r="G229" s="408"/>
      <c r="H229" s="408"/>
      <c r="I229" s="408">
        <f>SUM(I221:I228)</f>
        <v>0</v>
      </c>
      <c r="J229" s="409">
        <f>SUM(J221:J228)</f>
        <v>0</v>
      </c>
      <c r="K229" s="408"/>
      <c r="L229" s="408"/>
      <c r="M229" s="409">
        <f>SUM(M221:M228)</f>
        <v>0</v>
      </c>
      <c r="N229" s="410"/>
      <c r="Q229" s="349"/>
      <c r="R229" s="349"/>
    </row>
    <row r="230" spans="2:18" x14ac:dyDescent="0.25">
      <c r="B230" s="133"/>
      <c r="F230" s="146"/>
      <c r="H230" s="52"/>
      <c r="I230" s="159"/>
      <c r="J230" s="160"/>
      <c r="K230" s="225"/>
      <c r="L230" s="56"/>
      <c r="M230" s="84"/>
      <c r="N230" s="167"/>
      <c r="Q230" s="349"/>
      <c r="R230" s="349"/>
    </row>
    <row r="231" spans="2:18" ht="15.75" thickBot="1" x14ac:dyDescent="0.3">
      <c r="B231" s="81" t="s">
        <v>550</v>
      </c>
      <c r="F231" s="146"/>
      <c r="H231" s="52"/>
      <c r="I231" s="159"/>
      <c r="J231" s="160"/>
      <c r="K231" s="225"/>
      <c r="L231" s="56"/>
      <c r="M231" s="84"/>
      <c r="N231" s="167"/>
      <c r="Q231" s="349"/>
      <c r="R231" s="349"/>
    </row>
    <row r="232" spans="2:18" hidden="1" outlineLevel="1" x14ac:dyDescent="0.25">
      <c r="B232" s="133" t="str">
        <f>IF('Fixtures + Piping computation'!C147&gt;0,'Fixtures + Piping computation'!B147 &amp; " (" &amp;'Fixtures + Piping computation'!C147 &amp; ")",'Fixtures + Piping computation'!B147)</f>
        <v>XXX</v>
      </c>
      <c r="D232" s="11" t="s">
        <v>46</v>
      </c>
      <c r="E232" s="11" t="s">
        <v>46</v>
      </c>
      <c r="F232" s="146">
        <f>'Fixtures + Piping computation'!E147</f>
        <v>0</v>
      </c>
      <c r="H232" s="52">
        <v>1</v>
      </c>
      <c r="I232" s="159">
        <f t="shared" ref="I232" si="154">(F232+G232)*H232</f>
        <v>0</v>
      </c>
      <c r="J232" s="160">
        <f>I232*Summary!$H$4</f>
        <v>0</v>
      </c>
      <c r="K232" s="240"/>
      <c r="L232" s="56">
        <v>0</v>
      </c>
      <c r="M232" s="84">
        <f t="shared" ref="M232" si="155">((F232+G232)*K232)+((F232+G232)*L232)</f>
        <v>0</v>
      </c>
      <c r="N232" s="167">
        <f t="shared" ref="N232" si="156">M232+J232</f>
        <v>0</v>
      </c>
      <c r="Q232" s="349"/>
      <c r="R232" s="349"/>
    </row>
    <row r="233" spans="2:18" hidden="1" outlineLevel="1" x14ac:dyDescent="0.25">
      <c r="B233" s="133">
        <f>IF('Fixtures + Piping computation'!C148&gt;0,'Fixtures + Piping computation'!B148 &amp; " (" &amp;'Fixtures + Piping computation'!C148 &amp; ")",'Fixtures + Piping computation'!B148)</f>
        <v>0</v>
      </c>
      <c r="F233" s="146"/>
      <c r="H233" s="52"/>
      <c r="I233" s="159"/>
      <c r="J233" s="160"/>
      <c r="K233" s="240"/>
      <c r="L233" s="56"/>
      <c r="M233" s="84"/>
      <c r="N233" s="167"/>
      <c r="Q233" s="349"/>
      <c r="R233" s="349"/>
    </row>
    <row r="234" spans="2:18" hidden="1" outlineLevel="1" x14ac:dyDescent="0.25">
      <c r="B234" s="133">
        <f>IF('Fixtures + Piping computation'!C149&gt;0,'Fixtures + Piping computation'!B149 &amp; " (" &amp;'Fixtures + Piping computation'!C149 &amp; ")",'Fixtures + Piping computation'!B149)</f>
        <v>0</v>
      </c>
      <c r="F234" s="146"/>
      <c r="H234" s="52"/>
      <c r="I234" s="159"/>
      <c r="J234" s="160"/>
      <c r="K234" s="240"/>
      <c r="L234" s="56"/>
      <c r="M234" s="84"/>
      <c r="N234" s="167"/>
      <c r="Q234" s="349"/>
      <c r="R234" s="349"/>
    </row>
    <row r="235" spans="2:18" hidden="1" outlineLevel="1" x14ac:dyDescent="0.25">
      <c r="B235" s="133">
        <f>IF('Fixtures + Piping computation'!C150&gt;0,'Fixtures + Piping computation'!B150 &amp; " (" &amp;'Fixtures + Piping computation'!C150 &amp; ")",'Fixtures + Piping computation'!B150)</f>
        <v>0</v>
      </c>
      <c r="F235" s="146"/>
      <c r="H235" s="52"/>
      <c r="I235" s="159"/>
      <c r="J235" s="160"/>
      <c r="K235" s="240"/>
      <c r="L235" s="56"/>
      <c r="M235" s="84"/>
      <c r="N235" s="167"/>
      <c r="Q235" s="349"/>
      <c r="R235" s="349"/>
    </row>
    <row r="236" spans="2:18" hidden="1" outlineLevel="1" x14ac:dyDescent="0.25">
      <c r="B236" s="133">
        <f>IF('Fixtures + Piping computation'!C151&gt;0,'Fixtures + Piping computation'!B151 &amp; " (" &amp;'Fixtures + Piping computation'!C151 &amp; ")",'Fixtures + Piping computation'!B151)</f>
        <v>0</v>
      </c>
      <c r="F236" s="146"/>
      <c r="H236" s="52"/>
      <c r="I236" s="159"/>
      <c r="J236" s="160"/>
      <c r="K236" s="240"/>
      <c r="L236" s="56"/>
      <c r="M236" s="84"/>
      <c r="N236" s="167"/>
      <c r="Q236" s="349"/>
      <c r="R236" s="349"/>
    </row>
    <row r="237" spans="2:18" hidden="1" outlineLevel="1" x14ac:dyDescent="0.25">
      <c r="B237" s="133" t="str">
        <f>IF('Fixtures + Piping computation'!C152&gt;0,'Fixtures + Piping computation'!B152 &amp; " (" &amp;'Fixtures + Piping computation'!C152 &amp; ")",'Fixtures + Piping computation'!B152)</f>
        <v xml:space="preserve"> ---Nothing Follows--- </v>
      </c>
      <c r="F237" s="146"/>
      <c r="H237" s="52"/>
      <c r="I237" s="159"/>
      <c r="J237" s="160"/>
      <c r="K237" s="240"/>
      <c r="L237" s="56"/>
      <c r="M237" s="84"/>
      <c r="N237" s="167"/>
      <c r="Q237" s="349"/>
      <c r="R237" s="349"/>
    </row>
    <row r="238" spans="2:18" ht="15.75" hidden="1" outlineLevel="1" thickBot="1" x14ac:dyDescent="0.3">
      <c r="B238" s="133"/>
      <c r="F238" s="146"/>
      <c r="H238" s="52"/>
      <c r="I238" s="159"/>
      <c r="J238" s="160"/>
      <c r="K238" s="240"/>
      <c r="L238" s="56"/>
      <c r="M238" s="84"/>
      <c r="N238" s="167"/>
      <c r="Q238" s="349"/>
      <c r="R238" s="349"/>
    </row>
    <row r="239" spans="2:18" ht="15" customHeight="1" collapsed="1" x14ac:dyDescent="0.25">
      <c r="B239" s="405"/>
      <c r="C239" s="406" t="s">
        <v>551</v>
      </c>
      <c r="D239" s="407"/>
      <c r="E239" s="407"/>
      <c r="F239" s="408">
        <f>SUM(F230:F238)</f>
        <v>0</v>
      </c>
      <c r="G239" s="408"/>
      <c r="H239" s="408"/>
      <c r="I239" s="408">
        <f>SUM(I231:I238)</f>
        <v>0</v>
      </c>
      <c r="J239" s="409">
        <f>SUM(J231:J238)</f>
        <v>0</v>
      </c>
      <c r="K239" s="408"/>
      <c r="L239" s="408"/>
      <c r="M239" s="409">
        <f>SUM(M231:M238)</f>
        <v>0</v>
      </c>
      <c r="N239" s="410"/>
      <c r="Q239" s="349"/>
      <c r="R239" s="349"/>
    </row>
    <row r="240" spans="2:18" ht="15" customHeight="1" x14ac:dyDescent="0.25">
      <c r="B240" s="133"/>
      <c r="F240" s="146"/>
      <c r="H240" s="52"/>
      <c r="I240" s="159"/>
      <c r="J240" s="160"/>
      <c r="K240" s="225"/>
      <c r="L240" s="56"/>
      <c r="M240" s="84"/>
      <c r="N240" s="167"/>
      <c r="Q240" s="349"/>
      <c r="R240" s="349"/>
    </row>
    <row r="241" spans="2:1012 1027:2036 2051:3060 3075:4084 4099:5108 5123:6132 6147:7156 7171:8180 8195:9204 9219:10228 10243:11252 11267:12276 12291:13300 13315:14324 14339:15348 15363:16372" ht="15" customHeight="1" thickBot="1" x14ac:dyDescent="0.3">
      <c r="B241" s="133"/>
      <c r="F241" s="146"/>
      <c r="H241" s="52"/>
      <c r="I241" s="159"/>
      <c r="J241" s="160"/>
      <c r="K241" s="225"/>
      <c r="L241" s="56"/>
      <c r="M241" s="84"/>
      <c r="N241" s="167"/>
      <c r="Q241" s="349"/>
      <c r="R241" s="349"/>
    </row>
    <row r="242" spans="2:1012 1027:2036 2051:3060 3075:4084 4099:5108 5123:6132 6147:7156 7171:8180 8195:9204 9219:10228 10243:11252 11267:12276 12291:13300 13315:14324 14339:15348 15363:16372" s="437" customFormat="1" ht="22.5" customHeight="1" thickBot="1" x14ac:dyDescent="0.3">
      <c r="B242" s="272"/>
      <c r="C242" s="191" t="s">
        <v>459</v>
      </c>
      <c r="D242" s="191"/>
      <c r="E242" s="191"/>
      <c r="F242" s="274">
        <f>'Fixtures + Piping computation'!E156</f>
        <v>38</v>
      </c>
      <c r="G242" s="191"/>
      <c r="H242" s="191"/>
      <c r="I242" s="274">
        <f>I209+I199+I172+I159+I219+I229</f>
        <v>28.122</v>
      </c>
      <c r="J242" s="433">
        <f>J209+J199+J172+J159+J219+J229+J239</f>
        <v>4851.0450000000001</v>
      </c>
      <c r="K242" s="434"/>
      <c r="L242" s="191"/>
      <c r="M242" s="433">
        <f>M209+M199+M172+M159+M219+M229+M239</f>
        <v>0</v>
      </c>
      <c r="N242" s="435"/>
      <c r="O242" s="436">
        <f>SUM(N147:N209)</f>
        <v>4851.0449999999992</v>
      </c>
      <c r="P242" s="481" t="str">
        <f>IF(O242=(M242+J242), "GOOD", "ERROR RECHECK")</f>
        <v>GOOD</v>
      </c>
      <c r="Q242" s="349"/>
      <c r="R242" s="349"/>
    </row>
    <row r="243" spans="2:1012 1027:2036 2051:3060 3075:4084 4099:5108 5123:6132 6147:7156 7171:8180 8195:9204 9219:10228 10243:11252 11267:12276 12291:13300 13315:14324 14339:15348 15363:16372" ht="27" customHeight="1" thickBot="1" x14ac:dyDescent="0.3">
      <c r="B243" s="381"/>
      <c r="C243" s="396"/>
      <c r="D243" s="396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R243"/>
      <c r="S243" s="11"/>
      <c r="T243" s="11"/>
      <c r="AI243" s="11"/>
      <c r="AJ243" s="11"/>
      <c r="AY243" s="11"/>
      <c r="AZ243" s="11"/>
      <c r="BO243" s="11"/>
      <c r="BP243" s="11"/>
      <c r="CE243" s="11"/>
      <c r="CF243" s="11"/>
      <c r="CU243" s="11"/>
      <c r="CV243" s="11"/>
      <c r="DK243" s="11"/>
      <c r="DL243" s="11"/>
      <c r="EA243" s="11"/>
      <c r="EB243" s="11"/>
      <c r="EQ243" s="11"/>
      <c r="ER243" s="11"/>
      <c r="FG243" s="11"/>
      <c r="FH243" s="11"/>
      <c r="FW243" s="11"/>
      <c r="FX243" s="11"/>
      <c r="GM243" s="11"/>
      <c r="GN243" s="11"/>
      <c r="HC243" s="11"/>
      <c r="HD243" s="11"/>
      <c r="HS243" s="11"/>
      <c r="HT243" s="11"/>
      <c r="II243" s="11"/>
      <c r="IJ243" s="11"/>
      <c r="IY243" s="11"/>
      <c r="IZ243" s="11"/>
      <c r="JO243" s="11"/>
      <c r="JP243" s="11"/>
      <c r="KE243" s="11"/>
      <c r="KF243" s="11"/>
      <c r="KU243" s="11"/>
      <c r="KV243" s="11"/>
      <c r="LK243" s="11"/>
      <c r="LL243" s="11"/>
      <c r="MA243" s="11"/>
      <c r="MB243" s="11"/>
      <c r="MQ243" s="11"/>
      <c r="MR243" s="11"/>
      <c r="NG243" s="11"/>
      <c r="NH243" s="11"/>
      <c r="NW243" s="11"/>
      <c r="NX243" s="11"/>
      <c r="OM243" s="11"/>
      <c r="ON243" s="11"/>
      <c r="PC243" s="11"/>
      <c r="PD243" s="11"/>
      <c r="PS243" s="11"/>
      <c r="PT243" s="11"/>
      <c r="QI243" s="11"/>
      <c r="QJ243" s="11"/>
      <c r="QY243" s="11"/>
      <c r="QZ243" s="11"/>
      <c r="RO243" s="11"/>
      <c r="RP243" s="11"/>
      <c r="SE243" s="11"/>
      <c r="SF243" s="11"/>
      <c r="SU243" s="11"/>
      <c r="SV243" s="11"/>
      <c r="TK243" s="11"/>
      <c r="TL243" s="11"/>
      <c r="UA243" s="11"/>
      <c r="UB243" s="11"/>
      <c r="UQ243" s="11"/>
      <c r="UR243" s="11"/>
      <c r="VG243" s="11"/>
      <c r="VH243" s="11"/>
      <c r="VW243" s="11"/>
      <c r="VX243" s="11"/>
      <c r="WM243" s="11"/>
      <c r="WN243" s="11"/>
      <c r="XC243" s="11"/>
      <c r="XD243" s="11"/>
      <c r="XS243" s="11"/>
      <c r="XT243" s="11"/>
      <c r="YI243" s="11"/>
      <c r="YJ243" s="11"/>
      <c r="YY243" s="11"/>
      <c r="YZ243" s="11"/>
      <c r="ZO243" s="11"/>
      <c r="ZP243" s="11"/>
      <c r="AAE243" s="11"/>
      <c r="AAF243" s="11"/>
      <c r="AAU243" s="11"/>
      <c r="AAV243" s="11"/>
      <c r="ABK243" s="11"/>
      <c r="ABL243" s="11"/>
      <c r="ACA243" s="11"/>
      <c r="ACB243" s="11"/>
      <c r="ACQ243" s="11"/>
      <c r="ACR243" s="11"/>
      <c r="ADG243" s="11"/>
      <c r="ADH243" s="11"/>
      <c r="ADW243" s="11"/>
      <c r="ADX243" s="11"/>
      <c r="AEM243" s="11"/>
      <c r="AEN243" s="11"/>
      <c r="AFC243" s="11"/>
      <c r="AFD243" s="11"/>
      <c r="AFS243" s="11"/>
      <c r="AFT243" s="11"/>
      <c r="AGI243" s="11"/>
      <c r="AGJ243" s="11"/>
      <c r="AGY243" s="11"/>
      <c r="AGZ243" s="11"/>
      <c r="AHO243" s="11"/>
      <c r="AHP243" s="11"/>
      <c r="AIE243" s="11"/>
      <c r="AIF243" s="11"/>
      <c r="AIU243" s="11"/>
      <c r="AIV243" s="11"/>
      <c r="AJK243" s="11"/>
      <c r="AJL243" s="11"/>
      <c r="AKA243" s="11"/>
      <c r="AKB243" s="11"/>
      <c r="AKQ243" s="11"/>
      <c r="AKR243" s="11"/>
      <c r="ALG243" s="11"/>
      <c r="ALH243" s="11"/>
      <c r="ALW243" s="11"/>
      <c r="ALX243" s="11"/>
      <c r="AMM243" s="11"/>
      <c r="AMN243" s="11"/>
      <c r="ANC243" s="11"/>
      <c r="AND243" s="11"/>
      <c r="ANS243" s="11"/>
      <c r="ANT243" s="11"/>
      <c r="AOI243" s="11"/>
      <c r="AOJ243" s="11"/>
      <c r="AOY243" s="11"/>
      <c r="AOZ243" s="11"/>
      <c r="APO243" s="11"/>
      <c r="APP243" s="11"/>
      <c r="AQE243" s="11"/>
      <c r="AQF243" s="11"/>
      <c r="AQU243" s="11"/>
      <c r="AQV243" s="11"/>
      <c r="ARK243" s="11"/>
      <c r="ARL243" s="11"/>
      <c r="ASA243" s="11"/>
      <c r="ASB243" s="11"/>
      <c r="ASQ243" s="11"/>
      <c r="ASR243" s="11"/>
      <c r="ATG243" s="11"/>
      <c r="ATH243" s="11"/>
      <c r="ATW243" s="11"/>
      <c r="ATX243" s="11"/>
      <c r="AUM243" s="11"/>
      <c r="AUN243" s="11"/>
      <c r="AVC243" s="11"/>
      <c r="AVD243" s="11"/>
      <c r="AVS243" s="11"/>
      <c r="AVT243" s="11"/>
      <c r="AWI243" s="11"/>
      <c r="AWJ243" s="11"/>
      <c r="AWY243" s="11"/>
      <c r="AWZ243" s="11"/>
      <c r="AXO243" s="11"/>
      <c r="AXP243" s="11"/>
      <c r="AYE243" s="11"/>
      <c r="AYF243" s="11"/>
      <c r="AYU243" s="11"/>
      <c r="AYV243" s="11"/>
      <c r="AZK243" s="11"/>
      <c r="AZL243" s="11"/>
      <c r="BAA243" s="11"/>
      <c r="BAB243" s="11"/>
      <c r="BAQ243" s="11"/>
      <c r="BAR243" s="11"/>
      <c r="BBG243" s="11"/>
      <c r="BBH243" s="11"/>
      <c r="BBW243" s="11"/>
      <c r="BBX243" s="11"/>
      <c r="BCM243" s="11"/>
      <c r="BCN243" s="11"/>
      <c r="BDC243" s="11"/>
      <c r="BDD243" s="11"/>
      <c r="BDS243" s="11"/>
      <c r="BDT243" s="11"/>
      <c r="BEI243" s="11"/>
      <c r="BEJ243" s="11"/>
      <c r="BEY243" s="11"/>
      <c r="BEZ243" s="11"/>
      <c r="BFO243" s="11"/>
      <c r="BFP243" s="11"/>
      <c r="BGE243" s="11"/>
      <c r="BGF243" s="11"/>
      <c r="BGU243" s="11"/>
      <c r="BGV243" s="11"/>
      <c r="BHK243" s="11"/>
      <c r="BHL243" s="11"/>
      <c r="BIA243" s="11"/>
      <c r="BIB243" s="11"/>
      <c r="BIQ243" s="11"/>
      <c r="BIR243" s="11"/>
      <c r="BJG243" s="11"/>
      <c r="BJH243" s="11"/>
      <c r="BJW243" s="11"/>
      <c r="BJX243" s="11"/>
      <c r="BKM243" s="11"/>
      <c r="BKN243" s="11"/>
      <c r="BLC243" s="11"/>
      <c r="BLD243" s="11"/>
      <c r="BLS243" s="11"/>
      <c r="BLT243" s="11"/>
      <c r="BMI243" s="11"/>
      <c r="BMJ243" s="11"/>
      <c r="BMY243" s="11"/>
      <c r="BMZ243" s="11"/>
      <c r="BNO243" s="11"/>
      <c r="BNP243" s="11"/>
      <c r="BOE243" s="11"/>
      <c r="BOF243" s="11"/>
      <c r="BOU243" s="11"/>
      <c r="BOV243" s="11"/>
      <c r="BPK243" s="11"/>
      <c r="BPL243" s="11"/>
      <c r="BQA243" s="11"/>
      <c r="BQB243" s="11"/>
      <c r="BQQ243" s="11"/>
      <c r="BQR243" s="11"/>
      <c r="BRG243" s="11"/>
      <c r="BRH243" s="11"/>
      <c r="BRW243" s="11"/>
      <c r="BRX243" s="11"/>
      <c r="BSM243" s="11"/>
      <c r="BSN243" s="11"/>
      <c r="BTC243" s="11"/>
      <c r="BTD243" s="11"/>
      <c r="BTS243" s="11"/>
      <c r="BTT243" s="11"/>
      <c r="BUI243" s="11"/>
      <c r="BUJ243" s="11"/>
      <c r="BUY243" s="11"/>
      <c r="BUZ243" s="11"/>
      <c r="BVO243" s="11"/>
      <c r="BVP243" s="11"/>
      <c r="BWE243" s="11"/>
      <c r="BWF243" s="11"/>
      <c r="BWU243" s="11"/>
      <c r="BWV243" s="11"/>
      <c r="BXK243" s="11"/>
      <c r="BXL243" s="11"/>
      <c r="BYA243" s="11"/>
      <c r="BYB243" s="11"/>
      <c r="BYQ243" s="11"/>
      <c r="BYR243" s="11"/>
      <c r="BZG243" s="11"/>
      <c r="BZH243" s="11"/>
      <c r="BZW243" s="11"/>
      <c r="BZX243" s="11"/>
      <c r="CAM243" s="11"/>
      <c r="CAN243" s="11"/>
      <c r="CBC243" s="11"/>
      <c r="CBD243" s="11"/>
      <c r="CBS243" s="11"/>
      <c r="CBT243" s="11"/>
      <c r="CCI243" s="11"/>
      <c r="CCJ243" s="11"/>
      <c r="CCY243" s="11"/>
      <c r="CCZ243" s="11"/>
      <c r="CDO243" s="11"/>
      <c r="CDP243" s="11"/>
      <c r="CEE243" s="11"/>
      <c r="CEF243" s="11"/>
      <c r="CEU243" s="11"/>
      <c r="CEV243" s="11"/>
      <c r="CFK243" s="11"/>
      <c r="CFL243" s="11"/>
      <c r="CGA243" s="11"/>
      <c r="CGB243" s="11"/>
      <c r="CGQ243" s="11"/>
      <c r="CGR243" s="11"/>
      <c r="CHG243" s="11"/>
      <c r="CHH243" s="11"/>
      <c r="CHW243" s="11"/>
      <c r="CHX243" s="11"/>
      <c r="CIM243" s="11"/>
      <c r="CIN243" s="11"/>
      <c r="CJC243" s="11"/>
      <c r="CJD243" s="11"/>
      <c r="CJS243" s="11"/>
      <c r="CJT243" s="11"/>
      <c r="CKI243" s="11"/>
      <c r="CKJ243" s="11"/>
      <c r="CKY243" s="11"/>
      <c r="CKZ243" s="11"/>
      <c r="CLO243" s="11"/>
      <c r="CLP243" s="11"/>
      <c r="CME243" s="11"/>
      <c r="CMF243" s="11"/>
      <c r="CMU243" s="11"/>
      <c r="CMV243" s="11"/>
      <c r="CNK243" s="11"/>
      <c r="CNL243" s="11"/>
      <c r="COA243" s="11"/>
      <c r="COB243" s="11"/>
      <c r="COQ243" s="11"/>
      <c r="COR243" s="11"/>
      <c r="CPG243" s="11"/>
      <c r="CPH243" s="11"/>
      <c r="CPW243" s="11"/>
      <c r="CPX243" s="11"/>
      <c r="CQM243" s="11"/>
      <c r="CQN243" s="11"/>
      <c r="CRC243" s="11"/>
      <c r="CRD243" s="11"/>
      <c r="CRS243" s="11"/>
      <c r="CRT243" s="11"/>
      <c r="CSI243" s="11"/>
      <c r="CSJ243" s="11"/>
      <c r="CSY243" s="11"/>
      <c r="CSZ243" s="11"/>
      <c r="CTO243" s="11"/>
      <c r="CTP243" s="11"/>
      <c r="CUE243" s="11"/>
      <c r="CUF243" s="11"/>
      <c r="CUU243" s="11"/>
      <c r="CUV243" s="11"/>
      <c r="CVK243" s="11"/>
      <c r="CVL243" s="11"/>
      <c r="CWA243" s="11"/>
      <c r="CWB243" s="11"/>
      <c r="CWQ243" s="11"/>
      <c r="CWR243" s="11"/>
      <c r="CXG243" s="11"/>
      <c r="CXH243" s="11"/>
      <c r="CXW243" s="11"/>
      <c r="CXX243" s="11"/>
      <c r="CYM243" s="11"/>
      <c r="CYN243" s="11"/>
      <c r="CZC243" s="11"/>
      <c r="CZD243" s="11"/>
      <c r="CZS243" s="11"/>
      <c r="CZT243" s="11"/>
      <c r="DAI243" s="11"/>
      <c r="DAJ243" s="11"/>
      <c r="DAY243" s="11"/>
      <c r="DAZ243" s="11"/>
      <c r="DBO243" s="11"/>
      <c r="DBP243" s="11"/>
      <c r="DCE243" s="11"/>
      <c r="DCF243" s="11"/>
      <c r="DCU243" s="11"/>
      <c r="DCV243" s="11"/>
      <c r="DDK243" s="11"/>
      <c r="DDL243" s="11"/>
      <c r="DEA243" s="11"/>
      <c r="DEB243" s="11"/>
      <c r="DEQ243" s="11"/>
      <c r="DER243" s="11"/>
      <c r="DFG243" s="11"/>
      <c r="DFH243" s="11"/>
      <c r="DFW243" s="11"/>
      <c r="DFX243" s="11"/>
      <c r="DGM243" s="11"/>
      <c r="DGN243" s="11"/>
      <c r="DHC243" s="11"/>
      <c r="DHD243" s="11"/>
      <c r="DHS243" s="11"/>
      <c r="DHT243" s="11"/>
      <c r="DII243" s="11"/>
      <c r="DIJ243" s="11"/>
      <c r="DIY243" s="11"/>
      <c r="DIZ243" s="11"/>
      <c r="DJO243" s="11"/>
      <c r="DJP243" s="11"/>
      <c r="DKE243" s="11"/>
      <c r="DKF243" s="11"/>
      <c r="DKU243" s="11"/>
      <c r="DKV243" s="11"/>
      <c r="DLK243" s="11"/>
      <c r="DLL243" s="11"/>
      <c r="DMA243" s="11"/>
      <c r="DMB243" s="11"/>
      <c r="DMQ243" s="11"/>
      <c r="DMR243" s="11"/>
      <c r="DNG243" s="11"/>
      <c r="DNH243" s="11"/>
      <c r="DNW243" s="11"/>
      <c r="DNX243" s="11"/>
      <c r="DOM243" s="11"/>
      <c r="DON243" s="11"/>
      <c r="DPC243" s="11"/>
      <c r="DPD243" s="11"/>
      <c r="DPS243" s="11"/>
      <c r="DPT243" s="11"/>
      <c r="DQI243" s="11"/>
      <c r="DQJ243" s="11"/>
      <c r="DQY243" s="11"/>
      <c r="DQZ243" s="11"/>
      <c r="DRO243" s="11"/>
      <c r="DRP243" s="11"/>
      <c r="DSE243" s="11"/>
      <c r="DSF243" s="11"/>
      <c r="DSU243" s="11"/>
      <c r="DSV243" s="11"/>
      <c r="DTK243" s="11"/>
      <c r="DTL243" s="11"/>
      <c r="DUA243" s="11"/>
      <c r="DUB243" s="11"/>
      <c r="DUQ243" s="11"/>
      <c r="DUR243" s="11"/>
      <c r="DVG243" s="11"/>
      <c r="DVH243" s="11"/>
      <c r="DVW243" s="11"/>
      <c r="DVX243" s="11"/>
      <c r="DWM243" s="11"/>
      <c r="DWN243" s="11"/>
      <c r="DXC243" s="11"/>
      <c r="DXD243" s="11"/>
      <c r="DXS243" s="11"/>
      <c r="DXT243" s="11"/>
      <c r="DYI243" s="11"/>
      <c r="DYJ243" s="11"/>
      <c r="DYY243" s="11"/>
      <c r="DYZ243" s="11"/>
      <c r="DZO243" s="11"/>
      <c r="DZP243" s="11"/>
      <c r="EAE243" s="11"/>
      <c r="EAF243" s="11"/>
      <c r="EAU243" s="11"/>
      <c r="EAV243" s="11"/>
      <c r="EBK243" s="11"/>
      <c r="EBL243" s="11"/>
      <c r="ECA243" s="11"/>
      <c r="ECB243" s="11"/>
      <c r="ECQ243" s="11"/>
      <c r="ECR243" s="11"/>
      <c r="EDG243" s="11"/>
      <c r="EDH243" s="11"/>
      <c r="EDW243" s="11"/>
      <c r="EDX243" s="11"/>
      <c r="EEM243" s="11"/>
      <c r="EEN243" s="11"/>
      <c r="EFC243" s="11"/>
      <c r="EFD243" s="11"/>
      <c r="EFS243" s="11"/>
      <c r="EFT243" s="11"/>
      <c r="EGI243" s="11"/>
      <c r="EGJ243" s="11"/>
      <c r="EGY243" s="11"/>
      <c r="EGZ243" s="11"/>
      <c r="EHO243" s="11"/>
      <c r="EHP243" s="11"/>
      <c r="EIE243" s="11"/>
      <c r="EIF243" s="11"/>
      <c r="EIU243" s="11"/>
      <c r="EIV243" s="11"/>
      <c r="EJK243" s="11"/>
      <c r="EJL243" s="11"/>
      <c r="EKA243" s="11"/>
      <c r="EKB243" s="11"/>
      <c r="EKQ243" s="11"/>
      <c r="EKR243" s="11"/>
      <c r="ELG243" s="11"/>
      <c r="ELH243" s="11"/>
      <c r="ELW243" s="11"/>
      <c r="ELX243" s="11"/>
      <c r="EMM243" s="11"/>
      <c r="EMN243" s="11"/>
      <c r="ENC243" s="11"/>
      <c r="END243" s="11"/>
      <c r="ENS243" s="11"/>
      <c r="ENT243" s="11"/>
      <c r="EOI243" s="11"/>
      <c r="EOJ243" s="11"/>
      <c r="EOY243" s="11"/>
      <c r="EOZ243" s="11"/>
      <c r="EPO243" s="11"/>
      <c r="EPP243" s="11"/>
      <c r="EQE243" s="11"/>
      <c r="EQF243" s="11"/>
      <c r="EQU243" s="11"/>
      <c r="EQV243" s="11"/>
      <c r="ERK243" s="11"/>
      <c r="ERL243" s="11"/>
      <c r="ESA243" s="11"/>
      <c r="ESB243" s="11"/>
      <c r="ESQ243" s="11"/>
      <c r="ESR243" s="11"/>
      <c r="ETG243" s="11"/>
      <c r="ETH243" s="11"/>
      <c r="ETW243" s="11"/>
      <c r="ETX243" s="11"/>
      <c r="EUM243" s="11"/>
      <c r="EUN243" s="11"/>
      <c r="EVC243" s="11"/>
      <c r="EVD243" s="11"/>
      <c r="EVS243" s="11"/>
      <c r="EVT243" s="11"/>
      <c r="EWI243" s="11"/>
      <c r="EWJ243" s="11"/>
      <c r="EWY243" s="11"/>
      <c r="EWZ243" s="11"/>
      <c r="EXO243" s="11"/>
      <c r="EXP243" s="11"/>
      <c r="EYE243" s="11"/>
      <c r="EYF243" s="11"/>
      <c r="EYU243" s="11"/>
      <c r="EYV243" s="11"/>
      <c r="EZK243" s="11"/>
      <c r="EZL243" s="11"/>
      <c r="FAA243" s="11"/>
      <c r="FAB243" s="11"/>
      <c r="FAQ243" s="11"/>
      <c r="FAR243" s="11"/>
      <c r="FBG243" s="11"/>
      <c r="FBH243" s="11"/>
      <c r="FBW243" s="11"/>
      <c r="FBX243" s="11"/>
      <c r="FCM243" s="11"/>
      <c r="FCN243" s="11"/>
      <c r="FDC243" s="11"/>
      <c r="FDD243" s="11"/>
      <c r="FDS243" s="11"/>
      <c r="FDT243" s="11"/>
      <c r="FEI243" s="11"/>
      <c r="FEJ243" s="11"/>
      <c r="FEY243" s="11"/>
      <c r="FEZ243" s="11"/>
      <c r="FFO243" s="11"/>
      <c r="FFP243" s="11"/>
      <c r="FGE243" s="11"/>
      <c r="FGF243" s="11"/>
      <c r="FGU243" s="11"/>
      <c r="FGV243" s="11"/>
      <c r="FHK243" s="11"/>
      <c r="FHL243" s="11"/>
      <c r="FIA243" s="11"/>
      <c r="FIB243" s="11"/>
      <c r="FIQ243" s="11"/>
      <c r="FIR243" s="11"/>
      <c r="FJG243" s="11"/>
      <c r="FJH243" s="11"/>
      <c r="FJW243" s="11"/>
      <c r="FJX243" s="11"/>
      <c r="FKM243" s="11"/>
      <c r="FKN243" s="11"/>
      <c r="FLC243" s="11"/>
      <c r="FLD243" s="11"/>
      <c r="FLS243" s="11"/>
      <c r="FLT243" s="11"/>
      <c r="FMI243" s="11"/>
      <c r="FMJ243" s="11"/>
      <c r="FMY243" s="11"/>
      <c r="FMZ243" s="11"/>
      <c r="FNO243" s="11"/>
      <c r="FNP243" s="11"/>
      <c r="FOE243" s="11"/>
      <c r="FOF243" s="11"/>
      <c r="FOU243" s="11"/>
      <c r="FOV243" s="11"/>
      <c r="FPK243" s="11"/>
      <c r="FPL243" s="11"/>
      <c r="FQA243" s="11"/>
      <c r="FQB243" s="11"/>
      <c r="FQQ243" s="11"/>
      <c r="FQR243" s="11"/>
      <c r="FRG243" s="11"/>
      <c r="FRH243" s="11"/>
      <c r="FRW243" s="11"/>
      <c r="FRX243" s="11"/>
      <c r="FSM243" s="11"/>
      <c r="FSN243" s="11"/>
      <c r="FTC243" s="11"/>
      <c r="FTD243" s="11"/>
      <c r="FTS243" s="11"/>
      <c r="FTT243" s="11"/>
      <c r="FUI243" s="11"/>
      <c r="FUJ243" s="11"/>
      <c r="FUY243" s="11"/>
      <c r="FUZ243" s="11"/>
      <c r="FVO243" s="11"/>
      <c r="FVP243" s="11"/>
      <c r="FWE243" s="11"/>
      <c r="FWF243" s="11"/>
      <c r="FWU243" s="11"/>
      <c r="FWV243" s="11"/>
      <c r="FXK243" s="11"/>
      <c r="FXL243" s="11"/>
      <c r="FYA243" s="11"/>
      <c r="FYB243" s="11"/>
      <c r="FYQ243" s="11"/>
      <c r="FYR243" s="11"/>
      <c r="FZG243" s="11"/>
      <c r="FZH243" s="11"/>
      <c r="FZW243" s="11"/>
      <c r="FZX243" s="11"/>
      <c r="GAM243" s="11"/>
      <c r="GAN243" s="11"/>
      <c r="GBC243" s="11"/>
      <c r="GBD243" s="11"/>
      <c r="GBS243" s="11"/>
      <c r="GBT243" s="11"/>
      <c r="GCI243" s="11"/>
      <c r="GCJ243" s="11"/>
      <c r="GCY243" s="11"/>
      <c r="GCZ243" s="11"/>
      <c r="GDO243" s="11"/>
      <c r="GDP243" s="11"/>
      <c r="GEE243" s="11"/>
      <c r="GEF243" s="11"/>
      <c r="GEU243" s="11"/>
      <c r="GEV243" s="11"/>
      <c r="GFK243" s="11"/>
      <c r="GFL243" s="11"/>
      <c r="GGA243" s="11"/>
      <c r="GGB243" s="11"/>
      <c r="GGQ243" s="11"/>
      <c r="GGR243" s="11"/>
      <c r="GHG243" s="11"/>
      <c r="GHH243" s="11"/>
      <c r="GHW243" s="11"/>
      <c r="GHX243" s="11"/>
      <c r="GIM243" s="11"/>
      <c r="GIN243" s="11"/>
      <c r="GJC243" s="11"/>
      <c r="GJD243" s="11"/>
      <c r="GJS243" s="11"/>
      <c r="GJT243" s="11"/>
      <c r="GKI243" s="11"/>
      <c r="GKJ243" s="11"/>
      <c r="GKY243" s="11"/>
      <c r="GKZ243" s="11"/>
      <c r="GLO243" s="11"/>
      <c r="GLP243" s="11"/>
      <c r="GME243" s="11"/>
      <c r="GMF243" s="11"/>
      <c r="GMU243" s="11"/>
      <c r="GMV243" s="11"/>
      <c r="GNK243" s="11"/>
      <c r="GNL243" s="11"/>
      <c r="GOA243" s="11"/>
      <c r="GOB243" s="11"/>
      <c r="GOQ243" s="11"/>
      <c r="GOR243" s="11"/>
      <c r="GPG243" s="11"/>
      <c r="GPH243" s="11"/>
      <c r="GPW243" s="11"/>
      <c r="GPX243" s="11"/>
      <c r="GQM243" s="11"/>
      <c r="GQN243" s="11"/>
      <c r="GRC243" s="11"/>
      <c r="GRD243" s="11"/>
      <c r="GRS243" s="11"/>
      <c r="GRT243" s="11"/>
      <c r="GSI243" s="11"/>
      <c r="GSJ243" s="11"/>
      <c r="GSY243" s="11"/>
      <c r="GSZ243" s="11"/>
      <c r="GTO243" s="11"/>
      <c r="GTP243" s="11"/>
      <c r="GUE243" s="11"/>
      <c r="GUF243" s="11"/>
      <c r="GUU243" s="11"/>
      <c r="GUV243" s="11"/>
      <c r="GVK243" s="11"/>
      <c r="GVL243" s="11"/>
      <c r="GWA243" s="11"/>
      <c r="GWB243" s="11"/>
      <c r="GWQ243" s="11"/>
      <c r="GWR243" s="11"/>
      <c r="GXG243" s="11"/>
      <c r="GXH243" s="11"/>
      <c r="GXW243" s="11"/>
      <c r="GXX243" s="11"/>
      <c r="GYM243" s="11"/>
      <c r="GYN243" s="11"/>
      <c r="GZC243" s="11"/>
      <c r="GZD243" s="11"/>
      <c r="GZS243" s="11"/>
      <c r="GZT243" s="11"/>
      <c r="HAI243" s="11"/>
      <c r="HAJ243" s="11"/>
      <c r="HAY243" s="11"/>
      <c r="HAZ243" s="11"/>
      <c r="HBO243" s="11"/>
      <c r="HBP243" s="11"/>
      <c r="HCE243" s="11"/>
      <c r="HCF243" s="11"/>
      <c r="HCU243" s="11"/>
      <c r="HCV243" s="11"/>
      <c r="HDK243" s="11"/>
      <c r="HDL243" s="11"/>
      <c r="HEA243" s="11"/>
      <c r="HEB243" s="11"/>
      <c r="HEQ243" s="11"/>
      <c r="HER243" s="11"/>
      <c r="HFG243" s="11"/>
      <c r="HFH243" s="11"/>
      <c r="HFW243" s="11"/>
      <c r="HFX243" s="11"/>
      <c r="HGM243" s="11"/>
      <c r="HGN243" s="11"/>
      <c r="HHC243" s="11"/>
      <c r="HHD243" s="11"/>
      <c r="HHS243" s="11"/>
      <c r="HHT243" s="11"/>
      <c r="HII243" s="11"/>
      <c r="HIJ243" s="11"/>
      <c r="HIY243" s="11"/>
      <c r="HIZ243" s="11"/>
      <c r="HJO243" s="11"/>
      <c r="HJP243" s="11"/>
      <c r="HKE243" s="11"/>
      <c r="HKF243" s="11"/>
      <c r="HKU243" s="11"/>
      <c r="HKV243" s="11"/>
      <c r="HLK243" s="11"/>
      <c r="HLL243" s="11"/>
      <c r="HMA243" s="11"/>
      <c r="HMB243" s="11"/>
      <c r="HMQ243" s="11"/>
      <c r="HMR243" s="11"/>
      <c r="HNG243" s="11"/>
      <c r="HNH243" s="11"/>
      <c r="HNW243" s="11"/>
      <c r="HNX243" s="11"/>
      <c r="HOM243" s="11"/>
      <c r="HON243" s="11"/>
      <c r="HPC243" s="11"/>
      <c r="HPD243" s="11"/>
      <c r="HPS243" s="11"/>
      <c r="HPT243" s="11"/>
      <c r="HQI243" s="11"/>
      <c r="HQJ243" s="11"/>
      <c r="HQY243" s="11"/>
      <c r="HQZ243" s="11"/>
      <c r="HRO243" s="11"/>
      <c r="HRP243" s="11"/>
      <c r="HSE243" s="11"/>
      <c r="HSF243" s="11"/>
      <c r="HSU243" s="11"/>
      <c r="HSV243" s="11"/>
      <c r="HTK243" s="11"/>
      <c r="HTL243" s="11"/>
      <c r="HUA243" s="11"/>
      <c r="HUB243" s="11"/>
      <c r="HUQ243" s="11"/>
      <c r="HUR243" s="11"/>
      <c r="HVG243" s="11"/>
      <c r="HVH243" s="11"/>
      <c r="HVW243" s="11"/>
      <c r="HVX243" s="11"/>
      <c r="HWM243" s="11"/>
      <c r="HWN243" s="11"/>
      <c r="HXC243" s="11"/>
      <c r="HXD243" s="11"/>
      <c r="HXS243" s="11"/>
      <c r="HXT243" s="11"/>
      <c r="HYI243" s="11"/>
      <c r="HYJ243" s="11"/>
      <c r="HYY243" s="11"/>
      <c r="HYZ243" s="11"/>
      <c r="HZO243" s="11"/>
      <c r="HZP243" s="11"/>
      <c r="IAE243" s="11"/>
      <c r="IAF243" s="11"/>
      <c r="IAU243" s="11"/>
      <c r="IAV243" s="11"/>
      <c r="IBK243" s="11"/>
      <c r="IBL243" s="11"/>
      <c r="ICA243" s="11"/>
      <c r="ICB243" s="11"/>
      <c r="ICQ243" s="11"/>
      <c r="ICR243" s="11"/>
      <c r="IDG243" s="11"/>
      <c r="IDH243" s="11"/>
      <c r="IDW243" s="11"/>
      <c r="IDX243" s="11"/>
      <c r="IEM243" s="11"/>
      <c r="IEN243" s="11"/>
      <c r="IFC243" s="11"/>
      <c r="IFD243" s="11"/>
      <c r="IFS243" s="11"/>
      <c r="IFT243" s="11"/>
      <c r="IGI243" s="11"/>
      <c r="IGJ243" s="11"/>
      <c r="IGY243" s="11"/>
      <c r="IGZ243" s="11"/>
      <c r="IHO243" s="11"/>
      <c r="IHP243" s="11"/>
      <c r="IIE243" s="11"/>
      <c r="IIF243" s="11"/>
      <c r="IIU243" s="11"/>
      <c r="IIV243" s="11"/>
      <c r="IJK243" s="11"/>
      <c r="IJL243" s="11"/>
      <c r="IKA243" s="11"/>
      <c r="IKB243" s="11"/>
      <c r="IKQ243" s="11"/>
      <c r="IKR243" s="11"/>
      <c r="ILG243" s="11"/>
      <c r="ILH243" s="11"/>
      <c r="ILW243" s="11"/>
      <c r="ILX243" s="11"/>
      <c r="IMM243" s="11"/>
      <c r="IMN243" s="11"/>
      <c r="INC243" s="11"/>
      <c r="IND243" s="11"/>
      <c r="INS243" s="11"/>
      <c r="INT243" s="11"/>
      <c r="IOI243" s="11"/>
      <c r="IOJ243" s="11"/>
      <c r="IOY243" s="11"/>
      <c r="IOZ243" s="11"/>
      <c r="IPO243" s="11"/>
      <c r="IPP243" s="11"/>
      <c r="IQE243" s="11"/>
      <c r="IQF243" s="11"/>
      <c r="IQU243" s="11"/>
      <c r="IQV243" s="11"/>
      <c r="IRK243" s="11"/>
      <c r="IRL243" s="11"/>
      <c r="ISA243" s="11"/>
      <c r="ISB243" s="11"/>
      <c r="ISQ243" s="11"/>
      <c r="ISR243" s="11"/>
      <c r="ITG243" s="11"/>
      <c r="ITH243" s="11"/>
      <c r="ITW243" s="11"/>
      <c r="ITX243" s="11"/>
      <c r="IUM243" s="11"/>
      <c r="IUN243" s="11"/>
      <c r="IVC243" s="11"/>
      <c r="IVD243" s="11"/>
      <c r="IVS243" s="11"/>
      <c r="IVT243" s="11"/>
      <c r="IWI243" s="11"/>
      <c r="IWJ243" s="11"/>
      <c r="IWY243" s="11"/>
      <c r="IWZ243" s="11"/>
      <c r="IXO243" s="11"/>
      <c r="IXP243" s="11"/>
      <c r="IYE243" s="11"/>
      <c r="IYF243" s="11"/>
      <c r="IYU243" s="11"/>
      <c r="IYV243" s="11"/>
      <c r="IZK243" s="11"/>
      <c r="IZL243" s="11"/>
      <c r="JAA243" s="11"/>
      <c r="JAB243" s="11"/>
      <c r="JAQ243" s="11"/>
      <c r="JAR243" s="11"/>
      <c r="JBG243" s="11"/>
      <c r="JBH243" s="11"/>
      <c r="JBW243" s="11"/>
      <c r="JBX243" s="11"/>
      <c r="JCM243" s="11"/>
      <c r="JCN243" s="11"/>
      <c r="JDC243" s="11"/>
      <c r="JDD243" s="11"/>
      <c r="JDS243" s="11"/>
      <c r="JDT243" s="11"/>
      <c r="JEI243" s="11"/>
      <c r="JEJ243" s="11"/>
      <c r="JEY243" s="11"/>
      <c r="JEZ243" s="11"/>
      <c r="JFO243" s="11"/>
      <c r="JFP243" s="11"/>
      <c r="JGE243" s="11"/>
      <c r="JGF243" s="11"/>
      <c r="JGU243" s="11"/>
      <c r="JGV243" s="11"/>
      <c r="JHK243" s="11"/>
      <c r="JHL243" s="11"/>
      <c r="JIA243" s="11"/>
      <c r="JIB243" s="11"/>
      <c r="JIQ243" s="11"/>
      <c r="JIR243" s="11"/>
      <c r="JJG243" s="11"/>
      <c r="JJH243" s="11"/>
      <c r="JJW243" s="11"/>
      <c r="JJX243" s="11"/>
      <c r="JKM243" s="11"/>
      <c r="JKN243" s="11"/>
      <c r="JLC243" s="11"/>
      <c r="JLD243" s="11"/>
      <c r="JLS243" s="11"/>
      <c r="JLT243" s="11"/>
      <c r="JMI243" s="11"/>
      <c r="JMJ243" s="11"/>
      <c r="JMY243" s="11"/>
      <c r="JMZ243" s="11"/>
      <c r="JNO243" s="11"/>
      <c r="JNP243" s="11"/>
      <c r="JOE243" s="11"/>
      <c r="JOF243" s="11"/>
      <c r="JOU243" s="11"/>
      <c r="JOV243" s="11"/>
      <c r="JPK243" s="11"/>
      <c r="JPL243" s="11"/>
      <c r="JQA243" s="11"/>
      <c r="JQB243" s="11"/>
      <c r="JQQ243" s="11"/>
      <c r="JQR243" s="11"/>
      <c r="JRG243" s="11"/>
      <c r="JRH243" s="11"/>
      <c r="JRW243" s="11"/>
      <c r="JRX243" s="11"/>
      <c r="JSM243" s="11"/>
      <c r="JSN243" s="11"/>
      <c r="JTC243" s="11"/>
      <c r="JTD243" s="11"/>
      <c r="JTS243" s="11"/>
      <c r="JTT243" s="11"/>
      <c r="JUI243" s="11"/>
      <c r="JUJ243" s="11"/>
      <c r="JUY243" s="11"/>
      <c r="JUZ243" s="11"/>
      <c r="JVO243" s="11"/>
      <c r="JVP243" s="11"/>
      <c r="JWE243" s="11"/>
      <c r="JWF243" s="11"/>
      <c r="JWU243" s="11"/>
      <c r="JWV243" s="11"/>
      <c r="JXK243" s="11"/>
      <c r="JXL243" s="11"/>
      <c r="JYA243" s="11"/>
      <c r="JYB243" s="11"/>
      <c r="JYQ243" s="11"/>
      <c r="JYR243" s="11"/>
      <c r="JZG243" s="11"/>
      <c r="JZH243" s="11"/>
      <c r="JZW243" s="11"/>
      <c r="JZX243" s="11"/>
      <c r="KAM243" s="11"/>
      <c r="KAN243" s="11"/>
      <c r="KBC243" s="11"/>
      <c r="KBD243" s="11"/>
      <c r="KBS243" s="11"/>
      <c r="KBT243" s="11"/>
      <c r="KCI243" s="11"/>
      <c r="KCJ243" s="11"/>
      <c r="KCY243" s="11"/>
      <c r="KCZ243" s="11"/>
      <c r="KDO243" s="11"/>
      <c r="KDP243" s="11"/>
      <c r="KEE243" s="11"/>
      <c r="KEF243" s="11"/>
      <c r="KEU243" s="11"/>
      <c r="KEV243" s="11"/>
      <c r="KFK243" s="11"/>
      <c r="KFL243" s="11"/>
      <c r="KGA243" s="11"/>
      <c r="KGB243" s="11"/>
      <c r="KGQ243" s="11"/>
      <c r="KGR243" s="11"/>
      <c r="KHG243" s="11"/>
      <c r="KHH243" s="11"/>
      <c r="KHW243" s="11"/>
      <c r="KHX243" s="11"/>
      <c r="KIM243" s="11"/>
      <c r="KIN243" s="11"/>
      <c r="KJC243" s="11"/>
      <c r="KJD243" s="11"/>
      <c r="KJS243" s="11"/>
      <c r="KJT243" s="11"/>
      <c r="KKI243" s="11"/>
      <c r="KKJ243" s="11"/>
      <c r="KKY243" s="11"/>
      <c r="KKZ243" s="11"/>
      <c r="KLO243" s="11"/>
      <c r="KLP243" s="11"/>
      <c r="KME243" s="11"/>
      <c r="KMF243" s="11"/>
      <c r="KMU243" s="11"/>
      <c r="KMV243" s="11"/>
      <c r="KNK243" s="11"/>
      <c r="KNL243" s="11"/>
      <c r="KOA243" s="11"/>
      <c r="KOB243" s="11"/>
      <c r="KOQ243" s="11"/>
      <c r="KOR243" s="11"/>
      <c r="KPG243" s="11"/>
      <c r="KPH243" s="11"/>
      <c r="KPW243" s="11"/>
      <c r="KPX243" s="11"/>
      <c r="KQM243" s="11"/>
      <c r="KQN243" s="11"/>
      <c r="KRC243" s="11"/>
      <c r="KRD243" s="11"/>
      <c r="KRS243" s="11"/>
      <c r="KRT243" s="11"/>
      <c r="KSI243" s="11"/>
      <c r="KSJ243" s="11"/>
      <c r="KSY243" s="11"/>
      <c r="KSZ243" s="11"/>
      <c r="KTO243" s="11"/>
      <c r="KTP243" s="11"/>
      <c r="KUE243" s="11"/>
      <c r="KUF243" s="11"/>
      <c r="KUU243" s="11"/>
      <c r="KUV243" s="11"/>
      <c r="KVK243" s="11"/>
      <c r="KVL243" s="11"/>
      <c r="KWA243" s="11"/>
      <c r="KWB243" s="11"/>
      <c r="KWQ243" s="11"/>
      <c r="KWR243" s="11"/>
      <c r="KXG243" s="11"/>
      <c r="KXH243" s="11"/>
      <c r="KXW243" s="11"/>
      <c r="KXX243" s="11"/>
      <c r="KYM243" s="11"/>
      <c r="KYN243" s="11"/>
      <c r="KZC243" s="11"/>
      <c r="KZD243" s="11"/>
      <c r="KZS243" s="11"/>
      <c r="KZT243" s="11"/>
      <c r="LAI243" s="11"/>
      <c r="LAJ243" s="11"/>
      <c r="LAY243" s="11"/>
      <c r="LAZ243" s="11"/>
      <c r="LBO243" s="11"/>
      <c r="LBP243" s="11"/>
      <c r="LCE243" s="11"/>
      <c r="LCF243" s="11"/>
      <c r="LCU243" s="11"/>
      <c r="LCV243" s="11"/>
      <c r="LDK243" s="11"/>
      <c r="LDL243" s="11"/>
      <c r="LEA243" s="11"/>
      <c r="LEB243" s="11"/>
      <c r="LEQ243" s="11"/>
      <c r="LER243" s="11"/>
      <c r="LFG243" s="11"/>
      <c r="LFH243" s="11"/>
      <c r="LFW243" s="11"/>
      <c r="LFX243" s="11"/>
      <c r="LGM243" s="11"/>
      <c r="LGN243" s="11"/>
      <c r="LHC243" s="11"/>
      <c r="LHD243" s="11"/>
      <c r="LHS243" s="11"/>
      <c r="LHT243" s="11"/>
      <c r="LII243" s="11"/>
      <c r="LIJ243" s="11"/>
      <c r="LIY243" s="11"/>
      <c r="LIZ243" s="11"/>
      <c r="LJO243" s="11"/>
      <c r="LJP243" s="11"/>
      <c r="LKE243" s="11"/>
      <c r="LKF243" s="11"/>
      <c r="LKU243" s="11"/>
      <c r="LKV243" s="11"/>
      <c r="LLK243" s="11"/>
      <c r="LLL243" s="11"/>
      <c r="LMA243" s="11"/>
      <c r="LMB243" s="11"/>
      <c r="LMQ243" s="11"/>
      <c r="LMR243" s="11"/>
      <c r="LNG243" s="11"/>
      <c r="LNH243" s="11"/>
      <c r="LNW243" s="11"/>
      <c r="LNX243" s="11"/>
      <c r="LOM243" s="11"/>
      <c r="LON243" s="11"/>
      <c r="LPC243" s="11"/>
      <c r="LPD243" s="11"/>
      <c r="LPS243" s="11"/>
      <c r="LPT243" s="11"/>
      <c r="LQI243" s="11"/>
      <c r="LQJ243" s="11"/>
      <c r="LQY243" s="11"/>
      <c r="LQZ243" s="11"/>
      <c r="LRO243" s="11"/>
      <c r="LRP243" s="11"/>
      <c r="LSE243" s="11"/>
      <c r="LSF243" s="11"/>
      <c r="LSU243" s="11"/>
      <c r="LSV243" s="11"/>
      <c r="LTK243" s="11"/>
      <c r="LTL243" s="11"/>
      <c r="LUA243" s="11"/>
      <c r="LUB243" s="11"/>
      <c r="LUQ243" s="11"/>
      <c r="LUR243" s="11"/>
      <c r="LVG243" s="11"/>
      <c r="LVH243" s="11"/>
      <c r="LVW243" s="11"/>
      <c r="LVX243" s="11"/>
      <c r="LWM243" s="11"/>
      <c r="LWN243" s="11"/>
      <c r="LXC243" s="11"/>
      <c r="LXD243" s="11"/>
      <c r="LXS243" s="11"/>
      <c r="LXT243" s="11"/>
      <c r="LYI243" s="11"/>
      <c r="LYJ243" s="11"/>
      <c r="LYY243" s="11"/>
      <c r="LYZ243" s="11"/>
      <c r="LZO243" s="11"/>
      <c r="LZP243" s="11"/>
      <c r="MAE243" s="11"/>
      <c r="MAF243" s="11"/>
      <c r="MAU243" s="11"/>
      <c r="MAV243" s="11"/>
      <c r="MBK243" s="11"/>
      <c r="MBL243" s="11"/>
      <c r="MCA243" s="11"/>
      <c r="MCB243" s="11"/>
      <c r="MCQ243" s="11"/>
      <c r="MCR243" s="11"/>
      <c r="MDG243" s="11"/>
      <c r="MDH243" s="11"/>
      <c r="MDW243" s="11"/>
      <c r="MDX243" s="11"/>
      <c r="MEM243" s="11"/>
      <c r="MEN243" s="11"/>
      <c r="MFC243" s="11"/>
      <c r="MFD243" s="11"/>
      <c r="MFS243" s="11"/>
      <c r="MFT243" s="11"/>
      <c r="MGI243" s="11"/>
      <c r="MGJ243" s="11"/>
      <c r="MGY243" s="11"/>
      <c r="MGZ243" s="11"/>
      <c r="MHO243" s="11"/>
      <c r="MHP243" s="11"/>
      <c r="MIE243" s="11"/>
      <c r="MIF243" s="11"/>
      <c r="MIU243" s="11"/>
      <c r="MIV243" s="11"/>
      <c r="MJK243" s="11"/>
      <c r="MJL243" s="11"/>
      <c r="MKA243" s="11"/>
      <c r="MKB243" s="11"/>
      <c r="MKQ243" s="11"/>
      <c r="MKR243" s="11"/>
      <c r="MLG243" s="11"/>
      <c r="MLH243" s="11"/>
      <c r="MLW243" s="11"/>
      <c r="MLX243" s="11"/>
      <c r="MMM243" s="11"/>
      <c r="MMN243" s="11"/>
      <c r="MNC243" s="11"/>
      <c r="MND243" s="11"/>
      <c r="MNS243" s="11"/>
      <c r="MNT243" s="11"/>
      <c r="MOI243" s="11"/>
      <c r="MOJ243" s="11"/>
      <c r="MOY243" s="11"/>
      <c r="MOZ243" s="11"/>
      <c r="MPO243" s="11"/>
      <c r="MPP243" s="11"/>
      <c r="MQE243" s="11"/>
      <c r="MQF243" s="11"/>
      <c r="MQU243" s="11"/>
      <c r="MQV243" s="11"/>
      <c r="MRK243" s="11"/>
      <c r="MRL243" s="11"/>
      <c r="MSA243" s="11"/>
      <c r="MSB243" s="11"/>
      <c r="MSQ243" s="11"/>
      <c r="MSR243" s="11"/>
      <c r="MTG243" s="11"/>
      <c r="MTH243" s="11"/>
      <c r="MTW243" s="11"/>
      <c r="MTX243" s="11"/>
      <c r="MUM243" s="11"/>
      <c r="MUN243" s="11"/>
      <c r="MVC243" s="11"/>
      <c r="MVD243" s="11"/>
      <c r="MVS243" s="11"/>
      <c r="MVT243" s="11"/>
      <c r="MWI243" s="11"/>
      <c r="MWJ243" s="11"/>
      <c r="MWY243" s="11"/>
      <c r="MWZ243" s="11"/>
      <c r="MXO243" s="11"/>
      <c r="MXP243" s="11"/>
      <c r="MYE243" s="11"/>
      <c r="MYF243" s="11"/>
      <c r="MYU243" s="11"/>
      <c r="MYV243" s="11"/>
      <c r="MZK243" s="11"/>
      <c r="MZL243" s="11"/>
      <c r="NAA243" s="11"/>
      <c r="NAB243" s="11"/>
      <c r="NAQ243" s="11"/>
      <c r="NAR243" s="11"/>
      <c r="NBG243" s="11"/>
      <c r="NBH243" s="11"/>
      <c r="NBW243" s="11"/>
      <c r="NBX243" s="11"/>
      <c r="NCM243" s="11"/>
      <c r="NCN243" s="11"/>
      <c r="NDC243" s="11"/>
      <c r="NDD243" s="11"/>
      <c r="NDS243" s="11"/>
      <c r="NDT243" s="11"/>
      <c r="NEI243" s="11"/>
      <c r="NEJ243" s="11"/>
      <c r="NEY243" s="11"/>
      <c r="NEZ243" s="11"/>
      <c r="NFO243" s="11"/>
      <c r="NFP243" s="11"/>
      <c r="NGE243" s="11"/>
      <c r="NGF243" s="11"/>
      <c r="NGU243" s="11"/>
      <c r="NGV243" s="11"/>
      <c r="NHK243" s="11"/>
      <c r="NHL243" s="11"/>
      <c r="NIA243" s="11"/>
      <c r="NIB243" s="11"/>
      <c r="NIQ243" s="11"/>
      <c r="NIR243" s="11"/>
      <c r="NJG243" s="11"/>
      <c r="NJH243" s="11"/>
      <c r="NJW243" s="11"/>
      <c r="NJX243" s="11"/>
      <c r="NKM243" s="11"/>
      <c r="NKN243" s="11"/>
      <c r="NLC243" s="11"/>
      <c r="NLD243" s="11"/>
      <c r="NLS243" s="11"/>
      <c r="NLT243" s="11"/>
      <c r="NMI243" s="11"/>
      <c r="NMJ243" s="11"/>
      <c r="NMY243" s="11"/>
      <c r="NMZ243" s="11"/>
      <c r="NNO243" s="11"/>
      <c r="NNP243" s="11"/>
      <c r="NOE243" s="11"/>
      <c r="NOF243" s="11"/>
      <c r="NOU243" s="11"/>
      <c r="NOV243" s="11"/>
      <c r="NPK243" s="11"/>
      <c r="NPL243" s="11"/>
      <c r="NQA243" s="11"/>
      <c r="NQB243" s="11"/>
      <c r="NQQ243" s="11"/>
      <c r="NQR243" s="11"/>
      <c r="NRG243" s="11"/>
      <c r="NRH243" s="11"/>
      <c r="NRW243" s="11"/>
      <c r="NRX243" s="11"/>
      <c r="NSM243" s="11"/>
      <c r="NSN243" s="11"/>
      <c r="NTC243" s="11"/>
      <c r="NTD243" s="11"/>
      <c r="NTS243" s="11"/>
      <c r="NTT243" s="11"/>
      <c r="NUI243" s="11"/>
      <c r="NUJ243" s="11"/>
      <c r="NUY243" s="11"/>
      <c r="NUZ243" s="11"/>
      <c r="NVO243" s="11"/>
      <c r="NVP243" s="11"/>
      <c r="NWE243" s="11"/>
      <c r="NWF243" s="11"/>
      <c r="NWU243" s="11"/>
      <c r="NWV243" s="11"/>
      <c r="NXK243" s="11"/>
      <c r="NXL243" s="11"/>
      <c r="NYA243" s="11"/>
      <c r="NYB243" s="11"/>
      <c r="NYQ243" s="11"/>
      <c r="NYR243" s="11"/>
      <c r="NZG243" s="11"/>
      <c r="NZH243" s="11"/>
      <c r="NZW243" s="11"/>
      <c r="NZX243" s="11"/>
      <c r="OAM243" s="11"/>
      <c r="OAN243" s="11"/>
      <c r="OBC243" s="11"/>
      <c r="OBD243" s="11"/>
      <c r="OBS243" s="11"/>
      <c r="OBT243" s="11"/>
      <c r="OCI243" s="11"/>
      <c r="OCJ243" s="11"/>
      <c r="OCY243" s="11"/>
      <c r="OCZ243" s="11"/>
      <c r="ODO243" s="11"/>
      <c r="ODP243" s="11"/>
      <c r="OEE243" s="11"/>
      <c r="OEF243" s="11"/>
      <c r="OEU243" s="11"/>
      <c r="OEV243" s="11"/>
      <c r="OFK243" s="11"/>
      <c r="OFL243" s="11"/>
      <c r="OGA243" s="11"/>
      <c r="OGB243" s="11"/>
      <c r="OGQ243" s="11"/>
      <c r="OGR243" s="11"/>
      <c r="OHG243" s="11"/>
      <c r="OHH243" s="11"/>
      <c r="OHW243" s="11"/>
      <c r="OHX243" s="11"/>
      <c r="OIM243" s="11"/>
      <c r="OIN243" s="11"/>
      <c r="OJC243" s="11"/>
      <c r="OJD243" s="11"/>
      <c r="OJS243" s="11"/>
      <c r="OJT243" s="11"/>
      <c r="OKI243" s="11"/>
      <c r="OKJ243" s="11"/>
      <c r="OKY243" s="11"/>
      <c r="OKZ243" s="11"/>
      <c r="OLO243" s="11"/>
      <c r="OLP243" s="11"/>
      <c r="OME243" s="11"/>
      <c r="OMF243" s="11"/>
      <c r="OMU243" s="11"/>
      <c r="OMV243" s="11"/>
      <c r="ONK243" s="11"/>
      <c r="ONL243" s="11"/>
      <c r="OOA243" s="11"/>
      <c r="OOB243" s="11"/>
      <c r="OOQ243" s="11"/>
      <c r="OOR243" s="11"/>
      <c r="OPG243" s="11"/>
      <c r="OPH243" s="11"/>
      <c r="OPW243" s="11"/>
      <c r="OPX243" s="11"/>
      <c r="OQM243" s="11"/>
      <c r="OQN243" s="11"/>
      <c r="ORC243" s="11"/>
      <c r="ORD243" s="11"/>
      <c r="ORS243" s="11"/>
      <c r="ORT243" s="11"/>
      <c r="OSI243" s="11"/>
      <c r="OSJ243" s="11"/>
      <c r="OSY243" s="11"/>
      <c r="OSZ243" s="11"/>
      <c r="OTO243" s="11"/>
      <c r="OTP243" s="11"/>
      <c r="OUE243" s="11"/>
      <c r="OUF243" s="11"/>
      <c r="OUU243" s="11"/>
      <c r="OUV243" s="11"/>
      <c r="OVK243" s="11"/>
      <c r="OVL243" s="11"/>
      <c r="OWA243" s="11"/>
      <c r="OWB243" s="11"/>
      <c r="OWQ243" s="11"/>
      <c r="OWR243" s="11"/>
      <c r="OXG243" s="11"/>
      <c r="OXH243" s="11"/>
      <c r="OXW243" s="11"/>
      <c r="OXX243" s="11"/>
      <c r="OYM243" s="11"/>
      <c r="OYN243" s="11"/>
      <c r="OZC243" s="11"/>
      <c r="OZD243" s="11"/>
      <c r="OZS243" s="11"/>
      <c r="OZT243" s="11"/>
      <c r="PAI243" s="11"/>
      <c r="PAJ243" s="11"/>
      <c r="PAY243" s="11"/>
      <c r="PAZ243" s="11"/>
      <c r="PBO243" s="11"/>
      <c r="PBP243" s="11"/>
      <c r="PCE243" s="11"/>
      <c r="PCF243" s="11"/>
      <c r="PCU243" s="11"/>
      <c r="PCV243" s="11"/>
      <c r="PDK243" s="11"/>
      <c r="PDL243" s="11"/>
      <c r="PEA243" s="11"/>
      <c r="PEB243" s="11"/>
      <c r="PEQ243" s="11"/>
      <c r="PER243" s="11"/>
      <c r="PFG243" s="11"/>
      <c r="PFH243" s="11"/>
      <c r="PFW243" s="11"/>
      <c r="PFX243" s="11"/>
      <c r="PGM243" s="11"/>
      <c r="PGN243" s="11"/>
      <c r="PHC243" s="11"/>
      <c r="PHD243" s="11"/>
      <c r="PHS243" s="11"/>
      <c r="PHT243" s="11"/>
      <c r="PII243" s="11"/>
      <c r="PIJ243" s="11"/>
      <c r="PIY243" s="11"/>
      <c r="PIZ243" s="11"/>
      <c r="PJO243" s="11"/>
      <c r="PJP243" s="11"/>
      <c r="PKE243" s="11"/>
      <c r="PKF243" s="11"/>
      <c r="PKU243" s="11"/>
      <c r="PKV243" s="11"/>
      <c r="PLK243" s="11"/>
      <c r="PLL243" s="11"/>
      <c r="PMA243" s="11"/>
      <c r="PMB243" s="11"/>
      <c r="PMQ243" s="11"/>
      <c r="PMR243" s="11"/>
      <c r="PNG243" s="11"/>
      <c r="PNH243" s="11"/>
      <c r="PNW243" s="11"/>
      <c r="PNX243" s="11"/>
      <c r="POM243" s="11"/>
      <c r="PON243" s="11"/>
      <c r="PPC243" s="11"/>
      <c r="PPD243" s="11"/>
      <c r="PPS243" s="11"/>
      <c r="PPT243" s="11"/>
      <c r="PQI243" s="11"/>
      <c r="PQJ243" s="11"/>
      <c r="PQY243" s="11"/>
      <c r="PQZ243" s="11"/>
      <c r="PRO243" s="11"/>
      <c r="PRP243" s="11"/>
      <c r="PSE243" s="11"/>
      <c r="PSF243" s="11"/>
      <c r="PSU243" s="11"/>
      <c r="PSV243" s="11"/>
      <c r="PTK243" s="11"/>
      <c r="PTL243" s="11"/>
      <c r="PUA243" s="11"/>
      <c r="PUB243" s="11"/>
      <c r="PUQ243" s="11"/>
      <c r="PUR243" s="11"/>
      <c r="PVG243" s="11"/>
      <c r="PVH243" s="11"/>
      <c r="PVW243" s="11"/>
      <c r="PVX243" s="11"/>
      <c r="PWM243" s="11"/>
      <c r="PWN243" s="11"/>
      <c r="PXC243" s="11"/>
      <c r="PXD243" s="11"/>
      <c r="PXS243" s="11"/>
      <c r="PXT243" s="11"/>
      <c r="PYI243" s="11"/>
      <c r="PYJ243" s="11"/>
      <c r="PYY243" s="11"/>
      <c r="PYZ243" s="11"/>
      <c r="PZO243" s="11"/>
      <c r="PZP243" s="11"/>
      <c r="QAE243" s="11"/>
      <c r="QAF243" s="11"/>
      <c r="QAU243" s="11"/>
      <c r="QAV243" s="11"/>
      <c r="QBK243" s="11"/>
      <c r="QBL243" s="11"/>
      <c r="QCA243" s="11"/>
      <c r="QCB243" s="11"/>
      <c r="QCQ243" s="11"/>
      <c r="QCR243" s="11"/>
      <c r="QDG243" s="11"/>
      <c r="QDH243" s="11"/>
      <c r="QDW243" s="11"/>
      <c r="QDX243" s="11"/>
      <c r="QEM243" s="11"/>
      <c r="QEN243" s="11"/>
      <c r="QFC243" s="11"/>
      <c r="QFD243" s="11"/>
      <c r="QFS243" s="11"/>
      <c r="QFT243" s="11"/>
      <c r="QGI243" s="11"/>
      <c r="QGJ243" s="11"/>
      <c r="QGY243" s="11"/>
      <c r="QGZ243" s="11"/>
      <c r="QHO243" s="11"/>
      <c r="QHP243" s="11"/>
      <c r="QIE243" s="11"/>
      <c r="QIF243" s="11"/>
      <c r="QIU243" s="11"/>
      <c r="QIV243" s="11"/>
      <c r="QJK243" s="11"/>
      <c r="QJL243" s="11"/>
      <c r="QKA243" s="11"/>
      <c r="QKB243" s="11"/>
      <c r="QKQ243" s="11"/>
      <c r="QKR243" s="11"/>
      <c r="QLG243" s="11"/>
      <c r="QLH243" s="11"/>
      <c r="QLW243" s="11"/>
      <c r="QLX243" s="11"/>
      <c r="QMM243" s="11"/>
      <c r="QMN243" s="11"/>
      <c r="QNC243" s="11"/>
      <c r="QND243" s="11"/>
      <c r="QNS243" s="11"/>
      <c r="QNT243" s="11"/>
      <c r="QOI243" s="11"/>
      <c r="QOJ243" s="11"/>
      <c r="QOY243" s="11"/>
      <c r="QOZ243" s="11"/>
      <c r="QPO243" s="11"/>
      <c r="QPP243" s="11"/>
      <c r="QQE243" s="11"/>
      <c r="QQF243" s="11"/>
      <c r="QQU243" s="11"/>
      <c r="QQV243" s="11"/>
      <c r="QRK243" s="11"/>
      <c r="QRL243" s="11"/>
      <c r="QSA243" s="11"/>
      <c r="QSB243" s="11"/>
      <c r="QSQ243" s="11"/>
      <c r="QSR243" s="11"/>
      <c r="QTG243" s="11"/>
      <c r="QTH243" s="11"/>
      <c r="QTW243" s="11"/>
      <c r="QTX243" s="11"/>
      <c r="QUM243" s="11"/>
      <c r="QUN243" s="11"/>
      <c r="QVC243" s="11"/>
      <c r="QVD243" s="11"/>
      <c r="QVS243" s="11"/>
      <c r="QVT243" s="11"/>
      <c r="QWI243" s="11"/>
      <c r="QWJ243" s="11"/>
      <c r="QWY243" s="11"/>
      <c r="QWZ243" s="11"/>
      <c r="QXO243" s="11"/>
      <c r="QXP243" s="11"/>
      <c r="QYE243" s="11"/>
      <c r="QYF243" s="11"/>
      <c r="QYU243" s="11"/>
      <c r="QYV243" s="11"/>
      <c r="QZK243" s="11"/>
      <c r="QZL243" s="11"/>
      <c r="RAA243" s="11"/>
      <c r="RAB243" s="11"/>
      <c r="RAQ243" s="11"/>
      <c r="RAR243" s="11"/>
      <c r="RBG243" s="11"/>
      <c r="RBH243" s="11"/>
      <c r="RBW243" s="11"/>
      <c r="RBX243" s="11"/>
      <c r="RCM243" s="11"/>
      <c r="RCN243" s="11"/>
      <c r="RDC243" s="11"/>
      <c r="RDD243" s="11"/>
      <c r="RDS243" s="11"/>
      <c r="RDT243" s="11"/>
      <c r="REI243" s="11"/>
      <c r="REJ243" s="11"/>
      <c r="REY243" s="11"/>
      <c r="REZ243" s="11"/>
      <c r="RFO243" s="11"/>
      <c r="RFP243" s="11"/>
      <c r="RGE243" s="11"/>
      <c r="RGF243" s="11"/>
      <c r="RGU243" s="11"/>
      <c r="RGV243" s="11"/>
      <c r="RHK243" s="11"/>
      <c r="RHL243" s="11"/>
      <c r="RIA243" s="11"/>
      <c r="RIB243" s="11"/>
      <c r="RIQ243" s="11"/>
      <c r="RIR243" s="11"/>
      <c r="RJG243" s="11"/>
      <c r="RJH243" s="11"/>
      <c r="RJW243" s="11"/>
      <c r="RJX243" s="11"/>
      <c r="RKM243" s="11"/>
      <c r="RKN243" s="11"/>
      <c r="RLC243" s="11"/>
      <c r="RLD243" s="11"/>
      <c r="RLS243" s="11"/>
      <c r="RLT243" s="11"/>
      <c r="RMI243" s="11"/>
      <c r="RMJ243" s="11"/>
      <c r="RMY243" s="11"/>
      <c r="RMZ243" s="11"/>
      <c r="RNO243" s="11"/>
      <c r="RNP243" s="11"/>
      <c r="ROE243" s="11"/>
      <c r="ROF243" s="11"/>
      <c r="ROU243" s="11"/>
      <c r="ROV243" s="11"/>
      <c r="RPK243" s="11"/>
      <c r="RPL243" s="11"/>
      <c r="RQA243" s="11"/>
      <c r="RQB243" s="11"/>
      <c r="RQQ243" s="11"/>
      <c r="RQR243" s="11"/>
      <c r="RRG243" s="11"/>
      <c r="RRH243" s="11"/>
      <c r="RRW243" s="11"/>
      <c r="RRX243" s="11"/>
      <c r="RSM243" s="11"/>
      <c r="RSN243" s="11"/>
      <c r="RTC243" s="11"/>
      <c r="RTD243" s="11"/>
      <c r="RTS243" s="11"/>
      <c r="RTT243" s="11"/>
      <c r="RUI243" s="11"/>
      <c r="RUJ243" s="11"/>
      <c r="RUY243" s="11"/>
      <c r="RUZ243" s="11"/>
      <c r="RVO243" s="11"/>
      <c r="RVP243" s="11"/>
      <c r="RWE243" s="11"/>
      <c r="RWF243" s="11"/>
      <c r="RWU243" s="11"/>
      <c r="RWV243" s="11"/>
      <c r="RXK243" s="11"/>
      <c r="RXL243" s="11"/>
      <c r="RYA243" s="11"/>
      <c r="RYB243" s="11"/>
      <c r="RYQ243" s="11"/>
      <c r="RYR243" s="11"/>
      <c r="RZG243" s="11"/>
      <c r="RZH243" s="11"/>
      <c r="RZW243" s="11"/>
      <c r="RZX243" s="11"/>
      <c r="SAM243" s="11"/>
      <c r="SAN243" s="11"/>
      <c r="SBC243" s="11"/>
      <c r="SBD243" s="11"/>
      <c r="SBS243" s="11"/>
      <c r="SBT243" s="11"/>
      <c r="SCI243" s="11"/>
      <c r="SCJ243" s="11"/>
      <c r="SCY243" s="11"/>
      <c r="SCZ243" s="11"/>
      <c r="SDO243" s="11"/>
      <c r="SDP243" s="11"/>
      <c r="SEE243" s="11"/>
      <c r="SEF243" s="11"/>
      <c r="SEU243" s="11"/>
      <c r="SEV243" s="11"/>
      <c r="SFK243" s="11"/>
      <c r="SFL243" s="11"/>
      <c r="SGA243" s="11"/>
      <c r="SGB243" s="11"/>
      <c r="SGQ243" s="11"/>
      <c r="SGR243" s="11"/>
      <c r="SHG243" s="11"/>
      <c r="SHH243" s="11"/>
      <c r="SHW243" s="11"/>
      <c r="SHX243" s="11"/>
      <c r="SIM243" s="11"/>
      <c r="SIN243" s="11"/>
      <c r="SJC243" s="11"/>
      <c r="SJD243" s="11"/>
      <c r="SJS243" s="11"/>
      <c r="SJT243" s="11"/>
      <c r="SKI243" s="11"/>
      <c r="SKJ243" s="11"/>
      <c r="SKY243" s="11"/>
      <c r="SKZ243" s="11"/>
      <c r="SLO243" s="11"/>
      <c r="SLP243" s="11"/>
      <c r="SME243" s="11"/>
      <c r="SMF243" s="11"/>
      <c r="SMU243" s="11"/>
      <c r="SMV243" s="11"/>
      <c r="SNK243" s="11"/>
      <c r="SNL243" s="11"/>
      <c r="SOA243" s="11"/>
      <c r="SOB243" s="11"/>
      <c r="SOQ243" s="11"/>
      <c r="SOR243" s="11"/>
      <c r="SPG243" s="11"/>
      <c r="SPH243" s="11"/>
      <c r="SPW243" s="11"/>
      <c r="SPX243" s="11"/>
      <c r="SQM243" s="11"/>
      <c r="SQN243" s="11"/>
      <c r="SRC243" s="11"/>
      <c r="SRD243" s="11"/>
      <c r="SRS243" s="11"/>
      <c r="SRT243" s="11"/>
      <c r="SSI243" s="11"/>
      <c r="SSJ243" s="11"/>
      <c r="SSY243" s="11"/>
      <c r="SSZ243" s="11"/>
      <c r="STO243" s="11"/>
      <c r="STP243" s="11"/>
      <c r="SUE243" s="11"/>
      <c r="SUF243" s="11"/>
      <c r="SUU243" s="11"/>
      <c r="SUV243" s="11"/>
      <c r="SVK243" s="11"/>
      <c r="SVL243" s="11"/>
      <c r="SWA243" s="11"/>
      <c r="SWB243" s="11"/>
      <c r="SWQ243" s="11"/>
      <c r="SWR243" s="11"/>
      <c r="SXG243" s="11"/>
      <c r="SXH243" s="11"/>
      <c r="SXW243" s="11"/>
      <c r="SXX243" s="11"/>
      <c r="SYM243" s="11"/>
      <c r="SYN243" s="11"/>
      <c r="SZC243" s="11"/>
      <c r="SZD243" s="11"/>
      <c r="SZS243" s="11"/>
      <c r="SZT243" s="11"/>
      <c r="TAI243" s="11"/>
      <c r="TAJ243" s="11"/>
      <c r="TAY243" s="11"/>
      <c r="TAZ243" s="11"/>
      <c r="TBO243" s="11"/>
      <c r="TBP243" s="11"/>
      <c r="TCE243" s="11"/>
      <c r="TCF243" s="11"/>
      <c r="TCU243" s="11"/>
      <c r="TCV243" s="11"/>
      <c r="TDK243" s="11"/>
      <c r="TDL243" s="11"/>
      <c r="TEA243" s="11"/>
      <c r="TEB243" s="11"/>
      <c r="TEQ243" s="11"/>
      <c r="TER243" s="11"/>
      <c r="TFG243" s="11"/>
      <c r="TFH243" s="11"/>
      <c r="TFW243" s="11"/>
      <c r="TFX243" s="11"/>
      <c r="TGM243" s="11"/>
      <c r="TGN243" s="11"/>
      <c r="THC243" s="11"/>
      <c r="THD243" s="11"/>
      <c r="THS243" s="11"/>
      <c r="THT243" s="11"/>
      <c r="TII243" s="11"/>
      <c r="TIJ243" s="11"/>
      <c r="TIY243" s="11"/>
      <c r="TIZ243" s="11"/>
      <c r="TJO243" s="11"/>
      <c r="TJP243" s="11"/>
      <c r="TKE243" s="11"/>
      <c r="TKF243" s="11"/>
      <c r="TKU243" s="11"/>
      <c r="TKV243" s="11"/>
      <c r="TLK243" s="11"/>
      <c r="TLL243" s="11"/>
      <c r="TMA243" s="11"/>
      <c r="TMB243" s="11"/>
      <c r="TMQ243" s="11"/>
      <c r="TMR243" s="11"/>
      <c r="TNG243" s="11"/>
      <c r="TNH243" s="11"/>
      <c r="TNW243" s="11"/>
      <c r="TNX243" s="11"/>
      <c r="TOM243" s="11"/>
      <c r="TON243" s="11"/>
      <c r="TPC243" s="11"/>
      <c r="TPD243" s="11"/>
      <c r="TPS243" s="11"/>
      <c r="TPT243" s="11"/>
      <c r="TQI243" s="11"/>
      <c r="TQJ243" s="11"/>
      <c r="TQY243" s="11"/>
      <c r="TQZ243" s="11"/>
      <c r="TRO243" s="11"/>
      <c r="TRP243" s="11"/>
      <c r="TSE243" s="11"/>
      <c r="TSF243" s="11"/>
      <c r="TSU243" s="11"/>
      <c r="TSV243" s="11"/>
      <c r="TTK243" s="11"/>
      <c r="TTL243" s="11"/>
      <c r="TUA243" s="11"/>
      <c r="TUB243" s="11"/>
      <c r="TUQ243" s="11"/>
      <c r="TUR243" s="11"/>
      <c r="TVG243" s="11"/>
      <c r="TVH243" s="11"/>
      <c r="TVW243" s="11"/>
      <c r="TVX243" s="11"/>
      <c r="TWM243" s="11"/>
      <c r="TWN243" s="11"/>
      <c r="TXC243" s="11"/>
      <c r="TXD243" s="11"/>
      <c r="TXS243" s="11"/>
      <c r="TXT243" s="11"/>
      <c r="TYI243" s="11"/>
      <c r="TYJ243" s="11"/>
      <c r="TYY243" s="11"/>
      <c r="TYZ243" s="11"/>
      <c r="TZO243" s="11"/>
      <c r="TZP243" s="11"/>
      <c r="UAE243" s="11"/>
      <c r="UAF243" s="11"/>
      <c r="UAU243" s="11"/>
      <c r="UAV243" s="11"/>
      <c r="UBK243" s="11"/>
      <c r="UBL243" s="11"/>
      <c r="UCA243" s="11"/>
      <c r="UCB243" s="11"/>
      <c r="UCQ243" s="11"/>
      <c r="UCR243" s="11"/>
      <c r="UDG243" s="11"/>
      <c r="UDH243" s="11"/>
      <c r="UDW243" s="11"/>
      <c r="UDX243" s="11"/>
      <c r="UEM243" s="11"/>
      <c r="UEN243" s="11"/>
      <c r="UFC243" s="11"/>
      <c r="UFD243" s="11"/>
      <c r="UFS243" s="11"/>
      <c r="UFT243" s="11"/>
      <c r="UGI243" s="11"/>
      <c r="UGJ243" s="11"/>
      <c r="UGY243" s="11"/>
      <c r="UGZ243" s="11"/>
      <c r="UHO243" s="11"/>
      <c r="UHP243" s="11"/>
      <c r="UIE243" s="11"/>
      <c r="UIF243" s="11"/>
      <c r="UIU243" s="11"/>
      <c r="UIV243" s="11"/>
      <c r="UJK243" s="11"/>
      <c r="UJL243" s="11"/>
      <c r="UKA243" s="11"/>
      <c r="UKB243" s="11"/>
      <c r="UKQ243" s="11"/>
      <c r="UKR243" s="11"/>
      <c r="ULG243" s="11"/>
      <c r="ULH243" s="11"/>
      <c r="ULW243" s="11"/>
      <c r="ULX243" s="11"/>
      <c r="UMM243" s="11"/>
      <c r="UMN243" s="11"/>
      <c r="UNC243" s="11"/>
      <c r="UND243" s="11"/>
      <c r="UNS243" s="11"/>
      <c r="UNT243" s="11"/>
      <c r="UOI243" s="11"/>
      <c r="UOJ243" s="11"/>
      <c r="UOY243" s="11"/>
      <c r="UOZ243" s="11"/>
      <c r="UPO243" s="11"/>
      <c r="UPP243" s="11"/>
      <c r="UQE243" s="11"/>
      <c r="UQF243" s="11"/>
      <c r="UQU243" s="11"/>
      <c r="UQV243" s="11"/>
      <c r="URK243" s="11"/>
      <c r="URL243" s="11"/>
      <c r="USA243" s="11"/>
      <c r="USB243" s="11"/>
      <c r="USQ243" s="11"/>
      <c r="USR243" s="11"/>
      <c r="UTG243" s="11"/>
      <c r="UTH243" s="11"/>
      <c r="UTW243" s="11"/>
      <c r="UTX243" s="11"/>
      <c r="UUM243" s="11"/>
      <c r="UUN243" s="11"/>
      <c r="UVC243" s="11"/>
      <c r="UVD243" s="11"/>
      <c r="UVS243" s="11"/>
      <c r="UVT243" s="11"/>
      <c r="UWI243" s="11"/>
      <c r="UWJ243" s="11"/>
      <c r="UWY243" s="11"/>
      <c r="UWZ243" s="11"/>
      <c r="UXO243" s="11"/>
      <c r="UXP243" s="11"/>
      <c r="UYE243" s="11"/>
      <c r="UYF243" s="11"/>
      <c r="UYU243" s="11"/>
      <c r="UYV243" s="11"/>
      <c r="UZK243" s="11"/>
      <c r="UZL243" s="11"/>
      <c r="VAA243" s="11"/>
      <c r="VAB243" s="11"/>
      <c r="VAQ243" s="11"/>
      <c r="VAR243" s="11"/>
      <c r="VBG243" s="11"/>
      <c r="VBH243" s="11"/>
      <c r="VBW243" s="11"/>
      <c r="VBX243" s="11"/>
      <c r="VCM243" s="11"/>
      <c r="VCN243" s="11"/>
      <c r="VDC243" s="11"/>
      <c r="VDD243" s="11"/>
      <c r="VDS243" s="11"/>
      <c r="VDT243" s="11"/>
      <c r="VEI243" s="11"/>
      <c r="VEJ243" s="11"/>
      <c r="VEY243" s="11"/>
      <c r="VEZ243" s="11"/>
      <c r="VFO243" s="11"/>
      <c r="VFP243" s="11"/>
      <c r="VGE243" s="11"/>
      <c r="VGF243" s="11"/>
      <c r="VGU243" s="11"/>
      <c r="VGV243" s="11"/>
      <c r="VHK243" s="11"/>
      <c r="VHL243" s="11"/>
      <c r="VIA243" s="11"/>
      <c r="VIB243" s="11"/>
      <c r="VIQ243" s="11"/>
      <c r="VIR243" s="11"/>
      <c r="VJG243" s="11"/>
      <c r="VJH243" s="11"/>
      <c r="VJW243" s="11"/>
      <c r="VJX243" s="11"/>
      <c r="VKM243" s="11"/>
      <c r="VKN243" s="11"/>
      <c r="VLC243" s="11"/>
      <c r="VLD243" s="11"/>
      <c r="VLS243" s="11"/>
      <c r="VLT243" s="11"/>
      <c r="VMI243" s="11"/>
      <c r="VMJ243" s="11"/>
      <c r="VMY243" s="11"/>
      <c r="VMZ243" s="11"/>
      <c r="VNO243" s="11"/>
      <c r="VNP243" s="11"/>
      <c r="VOE243" s="11"/>
      <c r="VOF243" s="11"/>
      <c r="VOU243" s="11"/>
      <c r="VOV243" s="11"/>
      <c r="VPK243" s="11"/>
      <c r="VPL243" s="11"/>
      <c r="VQA243" s="11"/>
      <c r="VQB243" s="11"/>
      <c r="VQQ243" s="11"/>
      <c r="VQR243" s="11"/>
      <c r="VRG243" s="11"/>
      <c r="VRH243" s="11"/>
      <c r="VRW243" s="11"/>
      <c r="VRX243" s="11"/>
      <c r="VSM243" s="11"/>
      <c r="VSN243" s="11"/>
      <c r="VTC243" s="11"/>
      <c r="VTD243" s="11"/>
      <c r="VTS243" s="11"/>
      <c r="VTT243" s="11"/>
      <c r="VUI243" s="11"/>
      <c r="VUJ243" s="11"/>
      <c r="VUY243" s="11"/>
      <c r="VUZ243" s="11"/>
      <c r="VVO243" s="11"/>
      <c r="VVP243" s="11"/>
      <c r="VWE243" s="11"/>
      <c r="VWF243" s="11"/>
      <c r="VWU243" s="11"/>
      <c r="VWV243" s="11"/>
      <c r="VXK243" s="11"/>
      <c r="VXL243" s="11"/>
      <c r="VYA243" s="11"/>
      <c r="VYB243" s="11"/>
      <c r="VYQ243" s="11"/>
      <c r="VYR243" s="11"/>
      <c r="VZG243" s="11"/>
      <c r="VZH243" s="11"/>
      <c r="VZW243" s="11"/>
      <c r="VZX243" s="11"/>
      <c r="WAM243" s="11"/>
      <c r="WAN243" s="11"/>
      <c r="WBC243" s="11"/>
      <c r="WBD243" s="11"/>
      <c r="WBS243" s="11"/>
      <c r="WBT243" s="11"/>
      <c r="WCI243" s="11"/>
      <c r="WCJ243" s="11"/>
      <c r="WCY243" s="11"/>
      <c r="WCZ243" s="11"/>
      <c r="WDO243" s="11"/>
      <c r="WDP243" s="11"/>
      <c r="WEE243" s="11"/>
      <c r="WEF243" s="11"/>
      <c r="WEU243" s="11"/>
      <c r="WEV243" s="11"/>
      <c r="WFK243" s="11"/>
      <c r="WFL243" s="11"/>
      <c r="WGA243" s="11"/>
      <c r="WGB243" s="11"/>
      <c r="WGQ243" s="11"/>
      <c r="WGR243" s="11"/>
      <c r="WHG243" s="11"/>
      <c r="WHH243" s="11"/>
      <c r="WHW243" s="11"/>
      <c r="WHX243" s="11"/>
      <c r="WIM243" s="11"/>
      <c r="WIN243" s="11"/>
      <c r="WJC243" s="11"/>
      <c r="WJD243" s="11"/>
      <c r="WJS243" s="11"/>
      <c r="WJT243" s="11"/>
      <c r="WKI243" s="11"/>
      <c r="WKJ243" s="11"/>
      <c r="WKY243" s="11"/>
      <c r="WKZ243" s="11"/>
      <c r="WLO243" s="11"/>
      <c r="WLP243" s="11"/>
      <c r="WME243" s="11"/>
      <c r="WMF243" s="11"/>
      <c r="WMU243" s="11"/>
      <c r="WMV243" s="11"/>
      <c r="WNK243" s="11"/>
      <c r="WNL243" s="11"/>
      <c r="WOA243" s="11"/>
      <c r="WOB243" s="11"/>
      <c r="WOQ243" s="11"/>
      <c r="WOR243" s="11"/>
      <c r="WPG243" s="11"/>
      <c r="WPH243" s="11"/>
      <c r="WPW243" s="11"/>
      <c r="WPX243" s="11"/>
      <c r="WQM243" s="11"/>
      <c r="WQN243" s="11"/>
      <c r="WRC243" s="11"/>
      <c r="WRD243" s="11"/>
      <c r="WRS243" s="11"/>
      <c r="WRT243" s="11"/>
      <c r="WSI243" s="11"/>
      <c r="WSJ243" s="11"/>
      <c r="WSY243" s="11"/>
      <c r="WSZ243" s="11"/>
      <c r="WTO243" s="11"/>
      <c r="WTP243" s="11"/>
      <c r="WUE243" s="11"/>
      <c r="WUF243" s="11"/>
      <c r="WUU243" s="11"/>
      <c r="WUV243" s="11"/>
      <c r="WVK243" s="11"/>
      <c r="WVL243" s="11"/>
      <c r="WWA243" s="11"/>
      <c r="WWB243" s="11"/>
      <c r="WWQ243" s="11"/>
      <c r="WWR243" s="11"/>
      <c r="WXG243" s="11"/>
      <c r="WXH243" s="11"/>
      <c r="WXW243" s="11"/>
      <c r="WXX243" s="11"/>
      <c r="WYM243" s="11"/>
      <c r="WYN243" s="11"/>
      <c r="WZC243" s="11"/>
      <c r="WZD243" s="11"/>
      <c r="WZS243" s="11"/>
      <c r="WZT243" s="11"/>
      <c r="XAI243" s="11"/>
      <c r="XAJ243" s="11"/>
      <c r="XAY243" s="11"/>
      <c r="XAZ243" s="11"/>
      <c r="XBO243" s="11"/>
      <c r="XBP243" s="11"/>
      <c r="XCE243" s="11"/>
      <c r="XCF243" s="11"/>
      <c r="XCU243" s="11"/>
      <c r="XCV243" s="11"/>
      <c r="XDK243" s="11"/>
      <c r="XDL243" s="11"/>
      <c r="XEA243" s="11"/>
      <c r="XEB243" s="11"/>
      <c r="XEQ243" s="11"/>
      <c r="XER243" s="11"/>
    </row>
    <row r="244" spans="2:1012 1027:2036 2051:3060 3075:4084 4099:5108 5123:6132 6147:7156 7171:8180 8195:9204 9219:10228 10243:11252 11267:12276 12291:13300 13315:14324 14339:15348 15363:16372" ht="15.75" thickBot="1" x14ac:dyDescent="0.3">
      <c r="B244" s="389"/>
      <c r="C244" s="390"/>
      <c r="D244" s="391"/>
      <c r="E244" s="391"/>
      <c r="F244" s="390"/>
      <c r="G244" s="390"/>
      <c r="H244" s="390"/>
      <c r="I244" s="390"/>
      <c r="J244" s="393"/>
      <c r="K244" s="412"/>
      <c r="L244" s="390"/>
      <c r="M244" s="394"/>
      <c r="N244" s="395"/>
      <c r="O244" s="14"/>
      <c r="Q244" s="349"/>
      <c r="R244" s="349"/>
    </row>
    <row r="245" spans="2:1012 1027:2036 2051:3060 3075:4084 4099:5108 5123:6132 6147:7156 7171:8180 8195:9204 9219:10228 10243:11252 11267:12276 12291:13300 13315:14324 14339:15348 15363:16372" ht="22.5" customHeight="1" thickTop="1" thickBot="1" x14ac:dyDescent="0.3">
      <c r="B245" s="422" t="s">
        <v>468</v>
      </c>
      <c r="C245" s="417"/>
      <c r="D245" s="415"/>
      <c r="E245" s="415"/>
      <c r="F245" s="417"/>
      <c r="G245" s="417"/>
      <c r="H245" s="417"/>
      <c r="I245" s="417"/>
      <c r="J245" s="419"/>
      <c r="K245" s="417"/>
      <c r="L245" s="417"/>
      <c r="M245" s="420"/>
      <c r="N245" s="421"/>
      <c r="Q245" s="349"/>
      <c r="R245" s="349"/>
    </row>
    <row r="246" spans="2:1012 1027:2036 2051:3060 3075:4084 4099:5108 5123:6132 6147:7156 7171:8180 8195:9204 9219:10228 10243:11252 11267:12276 12291:13300 13315:14324 14339:15348 15363:16372" ht="15" customHeight="1" thickTop="1" x14ac:dyDescent="0.25">
      <c r="B246" s="144"/>
      <c r="J246" s="51"/>
      <c r="M246" s="84"/>
      <c r="N246" s="88"/>
      <c r="Q246" s="349"/>
      <c r="R246" s="349"/>
    </row>
    <row r="247" spans="2:1012 1027:2036 2051:3060 3075:4084 4099:5108 5123:6132 6147:7156 7171:8180 8195:9204 9219:10228 10243:11252 11267:12276 12291:13300 13315:14324 14339:15348 15363:16372" ht="15" customHeight="1" x14ac:dyDescent="0.25">
      <c r="B247" s="402" t="s">
        <v>469</v>
      </c>
      <c r="J247" s="51"/>
      <c r="M247" s="84"/>
      <c r="N247" s="88"/>
      <c r="Q247" s="349"/>
      <c r="R247" s="349"/>
    </row>
    <row r="248" spans="2:1012 1027:2036 2051:3060 3075:4084 4099:5108 5123:6132 6147:7156 7171:8180 8195:9204 9219:10228 10243:11252 11267:12276 12291:13300 13315:14324 14339:15348 15363:16372" ht="15" customHeight="1" x14ac:dyDescent="0.25">
      <c r="B248" s="144"/>
      <c r="J248" s="51"/>
      <c r="M248" s="84"/>
      <c r="N248" s="88"/>
      <c r="Q248" s="349"/>
      <c r="R248" s="349"/>
    </row>
    <row r="249" spans="2:1012 1027:2036 2051:3060 3075:4084 4099:5108 5123:6132 6147:7156 7171:8180 8195:9204 9219:10228 10243:11252 11267:12276 12291:13300 13315:14324 14339:15348 15363:16372" x14ac:dyDescent="0.25">
      <c r="B249" s="86" t="s">
        <v>48</v>
      </c>
      <c r="C249" s="537" t="s">
        <v>150</v>
      </c>
      <c r="J249" s="51"/>
      <c r="M249" s="84"/>
      <c r="N249" s="88"/>
      <c r="Q249" s="349"/>
      <c r="R249" s="349"/>
    </row>
    <row r="250" spans="2:1012 1027:2036 2051:3060 3075:4084 4099:5108 5123:6132 6147:7156 7171:8180 8195:9204 9219:10228 10243:11252 11267:12276 12291:13300 13315:14324 14339:15348 15363:16372" outlineLevel="1" x14ac:dyDescent="0.25">
      <c r="B250" s="227"/>
      <c r="C250" s="168" t="s">
        <v>23</v>
      </c>
      <c r="D250" s="11" t="s">
        <v>46</v>
      </c>
      <c r="E250" s="11" t="s">
        <v>46</v>
      </c>
      <c r="G250" s="169" cm="1">
        <f t="array" ref="G250:G258">TRANSPOSE('Fixtures + Piping computation'!S304:AA304)</f>
        <v>181.50000000000003</v>
      </c>
      <c r="H250" s="52" cm="1">
        <f t="array" ref="H250">IFERROR(INDEX(Table3[Labor rate], MATCH(1, (Table3[Material]='Fixture+Pipe Qty'!$C$249) * (Table3[Size]='Fixture+Pipe Qty'!$C250), 0)),0)</f>
        <v>3.2000000000000001E-2</v>
      </c>
      <c r="I250" s="82">
        <f>(F250+G250)*H250</f>
        <v>5.8080000000000007</v>
      </c>
      <c r="J250" s="170">
        <f>I250*Summary!$H$4</f>
        <v>1001.8800000000001</v>
      </c>
      <c r="K250" s="52"/>
      <c r="L250" s="56">
        <v>0</v>
      </c>
      <c r="M250" s="84">
        <f>((F250+G250)*K250)+((F250+G250)*L250)</f>
        <v>0</v>
      </c>
      <c r="N250" s="167">
        <f>M250+J250</f>
        <v>1001.8800000000001</v>
      </c>
      <c r="Q250" s="349"/>
      <c r="R250" s="349"/>
    </row>
    <row r="251" spans="2:1012 1027:2036 2051:3060 3075:4084 4099:5108 5123:6132 6147:7156 7171:8180 8195:9204 9219:10228 10243:11252 11267:12276 12291:13300 13315:14324 14339:15348 15363:16372" ht="15" customHeight="1" outlineLevel="1" x14ac:dyDescent="0.25">
      <c r="B251" s="158"/>
      <c r="C251" s="10" t="s">
        <v>24</v>
      </c>
      <c r="D251" s="11" t="s">
        <v>46</v>
      </c>
      <c r="E251" s="11" t="s">
        <v>46</v>
      </c>
      <c r="G251" s="169">
        <v>71.83</v>
      </c>
      <c r="H251" s="52" cm="1">
        <f t="array" ref="H251">IFERROR(INDEX(Table3[Labor rate], MATCH(1, (Table3[Material]='Fixture+Pipe Qty'!$C$249) * (Table3[Size]='Fixture+Pipe Qty'!$C251), 0)),0)</f>
        <v>3.5000000000000003E-2</v>
      </c>
      <c r="I251" s="82">
        <f t="shared" ref="I251:I252" si="157">(F251+G251)*H251</f>
        <v>2.5140500000000001</v>
      </c>
      <c r="J251" s="170">
        <f>I251*Summary!$H$4</f>
        <v>433.67362500000002</v>
      </c>
      <c r="K251" s="52"/>
      <c r="L251" s="56">
        <v>0</v>
      </c>
      <c r="M251" s="84">
        <f t="shared" ref="M251:M252" si="158">((F251+G251)*K251)+((F251+G251)*L251)</f>
        <v>0</v>
      </c>
      <c r="N251" s="167">
        <f t="shared" ref="N251:N252" si="159">M251+J251</f>
        <v>433.67362500000002</v>
      </c>
      <c r="Q251" s="349"/>
      <c r="R251" s="349"/>
    </row>
    <row r="252" spans="2:1012 1027:2036 2051:3060 3075:4084 4099:5108 5123:6132 6147:7156 7171:8180 8195:9204 9219:10228 10243:11252 11267:12276 12291:13300 13315:14324 14339:15348 15363:16372" outlineLevel="1" x14ac:dyDescent="0.25">
      <c r="B252" s="158"/>
      <c r="C252" s="10" t="s">
        <v>25</v>
      </c>
      <c r="D252" s="11" t="s">
        <v>46</v>
      </c>
      <c r="E252" s="11" t="s">
        <v>46</v>
      </c>
      <c r="G252" s="169">
        <v>60.610000000000007</v>
      </c>
      <c r="H252" s="52" cm="1">
        <f t="array" ref="H252">IFERROR(INDEX(Table3[Labor rate], MATCH(1, (Table3[Material]='Fixture+Pipe Qty'!$C$249) * (Table3[Size]='Fixture+Pipe Qty'!$C252), 0)),0)</f>
        <v>3.7999999999999999E-2</v>
      </c>
      <c r="I252" s="82">
        <f t="shared" si="157"/>
        <v>2.3031800000000002</v>
      </c>
      <c r="J252" s="170">
        <f>I252*Summary!$H$4</f>
        <v>397.29855000000003</v>
      </c>
      <c r="K252" s="52"/>
      <c r="L252" s="56">
        <v>0</v>
      </c>
      <c r="M252" s="84">
        <f t="shared" si="158"/>
        <v>0</v>
      </c>
      <c r="N252" s="167">
        <f t="shared" si="159"/>
        <v>397.29855000000003</v>
      </c>
      <c r="Q252" s="349"/>
      <c r="R252" s="349"/>
    </row>
    <row r="253" spans="2:1012 1027:2036 2051:3060 3075:4084 4099:5108 5123:6132 6147:7156 7171:8180 8195:9204 9219:10228 10243:11252 11267:12276 12291:13300 13315:14324 14339:15348 15363:16372" outlineLevel="1" x14ac:dyDescent="0.25">
      <c r="B253" s="158"/>
      <c r="C253" s="10" t="s">
        <v>151</v>
      </c>
      <c r="D253" s="11" t="s">
        <v>46</v>
      </c>
      <c r="E253" s="11" t="s">
        <v>46</v>
      </c>
      <c r="G253" s="169">
        <v>13.200000000000001</v>
      </c>
      <c r="H253" s="52" cm="1">
        <f t="array" ref="H253">IFERROR(INDEX(Table3[Labor rate], MATCH(1, (Table3[Material]='Fixture+Pipe Qty'!$C$249) * (Table3[Size]='Fixture+Pipe Qty'!$C253), 0)),0)</f>
        <v>4.2000000000000003E-2</v>
      </c>
      <c r="I253" s="82">
        <f t="shared" ref="I253" si="160">(F253+G253)*H253</f>
        <v>0.55440000000000011</v>
      </c>
      <c r="J253" s="170">
        <f>I253*Summary!$H$4</f>
        <v>95.634000000000015</v>
      </c>
      <c r="K253" s="52"/>
      <c r="L253" s="56">
        <v>0</v>
      </c>
      <c r="M253" s="84">
        <f t="shared" ref="M253" si="161">((F253+G253)*K253)+((F253+G253)*L253)</f>
        <v>0</v>
      </c>
      <c r="N253" s="167">
        <f t="shared" ref="N253" si="162">M253+J253</f>
        <v>95.634000000000015</v>
      </c>
      <c r="Q253" s="349"/>
      <c r="R253" s="349"/>
    </row>
    <row r="254" spans="2:1012 1027:2036 2051:3060 3075:4084 4099:5108 5123:6132 6147:7156 7171:8180 8195:9204 9219:10228 10243:11252 11267:12276 12291:13300 13315:14324 14339:15348 15363:16372" outlineLevel="1" x14ac:dyDescent="0.25">
      <c r="B254" s="158"/>
      <c r="C254" s="10" t="s">
        <v>38</v>
      </c>
      <c r="D254" s="11" t="s">
        <v>46</v>
      </c>
      <c r="E254" s="11" t="s">
        <v>46</v>
      </c>
      <c r="G254" s="169">
        <v>26.730000000000004</v>
      </c>
      <c r="H254" s="52" cm="1">
        <f t="array" ref="H254">IFERROR(INDEX(Table3[Labor rate], MATCH(1, (Table3[Material]='Fixture+Pipe Qty'!$C$249) * (Table3[Size]='Fixture+Pipe Qty'!$C254), 0)),0)</f>
        <v>4.5999999999999999E-2</v>
      </c>
      <c r="I254" s="82">
        <f t="shared" ref="I254:I255" si="163">(F254+G254)*H254</f>
        <v>1.2295800000000001</v>
      </c>
      <c r="J254" s="170">
        <f>I254*Summary!$H$4</f>
        <v>212.10255000000001</v>
      </c>
      <c r="K254" s="52"/>
      <c r="L254" s="56">
        <v>0</v>
      </c>
      <c r="M254" s="84">
        <f t="shared" ref="M254:M255" si="164">((F254+G254)*K254)+((F254+G254)*L254)</f>
        <v>0</v>
      </c>
      <c r="N254" s="167">
        <f t="shared" ref="N254:N255" si="165">M254+J254</f>
        <v>212.10255000000001</v>
      </c>
      <c r="Q254" s="349"/>
      <c r="R254" s="349"/>
    </row>
    <row r="255" spans="2:1012 1027:2036 2051:3060 3075:4084 4099:5108 5123:6132 6147:7156 7171:8180 8195:9204 9219:10228 10243:11252 11267:12276 12291:13300 13315:14324 14339:15348 15363:16372" outlineLevel="1" x14ac:dyDescent="0.25">
      <c r="B255" s="158"/>
      <c r="C255" s="10" t="s">
        <v>26</v>
      </c>
      <c r="D255" s="11" t="s">
        <v>46</v>
      </c>
      <c r="E255" s="11" t="s">
        <v>46</v>
      </c>
      <c r="G255" s="169">
        <v>44.99</v>
      </c>
      <c r="H255" s="52" cm="1">
        <f t="array" ref="H255">IFERROR(INDEX(Table3[Labor rate], MATCH(1, (Table3[Material]='Fixture+Pipe Qty'!$C$249) * (Table3[Size]='Fixture+Pipe Qty'!$C255), 0)),0)</f>
        <v>5.2999999999999999E-2</v>
      </c>
      <c r="I255" s="82">
        <f t="shared" si="163"/>
        <v>2.3844699999999999</v>
      </c>
      <c r="J255" s="170">
        <f>I255*Summary!$H$4</f>
        <v>411.32107499999995</v>
      </c>
      <c r="K255" s="52"/>
      <c r="L255" s="56">
        <v>0</v>
      </c>
      <c r="M255" s="84">
        <f t="shared" si="164"/>
        <v>0</v>
      </c>
      <c r="N255" s="167">
        <f t="shared" si="165"/>
        <v>411.32107499999995</v>
      </c>
      <c r="Q255" s="349"/>
      <c r="R255" s="349"/>
    </row>
    <row r="256" spans="2:1012 1027:2036 2051:3060 3075:4084 4099:5108 5123:6132 6147:7156 7171:8180 8195:9204 9219:10228 10243:11252 11267:12276 12291:13300 13315:14324 14339:15348 15363:16372" hidden="1" outlineLevel="1" x14ac:dyDescent="0.25">
      <c r="B256" s="158"/>
      <c r="C256" s="10" t="s">
        <v>152</v>
      </c>
      <c r="D256" s="11" t="s">
        <v>46</v>
      </c>
      <c r="E256" s="11" t="s">
        <v>46</v>
      </c>
      <c r="G256" s="169">
        <v>0</v>
      </c>
      <c r="H256" s="52" cm="1">
        <f t="array" ref="H256">IFERROR(INDEX(Table3[Labor rate], MATCH(1, (Table3[Material]='Fixture+Pipe Qty'!$C$249) * (Table3[Size]='Fixture+Pipe Qty'!$C256), 0)),0)</f>
        <v>0.06</v>
      </c>
      <c r="I256" s="82">
        <f t="shared" ref="I256:I258" si="166">(F256+G256)*H256</f>
        <v>0</v>
      </c>
      <c r="J256" s="170">
        <f>I256*Summary!$H$4</f>
        <v>0</v>
      </c>
      <c r="K256" s="52"/>
      <c r="L256" s="56">
        <v>0</v>
      </c>
      <c r="M256" s="84">
        <f t="shared" ref="M256:M258" si="167">((F256+G256)*K256)+((F256+G256)*L256)</f>
        <v>0</v>
      </c>
      <c r="N256" s="167">
        <f t="shared" ref="N256:N258" si="168">M256+J256</f>
        <v>0</v>
      </c>
      <c r="Q256" s="349"/>
      <c r="R256" s="349"/>
    </row>
    <row r="257" spans="2:18" hidden="1" outlineLevel="1" x14ac:dyDescent="0.25">
      <c r="B257" s="158"/>
      <c r="C257" s="10" t="s">
        <v>129</v>
      </c>
      <c r="D257" s="11" t="s">
        <v>46</v>
      </c>
      <c r="E257" s="11" t="s">
        <v>46</v>
      </c>
      <c r="G257" s="169">
        <v>0</v>
      </c>
      <c r="H257" s="52" cm="1">
        <f t="array" ref="H257">IFERROR(INDEX(Table3[Labor rate], MATCH(1, (Table3[Material]='Fixture+Pipe Qty'!$C$249) * (Table3[Size]='Fixture+Pipe Qty'!$C257), 0)),0)</f>
        <v>6.6000000000000003E-2</v>
      </c>
      <c r="I257" s="82">
        <f t="shared" si="166"/>
        <v>0</v>
      </c>
      <c r="J257" s="170">
        <f>I257*Summary!$H$4</f>
        <v>0</v>
      </c>
      <c r="K257" s="52"/>
      <c r="L257" s="56">
        <v>0</v>
      </c>
      <c r="M257" s="84">
        <f t="shared" ref="M257" si="169">((F257+G257)*K257)+((F257+G257)*L257)</f>
        <v>0</v>
      </c>
      <c r="N257" s="167">
        <f t="shared" ref="N257" si="170">M257+J257</f>
        <v>0</v>
      </c>
      <c r="Q257" s="349"/>
      <c r="R257" s="349"/>
    </row>
    <row r="258" spans="2:18" hidden="1" outlineLevel="1" x14ac:dyDescent="0.25">
      <c r="B258" s="158"/>
      <c r="C258" s="10" t="s">
        <v>27</v>
      </c>
      <c r="D258" s="11" t="s">
        <v>46</v>
      </c>
      <c r="E258" s="11" t="s">
        <v>46</v>
      </c>
      <c r="G258" s="169">
        <v>0</v>
      </c>
      <c r="H258" s="52" cm="1">
        <f t="array" ref="H258">IFERROR(INDEX(Table3[Labor rate], MATCH(1, (Table3[Material]='Fixture+Pipe Qty'!$C$249) * (Table3[Size]='Fixture+Pipe Qty'!$C258), 0)),0)</f>
        <v>0.08</v>
      </c>
      <c r="I258" s="82">
        <f t="shared" si="166"/>
        <v>0</v>
      </c>
      <c r="J258" s="170">
        <f>I258*Summary!$H$4</f>
        <v>0</v>
      </c>
      <c r="K258" s="52"/>
      <c r="L258" s="56">
        <v>0</v>
      </c>
      <c r="M258" s="84">
        <f t="shared" si="167"/>
        <v>0</v>
      </c>
      <c r="N258" s="167">
        <f t="shared" si="168"/>
        <v>0</v>
      </c>
      <c r="Q258" s="349"/>
      <c r="R258" s="349"/>
    </row>
    <row r="259" spans="2:18" x14ac:dyDescent="0.25">
      <c r="B259" s="158"/>
      <c r="C259" s="10"/>
      <c r="G259" s="171"/>
      <c r="H259" s="52"/>
      <c r="I259" s="82"/>
      <c r="J259" s="51"/>
      <c r="L259" s="56"/>
      <c r="M259" s="170"/>
      <c r="N259" s="172"/>
      <c r="Q259" s="349"/>
      <c r="R259" s="349"/>
    </row>
    <row r="260" spans="2:18" x14ac:dyDescent="0.25">
      <c r="B260" s="86" t="s">
        <v>49</v>
      </c>
      <c r="C260" s="537" t="s">
        <v>150</v>
      </c>
      <c r="G260" s="173"/>
      <c r="H260" s="52"/>
      <c r="I260" s="82"/>
      <c r="J260" s="51"/>
      <c r="L260" s="52"/>
      <c r="M260" s="170"/>
      <c r="N260" s="174"/>
      <c r="Q260" s="349"/>
      <c r="R260" s="349"/>
    </row>
    <row r="261" spans="2:18" outlineLevel="1" x14ac:dyDescent="0.25">
      <c r="B261" s="227"/>
      <c r="C261" s="168" t="s">
        <v>23</v>
      </c>
      <c r="D261" s="11" t="s">
        <v>46</v>
      </c>
      <c r="E261" s="11" t="s">
        <v>46</v>
      </c>
      <c r="G261" s="169" cm="1">
        <f t="array" ref="G261:G269">TRANSPOSE('Fixtures + Piping computation'!AB304:AJ304)</f>
        <v>133.10000000000002</v>
      </c>
      <c r="H261" s="52" cm="1">
        <f t="array" ref="H261">IFERROR(INDEX(Table3[Labor rate], MATCH(1, (Table3[Material]='Fixture+Pipe Qty'!$C$260) * (Table3[Size]='Fixture+Pipe Qty'!$C261), 0)),0)</f>
        <v>3.2000000000000001E-2</v>
      </c>
      <c r="I261" s="82">
        <f t="shared" ref="I261:I262" si="171">(F261+G261)*H261</f>
        <v>4.2592000000000008</v>
      </c>
      <c r="J261" s="170">
        <f>I261*Summary!$H$4</f>
        <v>734.7120000000001</v>
      </c>
      <c r="K261" s="52"/>
      <c r="L261" s="56">
        <v>0</v>
      </c>
      <c r="M261" s="84">
        <f>((F261+G261)*K261)+((F261+G261)*L261)</f>
        <v>0</v>
      </c>
      <c r="N261" s="167">
        <f>M261+J261</f>
        <v>734.7120000000001</v>
      </c>
      <c r="Q261" s="349"/>
      <c r="R261" s="349"/>
    </row>
    <row r="262" spans="2:18" outlineLevel="1" x14ac:dyDescent="0.25">
      <c r="B262" s="210"/>
      <c r="C262" s="10" t="s">
        <v>24</v>
      </c>
      <c r="D262" s="11" t="s">
        <v>46</v>
      </c>
      <c r="E262" s="11" t="s">
        <v>46</v>
      </c>
      <c r="G262" s="169">
        <v>39.160000000000004</v>
      </c>
      <c r="H262" s="52" cm="1">
        <f t="array" ref="H262">IFERROR(INDEX(Table3[Labor rate], MATCH(1, (Table3[Material]='Fixture+Pipe Qty'!$C$260) * (Table3[Size]='Fixture+Pipe Qty'!$C262), 0)),0)</f>
        <v>3.5000000000000003E-2</v>
      </c>
      <c r="I262" s="82">
        <f t="shared" si="171"/>
        <v>1.3706000000000003</v>
      </c>
      <c r="J262" s="170">
        <f>I262*Summary!$H$4</f>
        <v>236.42850000000004</v>
      </c>
      <c r="K262" s="52"/>
      <c r="L262" s="56">
        <v>0</v>
      </c>
      <c r="M262" s="84">
        <f t="shared" ref="M262" si="172">((F262+G262)*K262)+((F262+G262)*L262)</f>
        <v>0</v>
      </c>
      <c r="N262" s="167">
        <f t="shared" ref="N262" si="173">M262+J262</f>
        <v>236.42850000000004</v>
      </c>
      <c r="Q262" s="349"/>
      <c r="R262" s="349"/>
    </row>
    <row r="263" spans="2:18" outlineLevel="1" x14ac:dyDescent="0.25">
      <c r="B263" s="210"/>
      <c r="C263" s="10" t="s">
        <v>25</v>
      </c>
      <c r="D263" s="11" t="s">
        <v>46</v>
      </c>
      <c r="E263" s="11" t="s">
        <v>46</v>
      </c>
      <c r="G263" s="169">
        <v>22.880000000000003</v>
      </c>
      <c r="H263" s="52" cm="1">
        <f t="array" ref="H263">IFERROR(INDEX(Table3[Labor rate], MATCH(1, (Table3[Material]='Fixture+Pipe Qty'!$C$260) * (Table3[Size]='Fixture+Pipe Qty'!$C263), 0)),0)</f>
        <v>3.7999999999999999E-2</v>
      </c>
      <c r="I263" s="82">
        <f t="shared" ref="I263:I269" si="174">(F263+G263)*H263</f>
        <v>0.8694400000000001</v>
      </c>
      <c r="J263" s="170">
        <f>I263*Summary!$H$4</f>
        <v>149.97840000000002</v>
      </c>
      <c r="K263" s="52"/>
      <c r="L263" s="56">
        <v>0</v>
      </c>
      <c r="M263" s="84">
        <f t="shared" ref="M263:M269" si="175">((F263+G263)*K263)+((F263+G263)*L263)</f>
        <v>0</v>
      </c>
      <c r="N263" s="167">
        <f t="shared" ref="N263:N269" si="176">M263+J263</f>
        <v>149.97840000000002</v>
      </c>
      <c r="Q263" s="349"/>
      <c r="R263" s="349"/>
    </row>
    <row r="264" spans="2:18" outlineLevel="1" x14ac:dyDescent="0.25">
      <c r="B264" s="210"/>
      <c r="C264" s="10" t="s">
        <v>151</v>
      </c>
      <c r="D264" s="11" t="s">
        <v>46</v>
      </c>
      <c r="E264" s="11" t="s">
        <v>46</v>
      </c>
      <c r="G264" s="169">
        <v>100.87</v>
      </c>
      <c r="H264" s="52" cm="1">
        <f t="array" ref="H264">IFERROR(INDEX(Table3[Labor rate], MATCH(1, (Table3[Material]='Fixture+Pipe Qty'!$C$260) * (Table3[Size]='Fixture+Pipe Qty'!$C264), 0)),0)</f>
        <v>4.2000000000000003E-2</v>
      </c>
      <c r="I264" s="82">
        <f t="shared" ref="I264" si="177">(F264+G264)*H264</f>
        <v>4.2365400000000006</v>
      </c>
      <c r="J264" s="170">
        <f>I264*Summary!$H$4</f>
        <v>730.80315000000007</v>
      </c>
      <c r="K264" s="52"/>
      <c r="L264" s="56">
        <v>0</v>
      </c>
      <c r="M264" s="84">
        <f t="shared" ref="M264" si="178">((F264+G264)*K264)+((F264+G264)*L264)</f>
        <v>0</v>
      </c>
      <c r="N264" s="167">
        <f t="shared" ref="N264" si="179">M264+J264</f>
        <v>730.80315000000007</v>
      </c>
      <c r="Q264" s="349"/>
      <c r="R264" s="349"/>
    </row>
    <row r="265" spans="2:18" hidden="1" outlineLevel="1" x14ac:dyDescent="0.25">
      <c r="B265" s="210"/>
      <c r="C265" s="10" t="s">
        <v>38</v>
      </c>
      <c r="D265" s="11" t="s">
        <v>46</v>
      </c>
      <c r="E265" s="11" t="s">
        <v>46</v>
      </c>
      <c r="G265" s="169">
        <v>0</v>
      </c>
      <c r="H265" s="52"/>
      <c r="I265" s="82">
        <f t="shared" si="174"/>
        <v>0</v>
      </c>
      <c r="J265" s="170">
        <f>I265*Summary!$H$4</f>
        <v>0</v>
      </c>
      <c r="K265" s="52"/>
      <c r="L265" s="56">
        <v>0</v>
      </c>
      <c r="M265" s="84">
        <f t="shared" si="175"/>
        <v>0</v>
      </c>
      <c r="N265" s="167">
        <f t="shared" si="176"/>
        <v>0</v>
      </c>
      <c r="Q265" s="349"/>
      <c r="R265" s="349"/>
    </row>
    <row r="266" spans="2:18" hidden="1" outlineLevel="1" x14ac:dyDescent="0.25">
      <c r="B266" s="210"/>
      <c r="C266" s="10" t="s">
        <v>26</v>
      </c>
      <c r="D266" s="11" t="s">
        <v>46</v>
      </c>
      <c r="E266" s="11" t="s">
        <v>46</v>
      </c>
      <c r="G266" s="169">
        <v>0</v>
      </c>
      <c r="H266" s="52"/>
      <c r="I266" s="82">
        <f t="shared" si="174"/>
        <v>0</v>
      </c>
      <c r="J266" s="170">
        <f>I266*Summary!$H$4</f>
        <v>0</v>
      </c>
      <c r="K266" s="52"/>
      <c r="L266" s="56">
        <v>0</v>
      </c>
      <c r="M266" s="84">
        <f t="shared" si="175"/>
        <v>0</v>
      </c>
      <c r="N266" s="167">
        <f t="shared" si="176"/>
        <v>0</v>
      </c>
      <c r="Q266" s="349"/>
      <c r="R266" s="349"/>
    </row>
    <row r="267" spans="2:18" hidden="1" outlineLevel="1" x14ac:dyDescent="0.25">
      <c r="B267" s="210"/>
      <c r="C267" s="10" t="s">
        <v>152</v>
      </c>
      <c r="D267" s="11" t="s">
        <v>46</v>
      </c>
      <c r="E267" s="11" t="s">
        <v>46</v>
      </c>
      <c r="G267" s="169">
        <v>0</v>
      </c>
      <c r="H267" s="52"/>
      <c r="I267" s="82">
        <f t="shared" si="174"/>
        <v>0</v>
      </c>
      <c r="J267" s="170">
        <f>I267*Summary!$H$4</f>
        <v>0</v>
      </c>
      <c r="K267" s="52"/>
      <c r="L267" s="56">
        <v>0</v>
      </c>
      <c r="M267" s="84">
        <f t="shared" si="175"/>
        <v>0</v>
      </c>
      <c r="N267" s="167">
        <f t="shared" si="176"/>
        <v>0</v>
      </c>
      <c r="Q267" s="349"/>
      <c r="R267" s="349"/>
    </row>
    <row r="268" spans="2:18" hidden="1" outlineLevel="1" x14ac:dyDescent="0.25">
      <c r="B268" s="210"/>
      <c r="C268" s="10" t="s">
        <v>129</v>
      </c>
      <c r="D268" s="11" t="s">
        <v>46</v>
      </c>
      <c r="E268" s="11" t="s">
        <v>46</v>
      </c>
      <c r="G268" s="169">
        <v>0</v>
      </c>
      <c r="H268" s="52"/>
      <c r="I268" s="82">
        <f t="shared" si="174"/>
        <v>0</v>
      </c>
      <c r="J268" s="170">
        <f>I268*Summary!$H$4</f>
        <v>0</v>
      </c>
      <c r="K268" s="52"/>
      <c r="L268" s="56">
        <v>0</v>
      </c>
      <c r="M268" s="84">
        <f t="shared" si="175"/>
        <v>0</v>
      </c>
      <c r="N268" s="167">
        <f t="shared" si="176"/>
        <v>0</v>
      </c>
      <c r="Q268" s="349"/>
      <c r="R268" s="349"/>
    </row>
    <row r="269" spans="2:18" hidden="1" outlineLevel="1" x14ac:dyDescent="0.25">
      <c r="B269" s="210"/>
      <c r="C269" s="10" t="s">
        <v>27</v>
      </c>
      <c r="D269" s="11" t="s">
        <v>46</v>
      </c>
      <c r="E269" s="11" t="s">
        <v>46</v>
      </c>
      <c r="G269" s="169">
        <v>0</v>
      </c>
      <c r="H269" s="52"/>
      <c r="I269" s="82">
        <f t="shared" si="174"/>
        <v>0</v>
      </c>
      <c r="J269" s="170">
        <f>I269*Summary!$H$4</f>
        <v>0</v>
      </c>
      <c r="K269" s="52"/>
      <c r="L269" s="56">
        <v>0</v>
      </c>
      <c r="M269" s="84">
        <f t="shared" si="175"/>
        <v>0</v>
      </c>
      <c r="N269" s="167">
        <f t="shared" si="176"/>
        <v>0</v>
      </c>
      <c r="Q269" s="349"/>
      <c r="R269" s="349"/>
    </row>
    <row r="270" spans="2:18" x14ac:dyDescent="0.25">
      <c r="B270" s="210"/>
      <c r="C270" s="10"/>
      <c r="G270" s="169"/>
      <c r="H270" s="52"/>
      <c r="I270" s="82"/>
      <c r="J270" s="170"/>
      <c r="K270" s="52"/>
      <c r="L270" s="56"/>
      <c r="M270" s="84"/>
      <c r="N270" s="167"/>
      <c r="Q270" s="349"/>
      <c r="R270" s="349"/>
    </row>
    <row r="271" spans="2:18" x14ac:dyDescent="0.25">
      <c r="B271" s="86" t="s">
        <v>559</v>
      </c>
      <c r="C271" s="537" t="s">
        <v>150</v>
      </c>
      <c r="G271" s="169"/>
      <c r="H271" s="52"/>
      <c r="I271" s="82"/>
      <c r="J271" s="170"/>
      <c r="K271" s="52"/>
      <c r="L271" s="56"/>
      <c r="M271" s="84"/>
      <c r="N271" s="167"/>
      <c r="Q271" s="349"/>
      <c r="R271" s="349"/>
    </row>
    <row r="272" spans="2:18" outlineLevel="1" x14ac:dyDescent="0.25">
      <c r="B272" s="210"/>
      <c r="C272" s="168" t="s">
        <v>23</v>
      </c>
      <c r="D272" s="11" t="s">
        <v>46</v>
      </c>
      <c r="E272" s="11" t="s">
        <v>46</v>
      </c>
      <c r="G272" s="169" cm="1">
        <f t="array" ref="G272:G280">TRANSPOSE('Fixtures + Piping computation'!AM304:AU304)</f>
        <v>121.00000000000001</v>
      </c>
      <c r="H272" s="52" cm="1">
        <f t="array" ref="H272">IFERROR(INDEX(Table3[Labor rate], MATCH(1, (Table3[Material]='Fixture+Pipe Qty'!$C$271) * (Table3[Size]='Fixture+Pipe Qty'!$C272), 0)),0)</f>
        <v>3.2000000000000001E-2</v>
      </c>
      <c r="I272" s="82">
        <f t="shared" ref="I272" si="180">(F272+G272)*H272</f>
        <v>3.8720000000000003</v>
      </c>
      <c r="J272" s="170">
        <f>I272*Summary!$H$4</f>
        <v>667.92000000000007</v>
      </c>
      <c r="K272" s="52"/>
      <c r="L272" s="56">
        <v>0</v>
      </c>
      <c r="M272" s="84">
        <f t="shared" ref="M272:M280" si="181">((F272+G272)*K272)+((F272+G272)*L272)</f>
        <v>0</v>
      </c>
      <c r="N272" s="167">
        <f t="shared" ref="N272:N280" si="182">M272+J272</f>
        <v>667.92000000000007</v>
      </c>
      <c r="Q272" s="349"/>
      <c r="R272" s="349"/>
    </row>
    <row r="273" spans="2:18" outlineLevel="1" x14ac:dyDescent="0.25">
      <c r="B273" s="210"/>
      <c r="C273" s="10" t="s">
        <v>24</v>
      </c>
      <c r="D273" s="11" t="s">
        <v>46</v>
      </c>
      <c r="E273" s="11" t="s">
        <v>46</v>
      </c>
      <c r="G273" s="169">
        <v>49.28</v>
      </c>
      <c r="H273" s="52" cm="1">
        <f t="array" ref="H273">IFERROR(INDEX(Table3[Labor rate], MATCH(1, (Table3[Material]='Fixture+Pipe Qty'!$C$271) * (Table3[Size]='Fixture+Pipe Qty'!$C273), 0)),0)</f>
        <v>3.5000000000000003E-2</v>
      </c>
      <c r="I273" s="82">
        <f t="shared" ref="I273:I280" si="183">(F273+G273)*H273</f>
        <v>1.7248000000000001</v>
      </c>
      <c r="J273" s="170">
        <f>I273*Summary!$H$4</f>
        <v>297.52800000000002</v>
      </c>
      <c r="K273" s="52"/>
      <c r="L273" s="56">
        <v>0</v>
      </c>
      <c r="M273" s="84">
        <f t="shared" si="181"/>
        <v>0</v>
      </c>
      <c r="N273" s="167">
        <f t="shared" si="182"/>
        <v>297.52800000000002</v>
      </c>
      <c r="Q273" s="349"/>
      <c r="R273" s="349"/>
    </row>
    <row r="274" spans="2:18" outlineLevel="1" x14ac:dyDescent="0.25">
      <c r="B274" s="210"/>
      <c r="C274" s="10" t="s">
        <v>25</v>
      </c>
      <c r="D274" s="11" t="s">
        <v>46</v>
      </c>
      <c r="E274" s="11" t="s">
        <v>46</v>
      </c>
      <c r="G274" s="169">
        <v>27.060000000000002</v>
      </c>
      <c r="H274" s="52" cm="1">
        <f t="array" ref="H274">IFERROR(INDEX(Table3[Labor rate], MATCH(1, (Table3[Material]='Fixture+Pipe Qty'!$C$271) * (Table3[Size]='Fixture+Pipe Qty'!$C274), 0)),0)</f>
        <v>3.7999999999999999E-2</v>
      </c>
      <c r="I274" s="82">
        <f t="shared" si="183"/>
        <v>1.0282800000000001</v>
      </c>
      <c r="J274" s="170">
        <f>I274*Summary!$H$4</f>
        <v>177.37830000000002</v>
      </c>
      <c r="K274" s="52"/>
      <c r="L274" s="56">
        <v>0</v>
      </c>
      <c r="M274" s="84">
        <f t="shared" si="181"/>
        <v>0</v>
      </c>
      <c r="N274" s="167">
        <f t="shared" si="182"/>
        <v>177.37830000000002</v>
      </c>
      <c r="Q274" s="349"/>
      <c r="R274" s="349"/>
    </row>
    <row r="275" spans="2:18" hidden="1" outlineLevel="1" x14ac:dyDescent="0.25">
      <c r="B275" s="210"/>
      <c r="C275" s="10" t="s">
        <v>151</v>
      </c>
      <c r="D275" s="11" t="s">
        <v>46</v>
      </c>
      <c r="E275" s="11" t="s">
        <v>46</v>
      </c>
      <c r="G275" s="169">
        <v>0</v>
      </c>
      <c r="H275" s="52"/>
      <c r="I275" s="82">
        <f t="shared" si="183"/>
        <v>0</v>
      </c>
      <c r="J275" s="170">
        <f>I275*Summary!$H$4</f>
        <v>0</v>
      </c>
      <c r="K275" s="52"/>
      <c r="L275" s="56">
        <v>0</v>
      </c>
      <c r="M275" s="84">
        <f t="shared" si="181"/>
        <v>0</v>
      </c>
      <c r="N275" s="167">
        <f t="shared" si="182"/>
        <v>0</v>
      </c>
      <c r="Q275" s="349"/>
      <c r="R275" s="349"/>
    </row>
    <row r="276" spans="2:18" hidden="1" outlineLevel="1" x14ac:dyDescent="0.25">
      <c r="B276" s="210"/>
      <c r="C276" s="10" t="s">
        <v>38</v>
      </c>
      <c r="D276" s="11" t="s">
        <v>46</v>
      </c>
      <c r="E276" s="11" t="s">
        <v>46</v>
      </c>
      <c r="G276" s="169">
        <v>0</v>
      </c>
      <c r="H276" s="52"/>
      <c r="I276" s="82">
        <f t="shared" si="183"/>
        <v>0</v>
      </c>
      <c r="J276" s="170">
        <f>I276*Summary!$H$4</f>
        <v>0</v>
      </c>
      <c r="K276" s="52"/>
      <c r="L276" s="56">
        <v>0</v>
      </c>
      <c r="M276" s="84">
        <f t="shared" si="181"/>
        <v>0</v>
      </c>
      <c r="N276" s="167">
        <f t="shared" si="182"/>
        <v>0</v>
      </c>
      <c r="Q276" s="349"/>
      <c r="R276" s="349"/>
    </row>
    <row r="277" spans="2:18" hidden="1" outlineLevel="1" x14ac:dyDescent="0.25">
      <c r="B277" s="210"/>
      <c r="C277" s="10" t="s">
        <v>26</v>
      </c>
      <c r="D277" s="11" t="s">
        <v>46</v>
      </c>
      <c r="E277" s="11" t="s">
        <v>46</v>
      </c>
      <c r="G277" s="169">
        <v>0</v>
      </c>
      <c r="H277" s="52"/>
      <c r="I277" s="82">
        <f t="shared" si="183"/>
        <v>0</v>
      </c>
      <c r="J277" s="170">
        <f>I277*Summary!$H$4</f>
        <v>0</v>
      </c>
      <c r="K277" s="52"/>
      <c r="L277" s="56">
        <v>0</v>
      </c>
      <c r="M277" s="84">
        <f t="shared" si="181"/>
        <v>0</v>
      </c>
      <c r="N277" s="167">
        <f t="shared" si="182"/>
        <v>0</v>
      </c>
      <c r="Q277" s="349"/>
      <c r="R277" s="349"/>
    </row>
    <row r="278" spans="2:18" hidden="1" outlineLevel="1" x14ac:dyDescent="0.25">
      <c r="B278" s="210"/>
      <c r="C278" s="10" t="s">
        <v>152</v>
      </c>
      <c r="D278" s="11" t="s">
        <v>46</v>
      </c>
      <c r="E278" s="11" t="s">
        <v>46</v>
      </c>
      <c r="G278" s="169">
        <v>0</v>
      </c>
      <c r="H278" s="52"/>
      <c r="I278" s="82">
        <f t="shared" si="183"/>
        <v>0</v>
      </c>
      <c r="J278" s="170">
        <f>I278*Summary!$H$4</f>
        <v>0</v>
      </c>
      <c r="K278" s="52"/>
      <c r="L278" s="56">
        <v>0</v>
      </c>
      <c r="M278" s="84">
        <f t="shared" si="181"/>
        <v>0</v>
      </c>
      <c r="N278" s="167">
        <f t="shared" si="182"/>
        <v>0</v>
      </c>
      <c r="Q278" s="349"/>
      <c r="R278" s="349"/>
    </row>
    <row r="279" spans="2:18" hidden="1" outlineLevel="1" x14ac:dyDescent="0.25">
      <c r="B279" s="210"/>
      <c r="C279" s="10" t="s">
        <v>129</v>
      </c>
      <c r="D279" s="11" t="s">
        <v>46</v>
      </c>
      <c r="E279" s="11" t="s">
        <v>46</v>
      </c>
      <c r="G279" s="169">
        <v>0</v>
      </c>
      <c r="H279" s="52"/>
      <c r="I279" s="82">
        <f t="shared" si="183"/>
        <v>0</v>
      </c>
      <c r="J279" s="170">
        <f>I279*Summary!$H$4</f>
        <v>0</v>
      </c>
      <c r="K279" s="52"/>
      <c r="L279" s="56">
        <v>0</v>
      </c>
      <c r="M279" s="84">
        <f t="shared" si="181"/>
        <v>0</v>
      </c>
      <c r="N279" s="167">
        <f t="shared" si="182"/>
        <v>0</v>
      </c>
      <c r="Q279" s="349"/>
      <c r="R279" s="349"/>
    </row>
    <row r="280" spans="2:18" hidden="1" outlineLevel="1" x14ac:dyDescent="0.25">
      <c r="B280" s="210"/>
      <c r="C280" s="10" t="s">
        <v>27</v>
      </c>
      <c r="D280" s="11" t="s">
        <v>46</v>
      </c>
      <c r="E280" s="11" t="s">
        <v>46</v>
      </c>
      <c r="G280" s="169">
        <v>0</v>
      </c>
      <c r="H280" s="52"/>
      <c r="I280" s="82">
        <f t="shared" si="183"/>
        <v>0</v>
      </c>
      <c r="J280" s="170">
        <f>I280*Summary!$H$4</f>
        <v>0</v>
      </c>
      <c r="K280" s="52"/>
      <c r="L280" s="56">
        <v>0</v>
      </c>
      <c r="M280" s="84">
        <f t="shared" si="181"/>
        <v>0</v>
      </c>
      <c r="N280" s="167">
        <f t="shared" si="182"/>
        <v>0</v>
      </c>
      <c r="Q280" s="349"/>
      <c r="R280" s="349"/>
    </row>
    <row r="281" spans="2:18" x14ac:dyDescent="0.25">
      <c r="B281" s="210"/>
      <c r="C281" s="10"/>
      <c r="G281" s="169"/>
      <c r="H281" s="52"/>
      <c r="I281" s="82"/>
      <c r="J281" s="170"/>
      <c r="K281" s="52"/>
      <c r="L281" s="56"/>
      <c r="M281" s="84"/>
      <c r="N281" s="167"/>
      <c r="Q281" s="349"/>
      <c r="R281" s="349"/>
    </row>
    <row r="282" spans="2:18" x14ac:dyDescent="0.25">
      <c r="B282" s="86" t="s">
        <v>847</v>
      </c>
      <c r="C282" s="537" t="s">
        <v>150</v>
      </c>
      <c r="G282" s="169"/>
      <c r="H282" s="52"/>
      <c r="I282" s="82"/>
      <c r="J282" s="170"/>
      <c r="K282" s="52"/>
      <c r="L282" s="56"/>
      <c r="M282" s="84"/>
      <c r="N282" s="167"/>
      <c r="Q282" s="349"/>
      <c r="R282" s="349"/>
    </row>
    <row r="283" spans="2:18" outlineLevel="1" x14ac:dyDescent="0.25">
      <c r="B283" s="210"/>
      <c r="C283" s="168" t="s">
        <v>24</v>
      </c>
      <c r="D283" s="11" t="s">
        <v>46</v>
      </c>
      <c r="E283" s="11" t="s">
        <v>46</v>
      </c>
      <c r="G283" s="169" cm="1">
        <f t="array" ref="G283:G284">TRANSPOSE('Fixtures + Piping computation'!AK304:AL304)</f>
        <v>12.100000000000001</v>
      </c>
      <c r="H283" s="52" cm="1">
        <f t="array" ref="H283">IFERROR(INDEX(Table3[Labor rate], MATCH(1, (Table3[Material]='Fixture+Pipe Qty'!$C$282) * (Table3[Size]='Fixture+Pipe Qty'!$C283), 0)),0)</f>
        <v>3.5000000000000003E-2</v>
      </c>
      <c r="I283" s="82">
        <f t="shared" ref="I283:I284" si="184">(F283+G283)*H283</f>
        <v>0.4235000000000001</v>
      </c>
      <c r="J283" s="170">
        <f>I283*Summary!$H$4</f>
        <v>73.053750000000022</v>
      </c>
      <c r="K283" s="52"/>
      <c r="L283" s="56">
        <v>0</v>
      </c>
      <c r="M283" s="84">
        <f t="shared" ref="M283:M284" si="185">((F283+G283)*K283)+((F283+G283)*L283)</f>
        <v>0</v>
      </c>
      <c r="N283" s="167">
        <f t="shared" ref="N283:N284" si="186">M283+J283</f>
        <v>73.053750000000022</v>
      </c>
      <c r="Q283" s="349"/>
      <c r="R283" s="349"/>
    </row>
    <row r="284" spans="2:18" outlineLevel="1" x14ac:dyDescent="0.25">
      <c r="B284" s="210"/>
      <c r="C284" s="10" t="s">
        <v>25</v>
      </c>
      <c r="D284" s="11" t="s">
        <v>46</v>
      </c>
      <c r="E284" s="11" t="s">
        <v>46</v>
      </c>
      <c r="G284" s="169">
        <v>38.610000000000007</v>
      </c>
      <c r="H284" s="52" cm="1">
        <f t="array" ref="H284">IFERROR(INDEX(Table3[Labor rate], MATCH(1, (Table3[Material]='Fixture+Pipe Qty'!$C$282) * (Table3[Size]='Fixture+Pipe Qty'!$C284), 0)),0)</f>
        <v>3.7999999999999999E-2</v>
      </c>
      <c r="I284" s="82">
        <f t="shared" si="184"/>
        <v>1.4671800000000002</v>
      </c>
      <c r="J284" s="170">
        <f>I284*Summary!$H$4</f>
        <v>253.08855000000003</v>
      </c>
      <c r="K284" s="52"/>
      <c r="L284" s="56">
        <v>0</v>
      </c>
      <c r="M284" s="84">
        <f t="shared" si="185"/>
        <v>0</v>
      </c>
      <c r="N284" s="167">
        <f t="shared" si="186"/>
        <v>253.08855000000003</v>
      </c>
      <c r="Q284" s="349"/>
      <c r="R284" s="349"/>
    </row>
    <row r="285" spans="2:18" outlineLevel="1" x14ac:dyDescent="0.25">
      <c r="B285" s="210"/>
      <c r="C285" s="10"/>
      <c r="G285" s="169"/>
      <c r="H285" s="52"/>
      <c r="I285" s="82"/>
      <c r="J285" s="170"/>
      <c r="K285" s="52"/>
      <c r="L285" s="56"/>
      <c r="M285" s="84"/>
      <c r="N285" s="167"/>
      <c r="Q285" s="349"/>
      <c r="R285" s="349"/>
    </row>
    <row r="286" spans="2:18" x14ac:dyDescent="0.25">
      <c r="B286" s="210"/>
      <c r="C286" s="10"/>
      <c r="G286" s="169"/>
      <c r="H286" s="52"/>
      <c r="I286" s="82"/>
      <c r="J286" s="170"/>
      <c r="K286" s="56"/>
      <c r="L286" s="56"/>
      <c r="M286" s="84"/>
      <c r="N286" s="167"/>
      <c r="Q286" s="349"/>
      <c r="R286" s="349"/>
    </row>
    <row r="287" spans="2:18" ht="15.75" thickBot="1" x14ac:dyDescent="0.3">
      <c r="B287" s="208"/>
      <c r="C287" s="10"/>
      <c r="F287" s="209"/>
      <c r="G287" s="169"/>
      <c r="H287" s="52"/>
      <c r="I287" s="207"/>
      <c r="J287" s="138"/>
      <c r="M287" s="138"/>
      <c r="N287" s="167"/>
      <c r="Q287" s="349"/>
      <c r="R287" s="349"/>
    </row>
    <row r="288" spans="2:18" x14ac:dyDescent="0.25">
      <c r="B288" s="405"/>
      <c r="C288" s="406" t="s">
        <v>470</v>
      </c>
      <c r="D288" s="407"/>
      <c r="E288" s="407"/>
      <c r="F288" s="408"/>
      <c r="G288" s="408">
        <f>SUM(G247:G286)</f>
        <v>942.92000000000007</v>
      </c>
      <c r="H288" s="408"/>
      <c r="I288" s="408">
        <f>SUM(I250:I287)</f>
        <v>34.04522</v>
      </c>
      <c r="J288" s="409">
        <f>SUM(J249:J287)</f>
        <v>5872.8004500000006</v>
      </c>
      <c r="K288" s="408"/>
      <c r="L288" s="408"/>
      <c r="M288" s="409">
        <f>SUM(M249:M287)</f>
        <v>0</v>
      </c>
      <c r="N288" s="410"/>
      <c r="Q288" s="349"/>
      <c r="R288" s="349"/>
    </row>
    <row r="289" spans="2:18" x14ac:dyDescent="0.25">
      <c r="B289" s="606"/>
      <c r="C289" s="607"/>
      <c r="D289" s="608"/>
      <c r="E289" s="608"/>
      <c r="F289" s="609"/>
      <c r="G289" s="609"/>
      <c r="H289" s="609"/>
      <c r="I289" s="609"/>
      <c r="J289" s="610"/>
      <c r="K289" s="609"/>
      <c r="L289" s="609"/>
      <c r="M289" s="610"/>
      <c r="N289" s="611"/>
      <c r="Q289" s="349"/>
      <c r="R289" s="349"/>
    </row>
    <row r="290" spans="2:18" ht="15" customHeight="1" x14ac:dyDescent="0.25">
      <c r="B290" s="402" t="s">
        <v>903</v>
      </c>
      <c r="J290" s="51"/>
      <c r="M290" s="84"/>
      <c r="N290" s="88"/>
      <c r="Q290" s="349"/>
      <c r="R290" s="349"/>
    </row>
    <row r="291" spans="2:18" ht="15" customHeight="1" x14ac:dyDescent="0.25">
      <c r="B291" s="144"/>
      <c r="J291" s="51"/>
      <c r="M291" s="84"/>
      <c r="N291" s="88"/>
      <c r="Q291" s="349"/>
      <c r="R291" s="349"/>
    </row>
    <row r="292" spans="2:18" x14ac:dyDescent="0.25">
      <c r="B292" s="86" t="s">
        <v>912</v>
      </c>
      <c r="C292" s="537" t="s">
        <v>983</v>
      </c>
      <c r="J292" s="51"/>
      <c r="M292" s="84"/>
      <c r="N292" s="88"/>
      <c r="Q292" s="349"/>
      <c r="R292" s="349"/>
    </row>
    <row r="293" spans="2:18" outlineLevel="1" x14ac:dyDescent="0.25">
      <c r="B293" s="227"/>
      <c r="C293" s="612" t="s">
        <v>904</v>
      </c>
      <c r="D293" s="11" t="s">
        <v>46</v>
      </c>
      <c r="E293" s="11" t="s">
        <v>46</v>
      </c>
      <c r="F293" s="146">
        <v>11</v>
      </c>
      <c r="G293" s="169"/>
      <c r="H293" s="52">
        <v>0.107</v>
      </c>
      <c r="I293" s="159">
        <f t="shared" ref="I293" si="187">(F293+G293)*H293</f>
        <v>1.177</v>
      </c>
      <c r="J293" s="160">
        <f>I293*Summary!$H$4</f>
        <v>203.0325</v>
      </c>
      <c r="K293" s="52"/>
      <c r="L293" s="56">
        <v>0</v>
      </c>
      <c r="M293" s="84">
        <f>((F293+G293)*K293)+((F293+G293)*L293)</f>
        <v>0</v>
      </c>
      <c r="N293" s="167">
        <f>M293+J293</f>
        <v>203.0325</v>
      </c>
      <c r="Q293" s="349"/>
      <c r="R293" s="349"/>
    </row>
    <row r="294" spans="2:18" ht="15" customHeight="1" outlineLevel="1" x14ac:dyDescent="0.25">
      <c r="B294" s="158"/>
      <c r="C294" s="612" t="s">
        <v>905</v>
      </c>
      <c r="D294" s="11" t="s">
        <v>46</v>
      </c>
      <c r="E294" s="11" t="s">
        <v>46</v>
      </c>
      <c r="F294" s="146">
        <v>15</v>
      </c>
      <c r="G294" s="169"/>
      <c r="H294" s="52">
        <v>0.15</v>
      </c>
      <c r="I294" s="159">
        <f t="shared" ref="I294:I319" si="188">(F294+G294)*H294</f>
        <v>2.25</v>
      </c>
      <c r="J294" s="160">
        <f>I294*Summary!$H$4</f>
        <v>388.125</v>
      </c>
      <c r="K294" s="52"/>
      <c r="L294" s="56">
        <v>0</v>
      </c>
      <c r="M294" s="84">
        <f t="shared" ref="M294:M316" si="189">((F294+G294)*K294)+((F294+G294)*L294)</f>
        <v>0</v>
      </c>
      <c r="N294" s="167">
        <f t="shared" ref="N294:N316" si="190">M294+J294</f>
        <v>388.125</v>
      </c>
      <c r="Q294" s="349"/>
      <c r="R294" s="349"/>
    </row>
    <row r="295" spans="2:18" outlineLevel="1" x14ac:dyDescent="0.25">
      <c r="B295" s="158"/>
      <c r="C295" s="612" t="s">
        <v>906</v>
      </c>
      <c r="D295" s="11" t="s">
        <v>46</v>
      </c>
      <c r="E295" s="11" t="s">
        <v>46</v>
      </c>
      <c r="F295" s="146">
        <v>11</v>
      </c>
      <c r="G295" s="169"/>
      <c r="H295" s="52">
        <v>0.193</v>
      </c>
      <c r="I295" s="159">
        <f t="shared" si="188"/>
        <v>2.1230000000000002</v>
      </c>
      <c r="J295" s="160">
        <f>I295*Summary!$H$4</f>
        <v>366.21750000000003</v>
      </c>
      <c r="K295" s="52"/>
      <c r="L295" s="56">
        <v>0</v>
      </c>
      <c r="M295" s="84">
        <f t="shared" si="189"/>
        <v>0</v>
      </c>
      <c r="N295" s="167">
        <f t="shared" si="190"/>
        <v>366.21750000000003</v>
      </c>
      <c r="Q295" s="349"/>
      <c r="R295" s="349"/>
    </row>
    <row r="296" spans="2:18" outlineLevel="1" x14ac:dyDescent="0.25">
      <c r="B296" s="158"/>
      <c r="C296" s="612" t="s">
        <v>907</v>
      </c>
      <c r="D296" s="11" t="s">
        <v>46</v>
      </c>
      <c r="E296" s="11" t="s">
        <v>46</v>
      </c>
      <c r="F296" s="146">
        <f>6+4</f>
        <v>10</v>
      </c>
      <c r="G296" s="169"/>
      <c r="H296" s="52">
        <v>0.23599999999999999</v>
      </c>
      <c r="I296" s="159">
        <f t="shared" si="188"/>
        <v>2.36</v>
      </c>
      <c r="J296" s="160">
        <f>I296*Summary!$H$4</f>
        <v>407.09999999999997</v>
      </c>
      <c r="K296" s="52"/>
      <c r="L296" s="56">
        <v>0</v>
      </c>
      <c r="M296" s="84">
        <f t="shared" si="189"/>
        <v>0</v>
      </c>
      <c r="N296" s="167">
        <f t="shared" si="190"/>
        <v>407.09999999999997</v>
      </c>
      <c r="Q296" s="349"/>
      <c r="R296" s="349"/>
    </row>
    <row r="297" spans="2:18" outlineLevel="1" x14ac:dyDescent="0.25">
      <c r="B297" s="158"/>
      <c r="C297" s="612" t="s">
        <v>908</v>
      </c>
      <c r="D297" s="11" t="s">
        <v>46</v>
      </c>
      <c r="E297" s="11" t="s">
        <v>46</v>
      </c>
      <c r="F297" s="146">
        <v>5</v>
      </c>
      <c r="G297" s="169"/>
      <c r="H297" s="52">
        <v>0.371</v>
      </c>
      <c r="I297" s="159">
        <f t="shared" si="188"/>
        <v>1.855</v>
      </c>
      <c r="J297" s="160">
        <f>I297*Summary!$H$4</f>
        <v>319.98750000000001</v>
      </c>
      <c r="K297" s="52"/>
      <c r="L297" s="56">
        <v>0</v>
      </c>
      <c r="M297" s="84">
        <f t="shared" si="189"/>
        <v>0</v>
      </c>
      <c r="N297" s="167">
        <f t="shared" si="190"/>
        <v>319.98750000000001</v>
      </c>
      <c r="Q297" s="349"/>
      <c r="R297" s="349"/>
    </row>
    <row r="298" spans="2:18" outlineLevel="1" x14ac:dyDescent="0.25">
      <c r="B298" s="158"/>
      <c r="C298" s="15" t="s">
        <v>909</v>
      </c>
      <c r="D298" s="11" t="s">
        <v>46</v>
      </c>
      <c r="E298" s="11" t="s">
        <v>46</v>
      </c>
      <c r="F298" s="146">
        <v>3</v>
      </c>
      <c r="G298" s="169"/>
      <c r="H298" s="52">
        <v>0.107</v>
      </c>
      <c r="I298" s="159">
        <f t="shared" si="188"/>
        <v>0.32100000000000001</v>
      </c>
      <c r="J298" s="160">
        <f>I298*Summary!$H$4</f>
        <v>55.372500000000002</v>
      </c>
      <c r="K298" s="52"/>
      <c r="L298" s="56">
        <v>0</v>
      </c>
      <c r="M298" s="84">
        <f t="shared" si="189"/>
        <v>0</v>
      </c>
      <c r="N298" s="167">
        <f t="shared" si="190"/>
        <v>55.372500000000002</v>
      </c>
      <c r="Q298" s="349"/>
      <c r="R298" s="349"/>
    </row>
    <row r="299" spans="2:18" outlineLevel="1" x14ac:dyDescent="0.25">
      <c r="B299" s="158"/>
      <c r="C299" s="15" t="s">
        <v>910</v>
      </c>
      <c r="D299" s="11" t="s">
        <v>46</v>
      </c>
      <c r="E299" s="11" t="s">
        <v>46</v>
      </c>
      <c r="F299" s="146">
        <v>1</v>
      </c>
      <c r="G299" s="169"/>
      <c r="H299" s="52">
        <v>0.15</v>
      </c>
      <c r="I299" s="159">
        <f t="shared" si="188"/>
        <v>0.15</v>
      </c>
      <c r="J299" s="160">
        <f>I299*Summary!$H$4</f>
        <v>25.875</v>
      </c>
      <c r="K299" s="52"/>
      <c r="L299" s="56">
        <v>0</v>
      </c>
      <c r="M299" s="84">
        <f t="shared" si="189"/>
        <v>0</v>
      </c>
      <c r="N299" s="167">
        <f t="shared" si="190"/>
        <v>25.875</v>
      </c>
      <c r="Q299" s="349"/>
      <c r="R299" s="349"/>
    </row>
    <row r="300" spans="2:18" outlineLevel="1" x14ac:dyDescent="0.25">
      <c r="B300" s="158"/>
      <c r="C300" s="15" t="s">
        <v>911</v>
      </c>
      <c r="D300" s="11" t="s">
        <v>46</v>
      </c>
      <c r="E300" s="11" t="s">
        <v>46</v>
      </c>
      <c r="F300" s="146">
        <v>2</v>
      </c>
      <c r="G300" s="169"/>
      <c r="H300" s="52">
        <v>0.193</v>
      </c>
      <c r="I300" s="159">
        <f t="shared" si="188"/>
        <v>0.38600000000000001</v>
      </c>
      <c r="J300" s="160">
        <f>I300*Summary!$H$4</f>
        <v>66.585000000000008</v>
      </c>
      <c r="K300" s="52"/>
      <c r="L300" s="56">
        <v>0</v>
      </c>
      <c r="M300" s="84">
        <f t="shared" si="189"/>
        <v>0</v>
      </c>
      <c r="N300" s="167">
        <f t="shared" si="190"/>
        <v>66.585000000000008</v>
      </c>
      <c r="Q300" s="349"/>
      <c r="R300" s="349"/>
    </row>
    <row r="301" spans="2:18" outlineLevel="1" x14ac:dyDescent="0.25">
      <c r="B301" s="227"/>
      <c r="C301" s="612" t="s">
        <v>913</v>
      </c>
      <c r="D301" s="11" t="s">
        <v>46</v>
      </c>
      <c r="E301" s="11" t="s">
        <v>46</v>
      </c>
      <c r="F301" s="146">
        <v>1</v>
      </c>
      <c r="G301" s="169"/>
      <c r="H301" s="52">
        <v>0.24</v>
      </c>
      <c r="I301" s="159">
        <f t="shared" si="188"/>
        <v>0.24</v>
      </c>
      <c r="J301" s="160">
        <f>I301*Summary!$H$4</f>
        <v>41.4</v>
      </c>
      <c r="K301" s="52"/>
      <c r="L301" s="56">
        <v>0</v>
      </c>
      <c r="M301" s="84">
        <f>((F301+G301)*K301)+((F301+G301)*L301)</f>
        <v>0</v>
      </c>
      <c r="N301" s="167">
        <f>M301+J301</f>
        <v>41.4</v>
      </c>
      <c r="Q301" s="349"/>
      <c r="R301" s="349"/>
    </row>
    <row r="302" spans="2:18" ht="15" customHeight="1" outlineLevel="1" x14ac:dyDescent="0.25">
      <c r="B302" s="158"/>
      <c r="C302" s="612" t="s">
        <v>914</v>
      </c>
      <c r="D302" s="11" t="s">
        <v>46</v>
      </c>
      <c r="E302" s="11" t="s">
        <v>46</v>
      </c>
      <c r="F302" s="146">
        <v>1</v>
      </c>
      <c r="G302" s="169"/>
      <c r="H302" s="52">
        <v>0.34</v>
      </c>
      <c r="I302" s="159">
        <f t="shared" si="188"/>
        <v>0.34</v>
      </c>
      <c r="J302" s="160">
        <f>I302*Summary!$H$4</f>
        <v>58.650000000000006</v>
      </c>
      <c r="K302" s="52"/>
      <c r="L302" s="56">
        <v>0</v>
      </c>
      <c r="M302" s="84">
        <f t="shared" ref="M302:M306" si="191">((F302+G302)*K302)+((F302+G302)*L302)</f>
        <v>0</v>
      </c>
      <c r="N302" s="167">
        <f t="shared" ref="N302:N306" si="192">M302+J302</f>
        <v>58.650000000000006</v>
      </c>
      <c r="Q302" s="349"/>
      <c r="R302" s="349"/>
    </row>
    <row r="303" spans="2:18" outlineLevel="1" x14ac:dyDescent="0.25">
      <c r="B303" s="158"/>
      <c r="C303" t="s">
        <v>915</v>
      </c>
      <c r="D303" s="11" t="s">
        <v>46</v>
      </c>
      <c r="E303" s="11" t="s">
        <v>46</v>
      </c>
      <c r="F303" s="146">
        <v>3</v>
      </c>
      <c r="G303" s="169"/>
      <c r="H303" s="52">
        <v>0.129</v>
      </c>
      <c r="I303" s="159">
        <f t="shared" si="188"/>
        <v>0.38700000000000001</v>
      </c>
      <c r="J303" s="160">
        <f>I303*Summary!$H$4</f>
        <v>66.757500000000007</v>
      </c>
      <c r="K303" s="52"/>
      <c r="L303" s="56">
        <v>0</v>
      </c>
      <c r="M303" s="84">
        <f t="shared" si="191"/>
        <v>0</v>
      </c>
      <c r="N303" s="167">
        <f t="shared" si="192"/>
        <v>66.757500000000007</v>
      </c>
      <c r="Q303" s="349"/>
      <c r="R303" s="349"/>
    </row>
    <row r="304" spans="2:18" outlineLevel="1" x14ac:dyDescent="0.25">
      <c r="B304" s="158"/>
      <c r="C304" t="s">
        <v>916</v>
      </c>
      <c r="D304" s="11" t="s">
        <v>46</v>
      </c>
      <c r="E304" s="11" t="s">
        <v>46</v>
      </c>
      <c r="F304" s="146">
        <v>4</v>
      </c>
      <c r="G304" s="169"/>
      <c r="H304" s="52">
        <v>0.18099999999999999</v>
      </c>
      <c r="I304" s="159">
        <f t="shared" si="188"/>
        <v>0.72399999999999998</v>
      </c>
      <c r="J304" s="160">
        <f>I304*Summary!$H$4</f>
        <v>124.89</v>
      </c>
      <c r="K304" s="52"/>
      <c r="L304" s="56">
        <v>0</v>
      </c>
      <c r="M304" s="84">
        <f t="shared" si="191"/>
        <v>0</v>
      </c>
      <c r="N304" s="167">
        <f t="shared" si="192"/>
        <v>124.89</v>
      </c>
      <c r="Q304" s="349"/>
      <c r="R304" s="349"/>
    </row>
    <row r="305" spans="2:18" outlineLevel="1" x14ac:dyDescent="0.25">
      <c r="B305" s="158"/>
      <c r="C305" t="s">
        <v>917</v>
      </c>
      <c r="D305" s="11" t="s">
        <v>46</v>
      </c>
      <c r="E305" s="11" t="s">
        <v>46</v>
      </c>
      <c r="F305" s="146">
        <v>1</v>
      </c>
      <c r="G305" s="169"/>
      <c r="H305" s="52">
        <v>0.23300000000000001</v>
      </c>
      <c r="I305" s="159">
        <f t="shared" si="188"/>
        <v>0.23300000000000001</v>
      </c>
      <c r="J305" s="160">
        <f>I305*Summary!$H$4</f>
        <v>40.192500000000003</v>
      </c>
      <c r="K305" s="52"/>
      <c r="L305" s="56">
        <v>0</v>
      </c>
      <c r="M305" s="84">
        <f t="shared" si="191"/>
        <v>0</v>
      </c>
      <c r="N305" s="167">
        <f t="shared" si="192"/>
        <v>40.192500000000003</v>
      </c>
      <c r="Q305" s="349"/>
      <c r="R305" s="349"/>
    </row>
    <row r="306" spans="2:18" outlineLevel="1" x14ac:dyDescent="0.25">
      <c r="B306" s="158"/>
      <c r="C306" t="s">
        <v>918</v>
      </c>
      <c r="D306" s="11" t="s">
        <v>46</v>
      </c>
      <c r="E306" s="11" t="s">
        <v>46</v>
      </c>
      <c r="F306" s="146">
        <v>2</v>
      </c>
      <c r="G306" s="169"/>
      <c r="H306" s="52">
        <v>0.28499999999999998</v>
      </c>
      <c r="I306" s="159">
        <f t="shared" si="188"/>
        <v>0.56999999999999995</v>
      </c>
      <c r="J306" s="160">
        <f>I306*Summary!$H$4</f>
        <v>98.324999999999989</v>
      </c>
      <c r="K306" s="52"/>
      <c r="L306" s="56">
        <v>0</v>
      </c>
      <c r="M306" s="84">
        <f t="shared" si="191"/>
        <v>0</v>
      </c>
      <c r="N306" s="167">
        <f t="shared" si="192"/>
        <v>98.324999999999989</v>
      </c>
      <c r="Q306" s="349"/>
      <c r="R306" s="349"/>
    </row>
    <row r="307" spans="2:18" outlineLevel="1" x14ac:dyDescent="0.25">
      <c r="B307" s="158"/>
      <c r="C307" t="s">
        <v>919</v>
      </c>
      <c r="D307" s="11" t="s">
        <v>46</v>
      </c>
      <c r="E307" s="11" t="s">
        <v>46</v>
      </c>
      <c r="F307" s="146">
        <v>1</v>
      </c>
      <c r="G307" s="169"/>
      <c r="H307" s="52">
        <v>0.33700000000000002</v>
      </c>
      <c r="I307" s="159">
        <f t="shared" si="188"/>
        <v>0.33700000000000002</v>
      </c>
      <c r="J307" s="160">
        <f>I307*Summary!$H$4</f>
        <v>58.1325</v>
      </c>
      <c r="K307" s="52"/>
      <c r="L307" s="56">
        <v>0</v>
      </c>
      <c r="M307" s="84">
        <f t="shared" si="189"/>
        <v>0</v>
      </c>
      <c r="N307" s="167">
        <f t="shared" si="190"/>
        <v>58.1325</v>
      </c>
      <c r="Q307" s="349"/>
      <c r="R307" s="349"/>
    </row>
    <row r="308" spans="2:18" outlineLevel="1" x14ac:dyDescent="0.25">
      <c r="B308" s="158"/>
      <c r="C308" t="s">
        <v>920</v>
      </c>
      <c r="D308" s="11" t="s">
        <v>46</v>
      </c>
      <c r="E308" s="11" t="s">
        <v>46</v>
      </c>
      <c r="F308" s="146">
        <v>2</v>
      </c>
      <c r="G308" s="169"/>
      <c r="H308" s="52">
        <v>0.19500000000000001</v>
      </c>
      <c r="I308" s="159">
        <f t="shared" si="188"/>
        <v>0.39</v>
      </c>
      <c r="J308" s="160">
        <f>I308*Summary!$H$4</f>
        <v>67.275000000000006</v>
      </c>
      <c r="K308" s="52"/>
      <c r="L308" s="56">
        <v>0</v>
      </c>
      <c r="M308" s="84">
        <f t="shared" ref="M308:M312" si="193">((F308+G308)*K308)+((F308+G308)*L308)</f>
        <v>0</v>
      </c>
      <c r="N308" s="167">
        <f t="shared" ref="N308:N312" si="194">M308+J308</f>
        <v>67.275000000000006</v>
      </c>
      <c r="Q308" s="349"/>
      <c r="R308" s="349"/>
    </row>
    <row r="309" spans="2:18" outlineLevel="1" x14ac:dyDescent="0.25">
      <c r="B309" s="158"/>
      <c r="C309" t="s">
        <v>921</v>
      </c>
      <c r="D309" s="11" t="s">
        <v>46</v>
      </c>
      <c r="E309" s="11" t="s">
        <v>46</v>
      </c>
      <c r="F309" s="146">
        <v>7</v>
      </c>
      <c r="G309" s="169"/>
      <c r="H309" s="52">
        <v>0.22500000000000001</v>
      </c>
      <c r="I309" s="159">
        <f t="shared" si="188"/>
        <v>1.575</v>
      </c>
      <c r="J309" s="160">
        <f>I309*Summary!$H$4</f>
        <v>271.6875</v>
      </c>
      <c r="K309" s="52"/>
      <c r="L309" s="56">
        <v>0</v>
      </c>
      <c r="M309" s="84">
        <f t="shared" si="193"/>
        <v>0</v>
      </c>
      <c r="N309" s="167">
        <f t="shared" si="194"/>
        <v>271.6875</v>
      </c>
      <c r="Q309" s="349"/>
      <c r="R309" s="349"/>
    </row>
    <row r="310" spans="2:18" outlineLevel="1" x14ac:dyDescent="0.25">
      <c r="B310" s="158"/>
      <c r="C310" t="s">
        <v>922</v>
      </c>
      <c r="D310" s="11" t="s">
        <v>46</v>
      </c>
      <c r="E310" s="11" t="s">
        <v>46</v>
      </c>
      <c r="F310" s="146">
        <v>1</v>
      </c>
      <c r="G310" s="169"/>
      <c r="H310" s="52">
        <v>0.247</v>
      </c>
      <c r="I310" s="159">
        <f t="shared" si="188"/>
        <v>0.247</v>
      </c>
      <c r="J310" s="160">
        <f>I310*Summary!$H$4</f>
        <v>42.607500000000002</v>
      </c>
      <c r="K310" s="52"/>
      <c r="L310" s="56">
        <v>0</v>
      </c>
      <c r="M310" s="84">
        <f t="shared" si="193"/>
        <v>0</v>
      </c>
      <c r="N310" s="167">
        <f t="shared" si="194"/>
        <v>42.607500000000002</v>
      </c>
      <c r="Q310" s="349"/>
      <c r="R310" s="349"/>
    </row>
    <row r="311" spans="2:18" outlineLevel="1" x14ac:dyDescent="0.25">
      <c r="B311" s="158"/>
      <c r="C311" t="s">
        <v>923</v>
      </c>
      <c r="D311" s="11" t="s">
        <v>46</v>
      </c>
      <c r="E311" s="11" t="s">
        <v>46</v>
      </c>
      <c r="F311" s="146">
        <v>1</v>
      </c>
      <c r="G311" s="169"/>
      <c r="H311" s="52">
        <v>0.68</v>
      </c>
      <c r="I311" s="159">
        <f t="shared" si="188"/>
        <v>0.68</v>
      </c>
      <c r="J311" s="160">
        <f>I311*Summary!$H$4</f>
        <v>117.30000000000001</v>
      </c>
      <c r="K311" s="52"/>
      <c r="L311" s="56">
        <v>0</v>
      </c>
      <c r="M311" s="84">
        <f t="shared" si="193"/>
        <v>0</v>
      </c>
      <c r="N311" s="167">
        <f t="shared" si="194"/>
        <v>117.30000000000001</v>
      </c>
      <c r="Q311" s="349"/>
      <c r="R311" s="349"/>
    </row>
    <row r="312" spans="2:18" outlineLevel="1" x14ac:dyDescent="0.25">
      <c r="B312" s="158"/>
      <c r="C312" t="s">
        <v>924</v>
      </c>
      <c r="D312" s="11" t="s">
        <v>46</v>
      </c>
      <c r="E312" s="11" t="s">
        <v>46</v>
      </c>
      <c r="F312" s="146">
        <v>1</v>
      </c>
      <c r="G312" s="169"/>
      <c r="H312" s="52">
        <v>0.30199999999999999</v>
      </c>
      <c r="I312" s="159">
        <f t="shared" si="188"/>
        <v>0.30199999999999999</v>
      </c>
      <c r="J312" s="160">
        <f>I312*Summary!$H$4</f>
        <v>52.094999999999999</v>
      </c>
      <c r="K312" s="52"/>
      <c r="L312" s="56">
        <v>0</v>
      </c>
      <c r="M312" s="84">
        <f t="shared" si="193"/>
        <v>0</v>
      </c>
      <c r="N312" s="167">
        <f t="shared" si="194"/>
        <v>52.094999999999999</v>
      </c>
      <c r="Q312" s="349"/>
      <c r="R312" s="349"/>
    </row>
    <row r="313" spans="2:18" outlineLevel="1" x14ac:dyDescent="0.25">
      <c r="B313" s="158"/>
      <c r="C313" t="s">
        <v>925</v>
      </c>
      <c r="D313" s="11" t="s">
        <v>46</v>
      </c>
      <c r="E313" s="11" t="s">
        <v>46</v>
      </c>
      <c r="F313" s="146">
        <v>1</v>
      </c>
      <c r="G313" s="169"/>
      <c r="H313" s="52">
        <v>0.32500000000000001</v>
      </c>
      <c r="I313" s="159">
        <f t="shared" si="188"/>
        <v>0.32500000000000001</v>
      </c>
      <c r="J313" s="160">
        <f>I313*Summary!$H$4</f>
        <v>56.0625</v>
      </c>
      <c r="K313" s="52"/>
      <c r="L313" s="56">
        <v>0</v>
      </c>
      <c r="M313" s="84">
        <f t="shared" si="189"/>
        <v>0</v>
      </c>
      <c r="N313" s="167">
        <f t="shared" si="190"/>
        <v>56.0625</v>
      </c>
      <c r="Q313" s="349"/>
      <c r="R313" s="349"/>
    </row>
    <row r="314" spans="2:18" outlineLevel="1" x14ac:dyDescent="0.25">
      <c r="B314" s="158"/>
      <c r="C314" t="s">
        <v>926</v>
      </c>
      <c r="D314" s="11" t="s">
        <v>46</v>
      </c>
      <c r="E314" s="11" t="s">
        <v>46</v>
      </c>
      <c r="F314" s="146">
        <v>2</v>
      </c>
      <c r="G314" s="169"/>
      <c r="H314" s="52">
        <v>0.373</v>
      </c>
      <c r="I314" s="159">
        <f t="shared" si="188"/>
        <v>0.746</v>
      </c>
      <c r="J314" s="160">
        <f>I314*Summary!$H$4</f>
        <v>128.685</v>
      </c>
      <c r="K314" s="52"/>
      <c r="L314" s="56">
        <v>0</v>
      </c>
      <c r="M314" s="84">
        <f t="shared" si="189"/>
        <v>0</v>
      </c>
      <c r="N314" s="167">
        <f t="shared" si="190"/>
        <v>128.685</v>
      </c>
      <c r="Q314" s="349"/>
      <c r="R314" s="349"/>
    </row>
    <row r="315" spans="2:18" outlineLevel="1" x14ac:dyDescent="0.25">
      <c r="B315" s="158"/>
      <c r="C315" t="s">
        <v>927</v>
      </c>
      <c r="D315" s="11" t="s">
        <v>46</v>
      </c>
      <c r="E315" s="11" t="s">
        <v>46</v>
      </c>
      <c r="F315" s="146">
        <v>1</v>
      </c>
      <c r="G315" s="169"/>
      <c r="H315" s="52">
        <v>0.15</v>
      </c>
      <c r="I315" s="159">
        <f t="shared" si="188"/>
        <v>0.15</v>
      </c>
      <c r="J315" s="160">
        <f>I315*Summary!$H$4</f>
        <v>25.875</v>
      </c>
      <c r="K315" s="52"/>
      <c r="L315" s="56">
        <v>0</v>
      </c>
      <c r="M315" s="84">
        <f t="shared" si="189"/>
        <v>0</v>
      </c>
      <c r="N315" s="167">
        <f t="shared" si="190"/>
        <v>25.875</v>
      </c>
      <c r="Q315" s="349"/>
      <c r="R315" s="349"/>
    </row>
    <row r="316" spans="2:18" outlineLevel="1" x14ac:dyDescent="0.25">
      <c r="B316" s="158"/>
      <c r="C316" t="s">
        <v>928</v>
      </c>
      <c r="D316" s="11" t="s">
        <v>46</v>
      </c>
      <c r="E316" s="11" t="s">
        <v>46</v>
      </c>
      <c r="F316" s="146">
        <v>1</v>
      </c>
      <c r="G316" s="169"/>
      <c r="H316" s="52">
        <v>0.17199999999999999</v>
      </c>
      <c r="I316" s="159">
        <f t="shared" si="188"/>
        <v>0.17199999999999999</v>
      </c>
      <c r="J316" s="160">
        <f>I316*Summary!$H$4</f>
        <v>29.669999999999998</v>
      </c>
      <c r="K316" s="52"/>
      <c r="L316" s="56">
        <v>0</v>
      </c>
      <c r="M316" s="84">
        <f t="shared" si="189"/>
        <v>0</v>
      </c>
      <c r="N316" s="167">
        <f t="shared" si="190"/>
        <v>29.669999999999998</v>
      </c>
      <c r="Q316" s="349"/>
      <c r="R316" s="349"/>
    </row>
    <row r="317" spans="2:18" outlineLevel="1" x14ac:dyDescent="0.25">
      <c r="B317" s="158"/>
      <c r="C317" t="s">
        <v>929</v>
      </c>
      <c r="D317" s="11" t="s">
        <v>46</v>
      </c>
      <c r="E317" s="11" t="s">
        <v>46</v>
      </c>
      <c r="F317" s="146">
        <v>1</v>
      </c>
      <c r="G317" s="169"/>
      <c r="H317" s="52">
        <v>0.23599999999999999</v>
      </c>
      <c r="I317" s="159">
        <f t="shared" si="188"/>
        <v>0.23599999999999999</v>
      </c>
      <c r="J317" s="160">
        <f>I317*Summary!$H$4</f>
        <v>40.71</v>
      </c>
      <c r="K317" s="52"/>
      <c r="L317" s="56">
        <v>0</v>
      </c>
      <c r="M317" s="84">
        <f t="shared" ref="M317:M319" si="195">((F317+G317)*K317)+((F317+G317)*L317)</f>
        <v>0</v>
      </c>
      <c r="N317" s="167">
        <f t="shared" ref="N317:N319" si="196">M317+J317</f>
        <v>40.71</v>
      </c>
      <c r="Q317" s="349"/>
      <c r="R317" s="349"/>
    </row>
    <row r="318" spans="2:18" outlineLevel="1" x14ac:dyDescent="0.25">
      <c r="B318" s="158"/>
      <c r="C318" t="s">
        <v>1004</v>
      </c>
      <c r="D318" s="11" t="s">
        <v>46</v>
      </c>
      <c r="E318" s="11" t="s">
        <v>46</v>
      </c>
      <c r="F318" s="146">
        <v>1</v>
      </c>
      <c r="G318" s="169"/>
      <c r="H318" s="52">
        <v>0.15</v>
      </c>
      <c r="I318" s="159">
        <f t="shared" si="188"/>
        <v>0.15</v>
      </c>
      <c r="J318" s="160">
        <f>I318*Summary!$H$4</f>
        <v>25.875</v>
      </c>
      <c r="K318" s="52"/>
      <c r="L318" s="56">
        <v>0</v>
      </c>
      <c r="M318" s="84">
        <f t="shared" si="195"/>
        <v>0</v>
      </c>
      <c r="N318" s="167">
        <f t="shared" si="196"/>
        <v>25.875</v>
      </c>
      <c r="Q318" s="349"/>
      <c r="R318" s="349"/>
    </row>
    <row r="319" spans="2:18" outlineLevel="1" x14ac:dyDescent="0.25">
      <c r="B319" s="158"/>
      <c r="C319" t="s">
        <v>1003</v>
      </c>
      <c r="D319" s="11" t="s">
        <v>46</v>
      </c>
      <c r="E319" s="11" t="s">
        <v>46</v>
      </c>
      <c r="F319" s="146">
        <v>1</v>
      </c>
      <c r="G319" s="169"/>
      <c r="H319" s="52">
        <v>0.193</v>
      </c>
      <c r="I319" s="159">
        <f t="shared" si="188"/>
        <v>0.193</v>
      </c>
      <c r="J319" s="160">
        <f>I319*Summary!$H$4</f>
        <v>33.292500000000004</v>
      </c>
      <c r="K319" s="52"/>
      <c r="L319" s="56">
        <v>0</v>
      </c>
      <c r="M319" s="84">
        <f t="shared" si="195"/>
        <v>0</v>
      </c>
      <c r="N319" s="167">
        <f t="shared" si="196"/>
        <v>33.292500000000004</v>
      </c>
      <c r="Q319" s="349"/>
      <c r="R319" s="349"/>
    </row>
    <row r="320" spans="2:18" outlineLevel="1" x14ac:dyDescent="0.25">
      <c r="B320" s="158"/>
      <c r="C320" t="s">
        <v>1005</v>
      </c>
      <c r="D320" s="11" t="s">
        <v>46</v>
      </c>
      <c r="E320" s="11" t="s">
        <v>46</v>
      </c>
      <c r="F320" s="146">
        <v>1</v>
      </c>
      <c r="G320" s="169"/>
      <c r="H320" s="52">
        <v>0.23599999999999999</v>
      </c>
      <c r="I320" s="159">
        <f t="shared" ref="I320" si="197">(F320+G320)*H320</f>
        <v>0.23599999999999999</v>
      </c>
      <c r="J320" s="160">
        <f>I320*Summary!$H$4</f>
        <v>40.71</v>
      </c>
      <c r="K320" s="52"/>
      <c r="L320" s="56">
        <v>0</v>
      </c>
      <c r="M320" s="84">
        <f t="shared" ref="M320" si="198">((F320+G320)*K320)+((F320+G320)*L320)</f>
        <v>0</v>
      </c>
      <c r="N320" s="167">
        <f t="shared" ref="N320" si="199">M320+J320</f>
        <v>40.71</v>
      </c>
      <c r="Q320" s="349"/>
      <c r="R320" s="349"/>
    </row>
    <row r="321" spans="2:18" outlineLevel="1" x14ac:dyDescent="0.25">
      <c r="B321" s="158"/>
      <c r="C321" t="s">
        <v>981</v>
      </c>
      <c r="D321" s="11" t="s">
        <v>46</v>
      </c>
      <c r="E321" s="11" t="s">
        <v>46</v>
      </c>
      <c r="F321" s="146">
        <v>2</v>
      </c>
      <c r="G321" s="169"/>
      <c r="H321" s="52">
        <v>7.4999999999999997E-2</v>
      </c>
      <c r="I321" s="159">
        <f t="shared" ref="I321:I322" si="200">(F321+G321)*H321</f>
        <v>0.15</v>
      </c>
      <c r="J321" s="160">
        <f>I321*Summary!$H$4</f>
        <v>25.875</v>
      </c>
      <c r="K321" s="52"/>
      <c r="L321" s="56">
        <v>0</v>
      </c>
      <c r="M321" s="84">
        <f t="shared" ref="M321:M322" si="201">((F321+G321)*K321)+((F321+G321)*L321)</f>
        <v>0</v>
      </c>
      <c r="N321" s="167">
        <f t="shared" ref="N321:N322" si="202">M321+J321</f>
        <v>25.875</v>
      </c>
      <c r="Q321" s="349"/>
      <c r="R321" s="349"/>
    </row>
    <row r="322" spans="2:18" outlineLevel="1" x14ac:dyDescent="0.25">
      <c r="B322" s="158"/>
      <c r="C322" t="s">
        <v>985</v>
      </c>
      <c r="D322" s="11" t="s">
        <v>46</v>
      </c>
      <c r="E322" s="11" t="s">
        <v>46</v>
      </c>
      <c r="F322" s="146">
        <v>2</v>
      </c>
      <c r="G322" s="169"/>
      <c r="H322" s="52">
        <v>7.4999999999999997E-2</v>
      </c>
      <c r="I322" s="159">
        <f t="shared" si="200"/>
        <v>0.15</v>
      </c>
      <c r="J322" s="160">
        <f>I322*Summary!$H$4</f>
        <v>25.875</v>
      </c>
      <c r="K322" s="52"/>
      <c r="L322" s="56">
        <v>0</v>
      </c>
      <c r="M322" s="84">
        <f t="shared" si="201"/>
        <v>0</v>
      </c>
      <c r="N322" s="167">
        <f t="shared" si="202"/>
        <v>25.875</v>
      </c>
      <c r="Q322" s="349"/>
      <c r="R322" s="349"/>
    </row>
    <row r="323" spans="2:18" x14ac:dyDescent="0.25">
      <c r="B323" s="158"/>
      <c r="C323" s="10"/>
      <c r="G323" s="171"/>
      <c r="H323" s="52"/>
      <c r="I323" s="82"/>
      <c r="J323" s="51"/>
      <c r="L323" s="56"/>
      <c r="M323" s="170"/>
      <c r="N323" s="172"/>
      <c r="Q323" s="349"/>
      <c r="R323" s="349"/>
    </row>
    <row r="324" spans="2:18" x14ac:dyDescent="0.25">
      <c r="B324" s="86" t="s">
        <v>559</v>
      </c>
      <c r="C324" s="537" t="s">
        <v>983</v>
      </c>
      <c r="G324" s="169"/>
      <c r="H324" s="52"/>
      <c r="I324" s="82"/>
      <c r="J324" s="170"/>
      <c r="K324" s="52"/>
      <c r="L324" s="56"/>
      <c r="M324" s="84"/>
      <c r="N324" s="167"/>
      <c r="Q324" s="349"/>
      <c r="R324" s="349"/>
    </row>
    <row r="325" spans="2:18" outlineLevel="1" x14ac:dyDescent="0.25">
      <c r="B325" s="210"/>
      <c r="C325" s="15" t="s">
        <v>909</v>
      </c>
      <c r="D325" s="11" t="s">
        <v>46</v>
      </c>
      <c r="E325" s="11" t="s">
        <v>46</v>
      </c>
      <c r="F325" s="146">
        <v>1</v>
      </c>
      <c r="G325" s="169"/>
      <c r="H325" s="52">
        <v>0.107</v>
      </c>
      <c r="I325" s="159">
        <f t="shared" ref="I325:I330" si="203">(F325+G325)*H325</f>
        <v>0.107</v>
      </c>
      <c r="J325" s="160">
        <f>I325*Summary!$H$4</f>
        <v>18.4575</v>
      </c>
      <c r="K325" s="52"/>
      <c r="L325" s="56">
        <v>0</v>
      </c>
      <c r="M325" s="84">
        <f t="shared" ref="M325:M330" si="204">((F325+G325)*K325)+((F325+G325)*L325)</f>
        <v>0</v>
      </c>
      <c r="N325" s="167">
        <f t="shared" ref="N325:N330" si="205">M325+J325</f>
        <v>18.4575</v>
      </c>
      <c r="Q325" s="349"/>
      <c r="R325" s="349"/>
    </row>
    <row r="326" spans="2:18" outlineLevel="1" x14ac:dyDescent="0.25">
      <c r="B326" s="210"/>
      <c r="C326" s="15" t="s">
        <v>904</v>
      </c>
      <c r="D326" s="11" t="s">
        <v>46</v>
      </c>
      <c r="E326" s="11" t="s">
        <v>46</v>
      </c>
      <c r="F326" s="146">
        <v>1</v>
      </c>
      <c r="G326" s="169"/>
      <c r="H326" s="52">
        <v>0.107</v>
      </c>
      <c r="I326" s="159">
        <f t="shared" si="203"/>
        <v>0.107</v>
      </c>
      <c r="J326" s="160">
        <f>I326*Summary!$H$4</f>
        <v>18.4575</v>
      </c>
      <c r="K326" s="52"/>
      <c r="L326" s="56">
        <v>0</v>
      </c>
      <c r="M326" s="84">
        <f t="shared" si="204"/>
        <v>0</v>
      </c>
      <c r="N326" s="167">
        <f t="shared" si="205"/>
        <v>18.4575</v>
      </c>
      <c r="Q326" s="349"/>
      <c r="R326" s="349"/>
    </row>
    <row r="327" spans="2:18" outlineLevel="1" x14ac:dyDescent="0.25">
      <c r="B327" s="210"/>
      <c r="C327" s="15" t="s">
        <v>905</v>
      </c>
      <c r="D327" s="11" t="s">
        <v>46</v>
      </c>
      <c r="E327" s="11" t="s">
        <v>46</v>
      </c>
      <c r="F327" s="146">
        <v>4</v>
      </c>
      <c r="G327" s="169"/>
      <c r="H327" s="52">
        <v>0.15</v>
      </c>
      <c r="I327" s="159">
        <f t="shared" si="203"/>
        <v>0.6</v>
      </c>
      <c r="J327" s="160">
        <f>I327*Summary!$H$4</f>
        <v>103.5</v>
      </c>
      <c r="K327" s="52"/>
      <c r="L327" s="56">
        <v>0</v>
      </c>
      <c r="M327" s="84">
        <f t="shared" si="204"/>
        <v>0</v>
      </c>
      <c r="N327" s="167">
        <f t="shared" si="205"/>
        <v>103.5</v>
      </c>
      <c r="Q327" s="349"/>
      <c r="R327" s="349"/>
    </row>
    <row r="328" spans="2:18" outlineLevel="1" x14ac:dyDescent="0.25">
      <c r="B328" s="210"/>
      <c r="C328" s="15" t="s">
        <v>906</v>
      </c>
      <c r="D328" s="11" t="s">
        <v>46</v>
      </c>
      <c r="E328" s="11" t="s">
        <v>46</v>
      </c>
      <c r="F328" s="146">
        <v>4</v>
      </c>
      <c r="G328" s="169"/>
      <c r="H328" s="52">
        <v>0.193</v>
      </c>
      <c r="I328" s="159">
        <f t="shared" si="203"/>
        <v>0.77200000000000002</v>
      </c>
      <c r="J328" s="160">
        <f>I328*Summary!$H$4</f>
        <v>133.17000000000002</v>
      </c>
      <c r="K328" s="52"/>
      <c r="L328" s="56">
        <v>0</v>
      </c>
      <c r="M328" s="84">
        <f t="shared" si="204"/>
        <v>0</v>
      </c>
      <c r="N328" s="167">
        <f t="shared" si="205"/>
        <v>133.17000000000002</v>
      </c>
      <c r="Q328" s="349"/>
      <c r="R328" s="349"/>
    </row>
    <row r="329" spans="2:18" outlineLevel="1" x14ac:dyDescent="0.25">
      <c r="B329" s="210"/>
      <c r="C329" t="s">
        <v>920</v>
      </c>
      <c r="D329" s="11" t="s">
        <v>46</v>
      </c>
      <c r="E329" s="11" t="s">
        <v>46</v>
      </c>
      <c r="F329" s="146">
        <v>2</v>
      </c>
      <c r="G329" s="169"/>
      <c r="H329" s="52">
        <v>0.19500000000000001</v>
      </c>
      <c r="I329" s="159">
        <f t="shared" si="203"/>
        <v>0.39</v>
      </c>
      <c r="J329" s="160">
        <f>I329*Summary!$H$4</f>
        <v>67.275000000000006</v>
      </c>
      <c r="K329" s="52"/>
      <c r="L329" s="56">
        <v>0</v>
      </c>
      <c r="M329" s="84">
        <f t="shared" si="204"/>
        <v>0</v>
      </c>
      <c r="N329" s="167">
        <f t="shared" si="205"/>
        <v>67.275000000000006</v>
      </c>
      <c r="Q329" s="349"/>
      <c r="R329" s="349"/>
    </row>
    <row r="330" spans="2:18" outlineLevel="1" x14ac:dyDescent="0.25">
      <c r="B330" s="210"/>
      <c r="C330" t="s">
        <v>930</v>
      </c>
      <c r="D330" s="11" t="s">
        <v>46</v>
      </c>
      <c r="E330" s="11" t="s">
        <v>46</v>
      </c>
      <c r="F330" s="146">
        <v>1</v>
      </c>
      <c r="G330" s="169"/>
      <c r="H330" s="52">
        <v>0.219</v>
      </c>
      <c r="I330" s="159">
        <f t="shared" si="203"/>
        <v>0.219</v>
      </c>
      <c r="J330" s="160">
        <f>I330*Summary!$H$4</f>
        <v>37.777500000000003</v>
      </c>
      <c r="K330" s="52"/>
      <c r="L330" s="56">
        <v>0</v>
      </c>
      <c r="M330" s="84">
        <f t="shared" si="204"/>
        <v>0</v>
      </c>
      <c r="N330" s="167">
        <f t="shared" si="205"/>
        <v>37.777500000000003</v>
      </c>
      <c r="Q330" s="349"/>
      <c r="R330" s="349"/>
    </row>
    <row r="331" spans="2:18" outlineLevel="1" x14ac:dyDescent="0.25">
      <c r="B331" s="210"/>
      <c r="C331" s="15" t="s">
        <v>1015</v>
      </c>
      <c r="D331" s="11" t="s">
        <v>46</v>
      </c>
      <c r="E331" s="11" t="s">
        <v>46</v>
      </c>
      <c r="F331" s="146">
        <v>2</v>
      </c>
      <c r="G331" s="169"/>
      <c r="H331" s="52"/>
      <c r="I331" s="159"/>
      <c r="J331" s="160"/>
      <c r="K331" s="52"/>
      <c r="L331" s="56"/>
      <c r="M331" s="84"/>
      <c r="N331" s="167"/>
      <c r="Q331" s="349"/>
      <c r="R331" s="349"/>
    </row>
    <row r="332" spans="2:18" x14ac:dyDescent="0.25">
      <c r="B332" s="210"/>
      <c r="C332" s="10"/>
      <c r="G332" s="169"/>
      <c r="H332" s="52"/>
      <c r="I332" s="82"/>
      <c r="J332" s="170"/>
      <c r="K332" s="52"/>
      <c r="L332" s="56"/>
      <c r="M332" s="84"/>
      <c r="N332" s="167"/>
      <c r="Q332" s="349"/>
      <c r="R332" s="349"/>
    </row>
    <row r="333" spans="2:18" x14ac:dyDescent="0.25">
      <c r="B333" s="86" t="s">
        <v>847</v>
      </c>
      <c r="C333" s="537" t="s">
        <v>983</v>
      </c>
      <c r="G333" s="169"/>
      <c r="H333" s="52"/>
      <c r="I333" s="82"/>
      <c r="J333" s="170"/>
      <c r="K333" s="52"/>
      <c r="L333" s="56"/>
      <c r="M333" s="84"/>
      <c r="N333" s="167"/>
      <c r="Q333" s="349"/>
      <c r="R333" s="349"/>
    </row>
    <row r="334" spans="2:18" outlineLevel="1" x14ac:dyDescent="0.25">
      <c r="B334" s="210"/>
      <c r="C334" t="s">
        <v>905</v>
      </c>
      <c r="D334" s="11" t="s">
        <v>46</v>
      </c>
      <c r="E334" s="11" t="s">
        <v>46</v>
      </c>
      <c r="F334" s="146">
        <f>3+9</f>
        <v>12</v>
      </c>
      <c r="G334" s="169" cm="1">
        <f t="array" ref="G334:G335">TRANSPOSE('Fixtures + Piping computation'!AK346:AL346)</f>
        <v>0</v>
      </c>
      <c r="H334" s="52">
        <v>0.15</v>
      </c>
      <c r="I334" s="159">
        <f t="shared" ref="I334:I336" si="206">(F334+G334)*H334</f>
        <v>1.7999999999999998</v>
      </c>
      <c r="J334" s="160">
        <f>I334*Summary!$H$4</f>
        <v>310.49999999999994</v>
      </c>
      <c r="K334" s="52"/>
      <c r="L334" s="56">
        <v>0</v>
      </c>
      <c r="M334" s="84">
        <f t="shared" ref="M334:M336" si="207">((F334+G334)*K334)+((F334+G334)*L334)</f>
        <v>0</v>
      </c>
      <c r="N334" s="167">
        <f t="shared" ref="N334:N336" si="208">M334+J334</f>
        <v>310.49999999999994</v>
      </c>
      <c r="Q334" s="349"/>
      <c r="R334" s="349"/>
    </row>
    <row r="335" spans="2:18" outlineLevel="1" x14ac:dyDescent="0.25">
      <c r="B335" s="210"/>
      <c r="C335" t="s">
        <v>916</v>
      </c>
      <c r="D335" s="11" t="s">
        <v>46</v>
      </c>
      <c r="E335" s="11" t="s">
        <v>46</v>
      </c>
      <c r="F335" s="146">
        <f>1+6</f>
        <v>7</v>
      </c>
      <c r="G335" s="169">
        <v>0</v>
      </c>
      <c r="H335" s="52">
        <v>0.18</v>
      </c>
      <c r="I335" s="159">
        <f t="shared" ref="I335" si="209">(F335+G335)*H335</f>
        <v>1.26</v>
      </c>
      <c r="J335" s="160">
        <f>I335*Summary!$H$4</f>
        <v>217.35</v>
      </c>
      <c r="K335" s="52"/>
      <c r="L335" s="56">
        <v>0</v>
      </c>
      <c r="M335" s="84">
        <f t="shared" ref="M335" si="210">((F335+G335)*K335)+((F335+G335)*L335)</f>
        <v>0</v>
      </c>
      <c r="N335" s="167">
        <f t="shared" ref="N335" si="211">M335+J335</f>
        <v>217.35</v>
      </c>
      <c r="Q335" s="349"/>
      <c r="R335" s="349"/>
    </row>
    <row r="336" spans="2:18" outlineLevel="1" x14ac:dyDescent="0.25">
      <c r="B336" s="210"/>
      <c r="C336" t="s">
        <v>1030</v>
      </c>
      <c r="D336" s="11" t="s">
        <v>46</v>
      </c>
      <c r="E336" s="11" t="s">
        <v>46</v>
      </c>
      <c r="F336" s="146">
        <v>1</v>
      </c>
      <c r="G336" s="169"/>
      <c r="H336" s="52">
        <v>0.15</v>
      </c>
      <c r="I336" s="159">
        <f t="shared" si="206"/>
        <v>0.15</v>
      </c>
      <c r="J336" s="160">
        <f>I336*Summary!$H$4</f>
        <v>25.875</v>
      </c>
      <c r="K336" s="52"/>
      <c r="L336" s="56">
        <v>0</v>
      </c>
      <c r="M336" s="84">
        <f t="shared" si="207"/>
        <v>0</v>
      </c>
      <c r="N336" s="167">
        <f t="shared" si="208"/>
        <v>25.875</v>
      </c>
      <c r="Q336" s="349"/>
      <c r="R336" s="349"/>
    </row>
    <row r="337" spans="2:18" s="43" customFormat="1" x14ac:dyDescent="0.25">
      <c r="B337" s="158"/>
      <c r="C337" s="109" t="s">
        <v>1025</v>
      </c>
      <c r="D337" s="11" t="s">
        <v>46</v>
      </c>
      <c r="E337" s="11" t="s">
        <v>46</v>
      </c>
      <c r="F337" s="146">
        <v>2</v>
      </c>
      <c r="H337" s="110">
        <v>0.17</v>
      </c>
      <c r="I337" s="159">
        <f>(F337+G337)*H337</f>
        <v>0.34</v>
      </c>
      <c r="J337" s="160">
        <f>I337*Summary!$H$4</f>
        <v>58.650000000000006</v>
      </c>
      <c r="K337" s="161"/>
      <c r="L337" s="161"/>
      <c r="M337" s="162">
        <f t="shared" ref="M337" si="212">((F337+G337)*K337)+((F337+G337)*L337)</f>
        <v>0</v>
      </c>
      <c r="N337" s="163">
        <f t="shared" ref="N337" si="213">M337+J337</f>
        <v>58.650000000000006</v>
      </c>
      <c r="O337" s="111"/>
      <c r="Q337" s="349"/>
      <c r="R337" s="349"/>
    </row>
    <row r="338" spans="2:18" s="43" customFormat="1" x14ac:dyDescent="0.25">
      <c r="B338" s="158"/>
      <c r="C338" s="109" t="s">
        <v>1024</v>
      </c>
      <c r="D338" s="11" t="s">
        <v>46</v>
      </c>
      <c r="E338" s="11" t="s">
        <v>46</v>
      </c>
      <c r="F338" s="146">
        <v>5</v>
      </c>
      <c r="H338" s="110">
        <v>0.105</v>
      </c>
      <c r="I338" s="159">
        <f t="shared" ref="I338" si="214">(F338+G338)*H338</f>
        <v>0.52500000000000002</v>
      </c>
      <c r="J338" s="160">
        <f>I338*Summary!$H$4</f>
        <v>90.5625</v>
      </c>
      <c r="K338" s="161"/>
      <c r="L338" s="161"/>
      <c r="M338" s="162">
        <f t="shared" ref="M338" si="215">((F338+G338)*K338)+((F338+G338)*L338)</f>
        <v>0</v>
      </c>
      <c r="N338" s="163">
        <f t="shared" ref="N338" si="216">M338+J338</f>
        <v>90.5625</v>
      </c>
      <c r="O338" s="111"/>
      <c r="Q338" s="349"/>
      <c r="R338" s="349"/>
    </row>
    <row r="339" spans="2:18" outlineLevel="1" x14ac:dyDescent="0.25">
      <c r="B339" s="210"/>
      <c r="C339" s="10"/>
      <c r="G339" s="169"/>
      <c r="H339" s="52"/>
      <c r="I339" s="82"/>
      <c r="J339" s="170"/>
      <c r="K339" s="52"/>
      <c r="L339" s="56"/>
      <c r="M339" s="84"/>
      <c r="N339" s="167"/>
      <c r="Q339" s="349"/>
      <c r="R339" s="349"/>
    </row>
    <row r="340" spans="2:18" x14ac:dyDescent="0.25">
      <c r="B340" s="86" t="s">
        <v>931</v>
      </c>
      <c r="C340" s="537" t="s">
        <v>983</v>
      </c>
      <c r="G340" s="169"/>
      <c r="H340" s="52"/>
      <c r="I340" s="82"/>
      <c r="J340" s="170"/>
      <c r="K340" s="52"/>
      <c r="L340" s="56"/>
      <c r="M340" s="84"/>
      <c r="N340" s="167"/>
      <c r="Q340" s="349"/>
      <c r="R340" s="349"/>
    </row>
    <row r="341" spans="2:18" outlineLevel="1" x14ac:dyDescent="0.25">
      <c r="B341" s="210"/>
      <c r="C341" t="s">
        <v>984</v>
      </c>
      <c r="D341" s="11" t="s">
        <v>46</v>
      </c>
      <c r="E341" s="11" t="s">
        <v>46</v>
      </c>
      <c r="F341" s="146">
        <v>21</v>
      </c>
      <c r="G341" s="169" cm="1">
        <f t="array" ref="G341:G342">TRANSPOSE('Fixtures + Piping computation'!AK351:AL351)</f>
        <v>0</v>
      </c>
      <c r="H341" s="52">
        <v>0.11</v>
      </c>
      <c r="I341" s="159">
        <f t="shared" ref="I341:I342" si="217">(F341+G341)*H341</f>
        <v>2.31</v>
      </c>
      <c r="J341" s="160">
        <f>I341*Summary!$H$4</f>
        <v>398.47500000000002</v>
      </c>
      <c r="K341" s="52"/>
      <c r="L341" s="56">
        <v>0</v>
      </c>
      <c r="M341" s="84">
        <f t="shared" ref="M341:M342" si="218">((F341+G341)*K341)+((F341+G341)*L341)</f>
        <v>0</v>
      </c>
      <c r="N341" s="167">
        <f t="shared" ref="N341:N342" si="219">M341+J341</f>
        <v>398.47500000000002</v>
      </c>
      <c r="Q341" s="349"/>
      <c r="R341" s="349"/>
    </row>
    <row r="342" spans="2:18" outlineLevel="1" x14ac:dyDescent="0.25">
      <c r="B342" s="210"/>
      <c r="C342" t="s">
        <v>1002</v>
      </c>
      <c r="D342" s="11" t="s">
        <v>46</v>
      </c>
      <c r="E342" s="11" t="s">
        <v>46</v>
      </c>
      <c r="F342" s="146">
        <v>2</v>
      </c>
      <c r="G342" s="169">
        <v>0</v>
      </c>
      <c r="H342" s="52">
        <v>0.19</v>
      </c>
      <c r="I342" s="159">
        <f t="shared" si="217"/>
        <v>0.38</v>
      </c>
      <c r="J342" s="160">
        <f>I342*Summary!$H$4</f>
        <v>65.55</v>
      </c>
      <c r="K342" s="52"/>
      <c r="L342" s="56">
        <v>0</v>
      </c>
      <c r="M342" s="84">
        <f t="shared" si="218"/>
        <v>0</v>
      </c>
      <c r="N342" s="167">
        <f t="shared" si="219"/>
        <v>65.55</v>
      </c>
      <c r="Q342" s="349"/>
      <c r="R342" s="349"/>
    </row>
    <row r="343" spans="2:18" outlineLevel="1" x14ac:dyDescent="0.25">
      <c r="B343" s="210"/>
      <c r="C343" t="s">
        <v>982</v>
      </c>
      <c r="D343" s="11" t="s">
        <v>46</v>
      </c>
      <c r="E343" s="11" t="s">
        <v>46</v>
      </c>
      <c r="F343" s="146">
        <v>15</v>
      </c>
      <c r="G343" s="169"/>
      <c r="H343" s="52"/>
      <c r="I343" s="159"/>
      <c r="J343" s="160"/>
      <c r="K343" s="52"/>
      <c r="L343" s="56">
        <v>0</v>
      </c>
      <c r="M343" s="84">
        <f t="shared" ref="M343" si="220">((F343+G343)*K343)+((F343+G343)*L343)</f>
        <v>0</v>
      </c>
      <c r="N343" s="167">
        <f t="shared" ref="N343" si="221">M343+J343</f>
        <v>0</v>
      </c>
      <c r="Q343" s="349"/>
      <c r="R343" s="349"/>
    </row>
    <row r="344" spans="2:18" outlineLevel="1" x14ac:dyDescent="0.25">
      <c r="B344" s="210"/>
      <c r="F344" s="52"/>
      <c r="G344" s="169"/>
      <c r="H344" s="52"/>
      <c r="I344" s="159"/>
      <c r="J344" s="160"/>
      <c r="K344" s="52"/>
      <c r="L344" s="56"/>
      <c r="M344" s="84"/>
      <c r="N344" s="167"/>
      <c r="Q344" s="349"/>
      <c r="R344" s="349"/>
    </row>
    <row r="345" spans="2:18" x14ac:dyDescent="0.25">
      <c r="B345" s="86" t="s">
        <v>932</v>
      </c>
      <c r="C345" s="613" t="s">
        <v>996</v>
      </c>
      <c r="F345" s="52"/>
      <c r="G345" s="169"/>
      <c r="H345" s="52"/>
      <c r="I345" s="82"/>
      <c r="J345" s="170"/>
      <c r="K345" s="52"/>
      <c r="L345" s="56"/>
      <c r="M345" s="84"/>
      <c r="N345" s="167"/>
      <c r="Q345" s="349"/>
      <c r="R345" s="349"/>
    </row>
    <row r="346" spans="2:18" outlineLevel="1" x14ac:dyDescent="0.25">
      <c r="B346" s="210"/>
      <c r="C346" t="s">
        <v>992</v>
      </c>
      <c r="D346" s="11" t="s">
        <v>46</v>
      </c>
      <c r="E346" s="11" t="s">
        <v>46</v>
      </c>
      <c r="F346" s="146">
        <f>F350</f>
        <v>20</v>
      </c>
      <c r="G346" s="169"/>
      <c r="H346" s="52">
        <v>0.15</v>
      </c>
      <c r="I346" s="159">
        <f t="shared" ref="I346" si="222">(F346+G346)*H346</f>
        <v>3</v>
      </c>
      <c r="J346" s="160">
        <f>I346*Summary!$H$4</f>
        <v>517.5</v>
      </c>
      <c r="K346" s="52"/>
      <c r="L346" s="56">
        <v>0</v>
      </c>
      <c r="M346" s="84">
        <f t="shared" ref="M346" si="223">((F346+G346)*K346)+((F346+G346)*L346)</f>
        <v>0</v>
      </c>
      <c r="N346" s="167">
        <f t="shared" ref="N346" si="224">M346+J346</f>
        <v>517.5</v>
      </c>
      <c r="Q346" s="349"/>
      <c r="R346" s="349"/>
    </row>
    <row r="347" spans="2:18" outlineLevel="1" x14ac:dyDescent="0.25">
      <c r="B347" s="210"/>
      <c r="C347" t="s">
        <v>993</v>
      </c>
      <c r="D347" s="11" t="s">
        <v>46</v>
      </c>
      <c r="E347" s="11" t="s">
        <v>46</v>
      </c>
      <c r="F347" s="146">
        <f t="shared" ref="F347:F349" si="225">F351</f>
        <v>15</v>
      </c>
      <c r="G347" s="169"/>
      <c r="H347" s="52">
        <v>0.15</v>
      </c>
      <c r="I347" s="159">
        <f t="shared" ref="I347:I349" si="226">(F347+G347)*H347</f>
        <v>2.25</v>
      </c>
      <c r="J347" s="160">
        <f>I347*Summary!$H$4</f>
        <v>388.125</v>
      </c>
      <c r="K347" s="52"/>
      <c r="L347" s="56"/>
      <c r="M347" s="84"/>
      <c r="N347" s="167"/>
      <c r="Q347" s="349"/>
      <c r="R347" s="349"/>
    </row>
    <row r="348" spans="2:18" outlineLevel="1" x14ac:dyDescent="0.25">
      <c r="B348" s="210"/>
      <c r="C348" t="s">
        <v>994</v>
      </c>
      <c r="D348" s="11" t="s">
        <v>46</v>
      </c>
      <c r="E348" s="11" t="s">
        <v>46</v>
      </c>
      <c r="F348" s="146">
        <f t="shared" si="225"/>
        <v>35</v>
      </c>
      <c r="G348" s="169"/>
      <c r="H348" s="52">
        <v>0.15</v>
      </c>
      <c r="I348" s="159">
        <f t="shared" si="226"/>
        <v>5.25</v>
      </c>
      <c r="J348" s="160">
        <f>I348*Summary!$H$4</f>
        <v>905.625</v>
      </c>
      <c r="K348" s="52"/>
      <c r="L348" s="56"/>
      <c r="M348" s="84"/>
      <c r="N348" s="167"/>
      <c r="Q348" s="349"/>
      <c r="R348" s="349"/>
    </row>
    <row r="349" spans="2:18" outlineLevel="1" x14ac:dyDescent="0.25">
      <c r="B349" s="210"/>
      <c r="C349" t="s">
        <v>995</v>
      </c>
      <c r="D349" s="11" t="s">
        <v>46</v>
      </c>
      <c r="E349" s="11" t="s">
        <v>46</v>
      </c>
      <c r="F349" s="146">
        <f t="shared" si="225"/>
        <v>8</v>
      </c>
      <c r="G349" s="169"/>
      <c r="H349" s="52">
        <v>0.15</v>
      </c>
      <c r="I349" s="159">
        <f t="shared" si="226"/>
        <v>1.2</v>
      </c>
      <c r="J349" s="160">
        <f>I349*Summary!$H$4</f>
        <v>207</v>
      </c>
      <c r="K349" s="52"/>
      <c r="L349" s="56"/>
      <c r="M349" s="84"/>
      <c r="N349" s="167"/>
      <c r="Q349" s="349"/>
      <c r="R349" s="349"/>
    </row>
    <row r="350" spans="2:18" outlineLevel="1" x14ac:dyDescent="0.25">
      <c r="B350" s="210"/>
      <c r="C350" t="s">
        <v>986</v>
      </c>
      <c r="D350" s="11" t="s">
        <v>46</v>
      </c>
      <c r="E350" s="11" t="s">
        <v>46</v>
      </c>
      <c r="F350" s="146">
        <f>6+10+4</f>
        <v>20</v>
      </c>
      <c r="G350" s="169"/>
      <c r="H350" s="52">
        <v>0.35</v>
      </c>
      <c r="I350" s="159">
        <f t="shared" ref="I350:I354" si="227">(F350+G350)*H350</f>
        <v>7</v>
      </c>
      <c r="J350" s="160">
        <f>I350*Summary!$H$4</f>
        <v>1207.5</v>
      </c>
      <c r="K350" s="52"/>
      <c r="L350" s="56">
        <v>0</v>
      </c>
      <c r="M350" s="84">
        <f t="shared" ref="M350:M355" si="228">((F350+G350)*K350)+((F350+G350)*L350)</f>
        <v>0</v>
      </c>
      <c r="N350" s="167">
        <f t="shared" ref="N350:N355" si="229">M350+J350</f>
        <v>1207.5</v>
      </c>
      <c r="Q350" s="349"/>
      <c r="R350" s="349"/>
    </row>
    <row r="351" spans="2:18" outlineLevel="1" x14ac:dyDescent="0.25">
      <c r="B351" s="210"/>
      <c r="C351" t="s">
        <v>987</v>
      </c>
      <c r="D351" s="11" t="s">
        <v>46</v>
      </c>
      <c r="E351" s="11" t="s">
        <v>46</v>
      </c>
      <c r="F351" s="146">
        <f>4+3+8</f>
        <v>15</v>
      </c>
      <c r="G351" s="169"/>
      <c r="H351" s="52">
        <v>0.35</v>
      </c>
      <c r="I351" s="159">
        <f t="shared" si="227"/>
        <v>5.25</v>
      </c>
      <c r="J351" s="160">
        <f>I351*Summary!$H$4</f>
        <v>905.625</v>
      </c>
      <c r="K351" s="52"/>
      <c r="L351" s="56">
        <v>0</v>
      </c>
      <c r="M351" s="84">
        <f t="shared" si="228"/>
        <v>0</v>
      </c>
      <c r="N351" s="167">
        <f t="shared" si="229"/>
        <v>905.625</v>
      </c>
      <c r="Q351" s="349"/>
      <c r="R351" s="349"/>
    </row>
    <row r="352" spans="2:18" outlineLevel="1" x14ac:dyDescent="0.25">
      <c r="B352" s="210"/>
      <c r="C352" t="s">
        <v>988</v>
      </c>
      <c r="D352" s="11" t="s">
        <v>46</v>
      </c>
      <c r="E352" s="11" t="s">
        <v>46</v>
      </c>
      <c r="F352" s="146">
        <f>8+11+10+6</f>
        <v>35</v>
      </c>
      <c r="G352" s="169"/>
      <c r="H352" s="52">
        <v>0.3</v>
      </c>
      <c r="I352" s="159">
        <f t="shared" si="227"/>
        <v>10.5</v>
      </c>
      <c r="J352" s="160">
        <f>I352*Summary!$H$4</f>
        <v>1811.25</v>
      </c>
      <c r="K352" s="52"/>
      <c r="L352" s="56">
        <v>0</v>
      </c>
      <c r="M352" s="84">
        <f t="shared" si="228"/>
        <v>0</v>
      </c>
      <c r="N352" s="167">
        <f t="shared" si="229"/>
        <v>1811.25</v>
      </c>
      <c r="Q352" s="349"/>
      <c r="R352" s="349"/>
    </row>
    <row r="353" spans="2:18" outlineLevel="1" x14ac:dyDescent="0.25">
      <c r="B353" s="210"/>
      <c r="C353" t="s">
        <v>989</v>
      </c>
      <c r="D353" s="11" t="s">
        <v>46</v>
      </c>
      <c r="E353" s="11" t="s">
        <v>46</v>
      </c>
      <c r="F353" s="146">
        <f>8</f>
        <v>8</v>
      </c>
      <c r="G353" s="169"/>
      <c r="H353" s="52">
        <v>0.3</v>
      </c>
      <c r="I353" s="159">
        <f t="shared" si="227"/>
        <v>2.4</v>
      </c>
      <c r="J353" s="160">
        <f>I353*Summary!$H$4</f>
        <v>414</v>
      </c>
      <c r="K353" s="52"/>
      <c r="L353" s="56">
        <v>0</v>
      </c>
      <c r="M353" s="84">
        <f t="shared" si="228"/>
        <v>0</v>
      </c>
      <c r="N353" s="167">
        <f t="shared" si="229"/>
        <v>414</v>
      </c>
      <c r="Q353" s="349"/>
      <c r="R353" s="349"/>
    </row>
    <row r="354" spans="2:18" outlineLevel="1" x14ac:dyDescent="0.25">
      <c r="B354" s="210"/>
      <c r="C354" t="s">
        <v>990</v>
      </c>
      <c r="D354" s="11" t="s">
        <v>46</v>
      </c>
      <c r="E354" s="11" t="s">
        <v>46</v>
      </c>
      <c r="F354" s="146">
        <f>SUM(F350:F353)</f>
        <v>78</v>
      </c>
      <c r="G354" s="169"/>
      <c r="H354" s="52">
        <v>0.2</v>
      </c>
      <c r="I354" s="159">
        <f t="shared" si="227"/>
        <v>15.600000000000001</v>
      </c>
      <c r="J354" s="160">
        <f>I354*Summary!$H$4</f>
        <v>2691.0000000000005</v>
      </c>
      <c r="K354" s="52"/>
      <c r="L354" s="56">
        <v>0</v>
      </c>
      <c r="M354" s="84">
        <f t="shared" si="228"/>
        <v>0</v>
      </c>
      <c r="N354" s="167">
        <f t="shared" si="229"/>
        <v>2691.0000000000005</v>
      </c>
      <c r="Q354" s="349"/>
      <c r="R354" s="349"/>
    </row>
    <row r="355" spans="2:18" outlineLevel="1" x14ac:dyDescent="0.25">
      <c r="B355" s="210"/>
      <c r="C355" t="s">
        <v>991</v>
      </c>
      <c r="D355" s="11" t="s">
        <v>46</v>
      </c>
      <c r="E355" s="11" t="s">
        <v>46</v>
      </c>
      <c r="F355" s="146"/>
      <c r="G355" s="169">
        <f>F354*4</f>
        <v>312</v>
      </c>
      <c r="H355" s="52"/>
      <c r="I355" s="159"/>
      <c r="J355" s="160"/>
      <c r="K355" s="52"/>
      <c r="L355" s="56">
        <v>0</v>
      </c>
      <c r="M355" s="84">
        <f t="shared" si="228"/>
        <v>0</v>
      </c>
      <c r="N355" s="167">
        <f t="shared" si="229"/>
        <v>0</v>
      </c>
      <c r="Q355" s="349"/>
      <c r="R355" s="349"/>
    </row>
    <row r="356" spans="2:18" x14ac:dyDescent="0.25">
      <c r="B356" s="210"/>
      <c r="C356" s="10"/>
      <c r="G356" s="169"/>
      <c r="H356" s="52"/>
      <c r="I356" s="82"/>
      <c r="J356" s="170"/>
      <c r="K356" s="56"/>
      <c r="L356" s="56"/>
      <c r="M356" s="84"/>
      <c r="N356" s="167"/>
      <c r="Q356" s="349"/>
      <c r="R356" s="349"/>
    </row>
    <row r="357" spans="2:18" ht="15.75" thickBot="1" x14ac:dyDescent="0.3">
      <c r="B357" s="208"/>
      <c r="C357" s="10"/>
      <c r="F357" s="209"/>
      <c r="G357" s="169"/>
      <c r="H357" s="52"/>
      <c r="I357" s="207"/>
      <c r="J357" s="138"/>
      <c r="M357" s="138"/>
      <c r="N357" s="167"/>
      <c r="Q357" s="349"/>
      <c r="R357" s="349"/>
    </row>
    <row r="358" spans="2:18" x14ac:dyDescent="0.25">
      <c r="B358" s="405"/>
      <c r="C358" s="406" t="s">
        <v>470</v>
      </c>
      <c r="D358" s="407"/>
      <c r="E358" s="407"/>
      <c r="F358" s="408"/>
      <c r="G358" s="408">
        <f>SUM(G290:G356)</f>
        <v>312</v>
      </c>
      <c r="H358" s="408"/>
      <c r="I358" s="615">
        <f>SUM(I293:I357)</f>
        <v>80.564999999999998</v>
      </c>
      <c r="J358" s="409">
        <f>SUM(J292:J357)</f>
        <v>13897.462500000001</v>
      </c>
      <c r="K358" s="408"/>
      <c r="L358" s="408"/>
      <c r="M358" s="409">
        <f>SUM(M292:M357)</f>
        <v>0</v>
      </c>
      <c r="N358" s="410"/>
      <c r="Q358" s="349"/>
      <c r="R358" s="349"/>
    </row>
    <row r="359" spans="2:18" x14ac:dyDescent="0.25">
      <c r="B359" s="210"/>
      <c r="C359" s="10"/>
      <c r="G359" s="169"/>
      <c r="H359" s="52"/>
      <c r="I359" s="82"/>
      <c r="J359" s="170"/>
      <c r="K359" s="56"/>
      <c r="L359" s="56"/>
      <c r="M359" s="84"/>
      <c r="N359" s="167"/>
      <c r="Q359" s="349"/>
      <c r="R359" s="349"/>
    </row>
    <row r="360" spans="2:18" x14ac:dyDescent="0.25">
      <c r="B360" s="402" t="s">
        <v>471</v>
      </c>
      <c r="C360" s="10"/>
      <c r="G360" s="169"/>
      <c r="H360" s="52"/>
      <c r="I360" s="82"/>
      <c r="J360" s="170"/>
      <c r="K360" s="56"/>
      <c r="L360" s="56"/>
      <c r="M360" s="84"/>
      <c r="N360" s="167"/>
      <c r="Q360" s="349"/>
      <c r="R360" s="349"/>
    </row>
    <row r="361" spans="2:18" x14ac:dyDescent="0.25">
      <c r="B361" s="210"/>
      <c r="C361" s="10"/>
      <c r="G361" s="169"/>
      <c r="H361" s="52"/>
      <c r="I361" s="82"/>
      <c r="J361" s="170"/>
      <c r="K361" s="56"/>
      <c r="L361" s="56"/>
      <c r="M361" s="84"/>
      <c r="N361" s="167"/>
      <c r="Q361" s="349"/>
      <c r="R361" s="349"/>
    </row>
    <row r="362" spans="2:18" x14ac:dyDescent="0.25">
      <c r="B362" s="86" t="s">
        <v>97</v>
      </c>
      <c r="C362" s="537"/>
      <c r="G362" s="177"/>
      <c r="I362" s="82"/>
      <c r="J362" s="170"/>
      <c r="K362" s="56"/>
      <c r="L362" s="56"/>
      <c r="M362" s="84"/>
      <c r="N362" s="167"/>
      <c r="Q362" s="349"/>
      <c r="R362" s="349"/>
    </row>
    <row r="363" spans="2:18" hidden="1" outlineLevel="1" x14ac:dyDescent="0.25">
      <c r="B363" s="227"/>
      <c r="C363" s="10" t="s">
        <v>38</v>
      </c>
      <c r="D363" s="11" t="s">
        <v>46</v>
      </c>
      <c r="E363" s="11" t="s">
        <v>46</v>
      </c>
      <c r="G363" s="169" cm="1">
        <f t="array" ref="G363:G368">TRANSPOSE('Fixtures + Piping computation'!AV304:BA304)</f>
        <v>0</v>
      </c>
      <c r="H363" s="52" cm="1">
        <f t="array" ref="H363">IFERROR(INDEX(Table3[Labor rate], MATCH(1, (Table3[Material]='Fixture+Pipe Qty'!$C$362) * (Table3[Size]='Fixture+Pipe Qty'!$C363), 0)),0)</f>
        <v>0</v>
      </c>
      <c r="I363" s="82">
        <f t="shared" ref="I363:I368" si="230">(F363+G363)*H363</f>
        <v>0</v>
      </c>
      <c r="J363" s="170">
        <f>I363*Summary!$H$4</f>
        <v>0</v>
      </c>
      <c r="K363" s="52" cm="1">
        <f t="array" ref="K363">IFERROR(INDEX(Table3[Material Cost], MATCH(1, (Table3[Material]='Fixture+Pipe Qty'!$C$362) * (Table3[Size]='Fixture+Pipe Qty'!$C363), 0)),0)</f>
        <v>0</v>
      </c>
      <c r="L363" s="56">
        <v>0</v>
      </c>
      <c r="M363" s="84">
        <f t="shared" ref="M363:M368" si="231">((F363+G363)*K363)+((F363+G363)*L363)</f>
        <v>0</v>
      </c>
      <c r="N363" s="167">
        <f t="shared" ref="N363:N368" si="232">M363+J363</f>
        <v>0</v>
      </c>
      <c r="Q363" s="349"/>
      <c r="R363" s="349"/>
    </row>
    <row r="364" spans="2:18" hidden="1" outlineLevel="1" x14ac:dyDescent="0.25">
      <c r="B364" s="227"/>
      <c r="C364" s="10" t="s">
        <v>26</v>
      </c>
      <c r="D364" s="11" t="s">
        <v>46</v>
      </c>
      <c r="E364" s="11" t="s">
        <v>46</v>
      </c>
      <c r="G364" s="171">
        <v>0</v>
      </c>
      <c r="H364" s="52" cm="1">
        <f t="array" ref="H364">IFERROR(INDEX(Table3[Labor rate], MATCH(1, (Table3[Material]='Fixture+Pipe Qty'!$C$362) * (Table3[Size]='Fixture+Pipe Qty'!$C364), 0)),0)</f>
        <v>0</v>
      </c>
      <c r="I364" s="82">
        <f t="shared" si="230"/>
        <v>0</v>
      </c>
      <c r="J364" s="170">
        <f>I364*Summary!$H$4</f>
        <v>0</v>
      </c>
      <c r="K364" s="52" cm="1">
        <f t="array" ref="K364">IFERROR(INDEX(Table3[Material Cost], MATCH(1, (Table3[Material]='Fixture+Pipe Qty'!$C$362) * (Table3[Size]='Fixture+Pipe Qty'!$C364), 0)),0)</f>
        <v>0</v>
      </c>
      <c r="L364" s="56">
        <v>0</v>
      </c>
      <c r="M364" s="84">
        <f t="shared" si="231"/>
        <v>0</v>
      </c>
      <c r="N364" s="167">
        <f t="shared" si="232"/>
        <v>0</v>
      </c>
      <c r="Q364" s="349"/>
      <c r="R364" s="349"/>
    </row>
    <row r="365" spans="2:18" hidden="1" outlineLevel="1" x14ac:dyDescent="0.25">
      <c r="B365" s="86"/>
      <c r="C365" s="10" t="s">
        <v>129</v>
      </c>
      <c r="D365" s="11" t="s">
        <v>46</v>
      </c>
      <c r="E365" s="11" t="s">
        <v>46</v>
      </c>
      <c r="G365" s="171">
        <v>0</v>
      </c>
      <c r="H365" s="52" cm="1">
        <f t="array" ref="H365">IFERROR(INDEX(Table3[Labor rate], MATCH(1, (Table3[Material]='Fixture+Pipe Qty'!$C$362) * (Table3[Size]='Fixture+Pipe Qty'!$C365), 0)),0)</f>
        <v>0</v>
      </c>
      <c r="I365" s="82">
        <f t="shared" si="230"/>
        <v>0</v>
      </c>
      <c r="J365" s="170">
        <f>I365*Summary!$H$4</f>
        <v>0</v>
      </c>
      <c r="K365" s="52" cm="1">
        <f t="array" ref="K365">IFERROR(INDEX(Table3[Material Cost], MATCH(1, (Table3[Material]='Fixture+Pipe Qty'!$C$362) * (Table3[Size]='Fixture+Pipe Qty'!$C365), 0)),0)</f>
        <v>0</v>
      </c>
      <c r="L365" s="56">
        <v>0</v>
      </c>
      <c r="M365" s="84">
        <f t="shared" si="231"/>
        <v>0</v>
      </c>
      <c r="N365" s="167">
        <f t="shared" si="232"/>
        <v>0</v>
      </c>
      <c r="Q365" s="349"/>
      <c r="R365" s="349"/>
    </row>
    <row r="366" spans="2:18" hidden="1" outlineLevel="1" x14ac:dyDescent="0.25">
      <c r="B366" s="86"/>
      <c r="C366" s="10" t="s">
        <v>27</v>
      </c>
      <c r="D366" s="11" t="s">
        <v>46</v>
      </c>
      <c r="E366" s="11" t="s">
        <v>46</v>
      </c>
      <c r="G366" s="171">
        <v>0</v>
      </c>
      <c r="H366" s="52" cm="1">
        <f t="array" ref="H366">IFERROR(INDEX(Table3[Labor rate], MATCH(1, (Table3[Material]='Fixture+Pipe Qty'!$C$362) * (Table3[Size]='Fixture+Pipe Qty'!$C366), 0)),0)</f>
        <v>0</v>
      </c>
      <c r="I366" s="82">
        <f t="shared" si="230"/>
        <v>0</v>
      </c>
      <c r="J366" s="170">
        <f>I366*Summary!$H$4</f>
        <v>0</v>
      </c>
      <c r="K366" s="52" cm="1">
        <f t="array" ref="K366">IFERROR(INDEX(Table3[Material Cost], MATCH(1, (Table3[Material]='Fixture+Pipe Qty'!$C$362) * (Table3[Size]='Fixture+Pipe Qty'!$C366), 0)),0)</f>
        <v>0</v>
      </c>
      <c r="L366" s="56">
        <v>0</v>
      </c>
      <c r="M366" s="84">
        <f t="shared" si="231"/>
        <v>0</v>
      </c>
      <c r="N366" s="167">
        <f t="shared" si="232"/>
        <v>0</v>
      </c>
      <c r="Q366" s="349"/>
      <c r="R366" s="349"/>
    </row>
    <row r="367" spans="2:18" hidden="1" outlineLevel="1" x14ac:dyDescent="0.25">
      <c r="B367" s="86"/>
      <c r="C367" s="10" t="s">
        <v>154</v>
      </c>
      <c r="D367" s="11" t="s">
        <v>46</v>
      </c>
      <c r="E367" s="11" t="s">
        <v>46</v>
      </c>
      <c r="G367" s="171">
        <v>0</v>
      </c>
      <c r="H367" s="52" cm="1">
        <f t="array" ref="H367">IFERROR(INDEX(Table3[Labor rate], MATCH(1, (Table3[Material]='Fixture+Pipe Qty'!$C$362) * (Table3[Size]='Fixture+Pipe Qty'!$C367), 0)),0)</f>
        <v>0</v>
      </c>
      <c r="I367" s="82">
        <f t="shared" si="230"/>
        <v>0</v>
      </c>
      <c r="J367" s="170">
        <f>I367*Summary!$H$4</f>
        <v>0</v>
      </c>
      <c r="K367" s="52" cm="1">
        <f t="array" ref="K367">IFERROR(INDEX(Table3[Material Cost], MATCH(1, (Table3[Material]='Fixture+Pipe Qty'!$C$362) * (Table3[Size]='Fixture+Pipe Qty'!$C367), 0)),0)</f>
        <v>0</v>
      </c>
      <c r="L367" s="56">
        <v>0</v>
      </c>
      <c r="M367" s="84">
        <f t="shared" si="231"/>
        <v>0</v>
      </c>
      <c r="N367" s="167">
        <f t="shared" si="232"/>
        <v>0</v>
      </c>
      <c r="Q367" s="349"/>
      <c r="R367" s="349"/>
    </row>
    <row r="368" spans="2:18" hidden="1" outlineLevel="1" x14ac:dyDescent="0.25">
      <c r="B368" s="86"/>
      <c r="C368" s="10" t="s">
        <v>155</v>
      </c>
      <c r="D368" s="11" t="s">
        <v>46</v>
      </c>
      <c r="E368" s="11" t="s">
        <v>46</v>
      </c>
      <c r="G368" s="171">
        <v>0</v>
      </c>
      <c r="H368" s="52" cm="1">
        <f t="array" ref="H368">IFERROR(INDEX(Table3[Labor rate], MATCH(1, (Table3[Material]='Fixture+Pipe Qty'!$C$362) * (Table3[Size]='Fixture+Pipe Qty'!$C368), 0)),0)</f>
        <v>0</v>
      </c>
      <c r="I368" s="82">
        <f t="shared" si="230"/>
        <v>0</v>
      </c>
      <c r="J368" s="170">
        <f>I368*Summary!$H$4</f>
        <v>0</v>
      </c>
      <c r="K368" s="52" cm="1">
        <f t="array" ref="K368">IFERROR(INDEX(Table3[Material Cost], MATCH(1, (Table3[Material]='Fixture+Pipe Qty'!$C$362) * (Table3[Size]='Fixture+Pipe Qty'!$C368), 0)),0)</f>
        <v>0</v>
      </c>
      <c r="L368" s="56">
        <v>0</v>
      </c>
      <c r="M368" s="84">
        <f t="shared" si="231"/>
        <v>0</v>
      </c>
      <c r="N368" s="167">
        <f t="shared" si="232"/>
        <v>0</v>
      </c>
      <c r="Q368" s="349"/>
      <c r="R368" s="349"/>
    </row>
    <row r="369" spans="2:18" collapsed="1" x14ac:dyDescent="0.25">
      <c r="B369" s="86"/>
      <c r="C369" s="10"/>
      <c r="G369" s="171"/>
      <c r="H369" s="52"/>
      <c r="I369" s="82"/>
      <c r="J369" s="170"/>
      <c r="K369" s="132"/>
      <c r="L369" s="56"/>
      <c r="M369" s="84"/>
      <c r="N369" s="167"/>
      <c r="Q369" s="349"/>
      <c r="R369" s="349"/>
    </row>
    <row r="370" spans="2:18" x14ac:dyDescent="0.25">
      <c r="B370" s="86" t="s">
        <v>44</v>
      </c>
      <c r="C370" s="537" t="s">
        <v>98</v>
      </c>
      <c r="G370" s="177"/>
      <c r="I370" s="82"/>
      <c r="J370" s="170"/>
      <c r="K370" s="56"/>
      <c r="L370" s="56"/>
      <c r="M370" s="84"/>
      <c r="N370" s="167"/>
      <c r="Q370" s="349"/>
      <c r="R370" s="349"/>
    </row>
    <row r="371" spans="2:18" outlineLevel="1" x14ac:dyDescent="0.25">
      <c r="B371" s="227"/>
      <c r="C371" s="10" t="s">
        <v>38</v>
      </c>
      <c r="D371" s="11" t="s">
        <v>46</v>
      </c>
      <c r="E371" s="11" t="s">
        <v>46</v>
      </c>
      <c r="G371" s="171" cm="1">
        <f t="array" ref="G371:G376">TRANSPOSE('Fixtures + Piping computation'!BH304:BM304)</f>
        <v>44</v>
      </c>
      <c r="H371" s="52" cm="1">
        <f t="array" ref="H371">IFERROR(INDEX(Table3[Labor rate], MATCH(1, (Table3[Material]='Fixture+Pipe Qty'!$C$370) * (Table3[Size]='Fixture+Pipe Qty'!$C371), 0)),0)</f>
        <v>0.04</v>
      </c>
      <c r="I371" s="82">
        <f t="shared" ref="I371:I376" si="233">(F371+G371)*H371</f>
        <v>1.76</v>
      </c>
      <c r="J371" s="170">
        <f>I371*Summary!$H$4</f>
        <v>303.60000000000002</v>
      </c>
      <c r="K371" s="52"/>
      <c r="L371" s="56">
        <v>0</v>
      </c>
      <c r="M371" s="84">
        <f t="shared" ref="M371:M376" si="234">((F371+G371)*K371)+((F371+G371)*L371)</f>
        <v>0</v>
      </c>
      <c r="N371" s="167">
        <f t="shared" ref="N371:N376" si="235">M371+J371</f>
        <v>303.60000000000002</v>
      </c>
      <c r="Q371" s="349"/>
      <c r="R371" s="349"/>
    </row>
    <row r="372" spans="2:18" outlineLevel="1" x14ac:dyDescent="0.25">
      <c r="B372" s="227"/>
      <c r="C372" s="10" t="s">
        <v>26</v>
      </c>
      <c r="D372" s="11" t="s">
        <v>46</v>
      </c>
      <c r="E372" s="11" t="s">
        <v>46</v>
      </c>
      <c r="G372" s="171">
        <v>46.2</v>
      </c>
      <c r="H372" s="52" cm="1">
        <f t="array" ref="H372">IFERROR(INDEX(Table3[Labor rate], MATCH(1, (Table3[Material]='Fixture+Pipe Qty'!$C$370) * (Table3[Size]='Fixture+Pipe Qty'!$C372), 0)),0)</f>
        <v>4.4999999999999998E-2</v>
      </c>
      <c r="I372" s="82">
        <f t="shared" si="233"/>
        <v>2.0790000000000002</v>
      </c>
      <c r="J372" s="170">
        <f>I372*Summary!$H$4</f>
        <v>358.62750000000005</v>
      </c>
      <c r="K372" s="52"/>
      <c r="L372" s="56">
        <v>0</v>
      </c>
      <c r="M372" s="84">
        <f t="shared" si="234"/>
        <v>0</v>
      </c>
      <c r="N372" s="167">
        <f t="shared" si="235"/>
        <v>358.62750000000005</v>
      </c>
      <c r="Q372" s="349"/>
      <c r="R372" s="349"/>
    </row>
    <row r="373" spans="2:18" outlineLevel="1" x14ac:dyDescent="0.25">
      <c r="B373" s="227"/>
      <c r="C373" s="10" t="s">
        <v>129</v>
      </c>
      <c r="D373" s="11" t="s">
        <v>46</v>
      </c>
      <c r="E373" s="11" t="s">
        <v>46</v>
      </c>
      <c r="G373" s="171">
        <v>36.85</v>
      </c>
      <c r="H373" s="52" cm="1">
        <f t="array" ref="H373">IFERROR(INDEX(Table3[Labor rate], MATCH(1, (Table3[Material]='Fixture+Pipe Qty'!$C$370) * (Table3[Size]='Fixture+Pipe Qty'!$C373), 0)),0)</f>
        <v>5.5E-2</v>
      </c>
      <c r="I373" s="82">
        <f t="shared" si="233"/>
        <v>2.0267500000000003</v>
      </c>
      <c r="J373" s="170">
        <f>I373*Summary!$H$4</f>
        <v>349.61437500000005</v>
      </c>
      <c r="K373" s="52"/>
      <c r="L373" s="56">
        <v>0</v>
      </c>
      <c r="M373" s="84">
        <f t="shared" si="234"/>
        <v>0</v>
      </c>
      <c r="N373" s="167">
        <f t="shared" si="235"/>
        <v>349.61437500000005</v>
      </c>
      <c r="Q373" s="349"/>
      <c r="R373" s="349"/>
    </row>
    <row r="374" spans="2:18" outlineLevel="1" x14ac:dyDescent="0.25">
      <c r="B374" s="227"/>
      <c r="C374" s="10" t="s">
        <v>27</v>
      </c>
      <c r="D374" s="11" t="s">
        <v>46</v>
      </c>
      <c r="E374" s="11" t="s">
        <v>46</v>
      </c>
      <c r="G374" s="171">
        <v>32.78</v>
      </c>
      <c r="H374" s="52" cm="1">
        <f t="array" ref="H374">IFERROR(INDEX(Table3[Labor rate], MATCH(1, (Table3[Material]='Fixture+Pipe Qty'!$C$370) * (Table3[Size]='Fixture+Pipe Qty'!$C374), 0)),0)</f>
        <v>7.0000000000000007E-2</v>
      </c>
      <c r="I374" s="82">
        <f t="shared" si="233"/>
        <v>2.2946000000000004</v>
      </c>
      <c r="J374" s="170">
        <f>I374*Summary!$H$4</f>
        <v>395.81850000000009</v>
      </c>
      <c r="K374" s="52"/>
      <c r="L374" s="56">
        <v>0</v>
      </c>
      <c r="M374" s="84">
        <f t="shared" si="234"/>
        <v>0</v>
      </c>
      <c r="N374" s="167">
        <f t="shared" si="235"/>
        <v>395.81850000000009</v>
      </c>
      <c r="Q374" s="349"/>
      <c r="R374" s="349"/>
    </row>
    <row r="375" spans="2:18" hidden="1" outlineLevel="1" x14ac:dyDescent="0.25">
      <c r="B375" s="227"/>
      <c r="C375" s="10" t="s">
        <v>154</v>
      </c>
      <c r="D375" s="11" t="s">
        <v>46</v>
      </c>
      <c r="E375" s="11" t="s">
        <v>46</v>
      </c>
      <c r="G375" s="171">
        <v>0</v>
      </c>
      <c r="H375" s="52" cm="1">
        <f t="array" ref="H375">IFERROR(INDEX(Table3[Labor rate], MATCH(1, (Table3[Material]='Fixture+Pipe Qty'!$C$370) * (Table3[Size]='Fixture+Pipe Qty'!$C375), 0)),0)</f>
        <v>0.12</v>
      </c>
      <c r="I375" s="82">
        <f t="shared" si="233"/>
        <v>0</v>
      </c>
      <c r="J375" s="170">
        <f>I375*Summary!$H$4</f>
        <v>0</v>
      </c>
      <c r="K375" s="52"/>
      <c r="L375" s="56">
        <v>0</v>
      </c>
      <c r="M375" s="84">
        <f t="shared" si="234"/>
        <v>0</v>
      </c>
      <c r="N375" s="167">
        <f t="shared" si="235"/>
        <v>0</v>
      </c>
      <c r="Q375" s="349"/>
      <c r="R375" s="349"/>
    </row>
    <row r="376" spans="2:18" hidden="1" outlineLevel="1" x14ac:dyDescent="0.25">
      <c r="B376" s="227"/>
      <c r="C376" s="10" t="s">
        <v>155</v>
      </c>
      <c r="D376" s="11" t="s">
        <v>46</v>
      </c>
      <c r="E376" s="11" t="s">
        <v>46</v>
      </c>
      <c r="G376" s="171">
        <v>0</v>
      </c>
      <c r="H376" s="52" cm="1">
        <f t="array" ref="H376">IFERROR(INDEX(Table3[Labor rate], MATCH(1, (Table3[Material]='Fixture+Pipe Qty'!$C$370) * (Table3[Size]='Fixture+Pipe Qty'!$C376), 0)),0)</f>
        <v>0.16</v>
      </c>
      <c r="I376" s="82">
        <f t="shared" si="233"/>
        <v>0</v>
      </c>
      <c r="J376" s="170">
        <f>I376*Summary!$H$4</f>
        <v>0</v>
      </c>
      <c r="K376" s="52"/>
      <c r="L376" s="56">
        <v>0</v>
      </c>
      <c r="M376" s="84">
        <f t="shared" si="234"/>
        <v>0</v>
      </c>
      <c r="N376" s="167">
        <f t="shared" si="235"/>
        <v>0</v>
      </c>
      <c r="Q376" s="349"/>
      <c r="R376" s="349"/>
    </row>
    <row r="377" spans="2:18" x14ac:dyDescent="0.25">
      <c r="B377" s="227"/>
      <c r="C377" s="10"/>
      <c r="G377" s="171"/>
      <c r="H377" s="52"/>
      <c r="I377" s="82"/>
      <c r="J377" s="170"/>
      <c r="K377" s="56"/>
      <c r="L377" s="56"/>
      <c r="M377" s="84"/>
      <c r="N377" s="167"/>
      <c r="Q377" s="349"/>
      <c r="R377" s="349"/>
    </row>
    <row r="378" spans="2:18" x14ac:dyDescent="0.25">
      <c r="B378" s="86" t="s">
        <v>556</v>
      </c>
      <c r="C378" s="537" t="s">
        <v>98</v>
      </c>
      <c r="G378" s="177"/>
      <c r="I378" s="82"/>
      <c r="J378" s="170"/>
      <c r="K378" s="56"/>
      <c r="L378" s="56"/>
      <c r="M378" s="84"/>
      <c r="N378" s="167"/>
      <c r="Q378" s="349"/>
      <c r="R378" s="349"/>
    </row>
    <row r="379" spans="2:18" hidden="1" outlineLevel="1" x14ac:dyDescent="0.25">
      <c r="B379" s="227"/>
      <c r="C379" s="10" t="s">
        <v>38</v>
      </c>
      <c r="D379" s="11" t="s">
        <v>46</v>
      </c>
      <c r="E379" s="11" t="s">
        <v>46</v>
      </c>
      <c r="G379" s="171" cm="1">
        <f t="array" ref="G379:G384">TRANSPOSE('Fixtures + Piping computation'!BB304:BG304)</f>
        <v>0</v>
      </c>
      <c r="H379" s="52"/>
      <c r="I379" s="82">
        <f t="shared" ref="I379" si="236">(F379+G379)*H379</f>
        <v>0</v>
      </c>
      <c r="J379" s="170">
        <f>I379*Summary!$H$4</f>
        <v>0</v>
      </c>
      <c r="K379" s="52"/>
      <c r="L379" s="56">
        <v>0</v>
      </c>
      <c r="M379" s="84">
        <f t="shared" ref="M379" si="237">((F379+G379)*K379)+((F379+G379)*L379)</f>
        <v>0</v>
      </c>
      <c r="N379" s="167">
        <f t="shared" ref="N379" si="238">M379+J379</f>
        <v>0</v>
      </c>
      <c r="Q379" s="349"/>
      <c r="R379" s="349"/>
    </row>
    <row r="380" spans="2:18" outlineLevel="1" x14ac:dyDescent="0.25">
      <c r="B380" s="227"/>
      <c r="C380" s="10" t="s">
        <v>26</v>
      </c>
      <c r="D380" s="11" t="s">
        <v>46</v>
      </c>
      <c r="E380" s="11" t="s">
        <v>46</v>
      </c>
      <c r="G380" s="171">
        <v>9.9</v>
      </c>
      <c r="H380" s="52" cm="1">
        <f t="array" ref="H380">IFERROR(INDEX(Table3[Labor rate], MATCH(1, (Table3[Material]='Fixture+Pipe Qty'!$C$378) * (Table3[Size]='Fixture+Pipe Qty'!$C380), 0)),0)</f>
        <v>4.4999999999999998E-2</v>
      </c>
      <c r="I380" s="82">
        <f t="shared" ref="I380:I384" si="239">(F380+G380)*H380</f>
        <v>0.44550000000000001</v>
      </c>
      <c r="J380" s="170">
        <f>I380*Summary!$H$4</f>
        <v>76.848749999999995</v>
      </c>
      <c r="K380" s="52"/>
      <c r="L380" s="56">
        <v>0</v>
      </c>
      <c r="M380" s="84">
        <f t="shared" ref="M380:M384" si="240">((F380+G380)*K380)+((F380+G380)*L380)</f>
        <v>0</v>
      </c>
      <c r="N380" s="167">
        <f t="shared" ref="N380:N384" si="241">M380+J380</f>
        <v>76.848749999999995</v>
      </c>
      <c r="Q380" s="349"/>
      <c r="R380" s="349"/>
    </row>
    <row r="381" spans="2:18" outlineLevel="1" x14ac:dyDescent="0.25">
      <c r="B381" s="227"/>
      <c r="C381" s="10" t="s">
        <v>129</v>
      </c>
      <c r="D381" s="11" t="s">
        <v>46</v>
      </c>
      <c r="E381" s="11" t="s">
        <v>46</v>
      </c>
      <c r="G381" s="171">
        <v>3.3000000000000003</v>
      </c>
      <c r="H381" s="52" cm="1">
        <f t="array" ref="H381">IFERROR(INDEX(Table3[Labor rate], MATCH(1, (Table3[Material]='Fixture+Pipe Qty'!$C$378) * (Table3[Size]='Fixture+Pipe Qty'!$C381), 0)),0)</f>
        <v>5.5E-2</v>
      </c>
      <c r="I381" s="82">
        <f t="shared" si="239"/>
        <v>0.18150000000000002</v>
      </c>
      <c r="J381" s="170">
        <f>I381*Summary!$H$4</f>
        <v>31.308750000000003</v>
      </c>
      <c r="K381" s="52"/>
      <c r="L381" s="56">
        <v>0</v>
      </c>
      <c r="M381" s="84">
        <f t="shared" si="240"/>
        <v>0</v>
      </c>
      <c r="N381" s="167">
        <f t="shared" si="241"/>
        <v>31.308750000000003</v>
      </c>
      <c r="Q381" s="349"/>
      <c r="R381" s="349"/>
    </row>
    <row r="382" spans="2:18" hidden="1" outlineLevel="1" x14ac:dyDescent="0.25">
      <c r="B382" s="227"/>
      <c r="C382" s="10" t="s">
        <v>27</v>
      </c>
      <c r="D382" s="11" t="s">
        <v>46</v>
      </c>
      <c r="E382" s="11" t="s">
        <v>46</v>
      </c>
      <c r="G382" s="171">
        <v>0</v>
      </c>
      <c r="H382" s="52" cm="1">
        <f t="array" ref="H382">IFERROR(INDEX(Table3[Labor rate], MATCH(1, (Table3[Material]='Fixture+Pipe Qty'!$C$378) * (Table3[Size]='Fixture+Pipe Qty'!$C382), 0)),0)</f>
        <v>7.0000000000000007E-2</v>
      </c>
      <c r="I382" s="82">
        <f t="shared" si="239"/>
        <v>0</v>
      </c>
      <c r="J382" s="170">
        <f>I382*Summary!$H$4</f>
        <v>0</v>
      </c>
      <c r="K382" s="52"/>
      <c r="L382" s="56">
        <v>0</v>
      </c>
      <c r="M382" s="84">
        <f t="shared" si="240"/>
        <v>0</v>
      </c>
      <c r="N382" s="167">
        <f t="shared" si="241"/>
        <v>0</v>
      </c>
      <c r="Q382" s="349"/>
      <c r="R382" s="349"/>
    </row>
    <row r="383" spans="2:18" hidden="1" outlineLevel="1" x14ac:dyDescent="0.25">
      <c r="B383" s="227"/>
      <c r="C383" s="10" t="s">
        <v>154</v>
      </c>
      <c r="D383" s="11" t="s">
        <v>46</v>
      </c>
      <c r="E383" s="11" t="s">
        <v>46</v>
      </c>
      <c r="G383" s="171">
        <v>0</v>
      </c>
      <c r="H383" s="52" cm="1">
        <f t="array" ref="H383">IFERROR(INDEX(Table3[Labor rate], MATCH(1, (Table3[Material]='Fixture+Pipe Qty'!$C$378) * (Table3[Size]='Fixture+Pipe Qty'!$C383), 0)),0)</f>
        <v>0.12</v>
      </c>
      <c r="I383" s="82">
        <f t="shared" si="239"/>
        <v>0</v>
      </c>
      <c r="J383" s="170">
        <f>I383*Summary!$H$4</f>
        <v>0</v>
      </c>
      <c r="K383" s="52"/>
      <c r="L383" s="56">
        <v>0</v>
      </c>
      <c r="M383" s="84">
        <f t="shared" si="240"/>
        <v>0</v>
      </c>
      <c r="N383" s="167">
        <f t="shared" si="241"/>
        <v>0</v>
      </c>
      <c r="Q383" s="349"/>
      <c r="R383" s="349"/>
    </row>
    <row r="384" spans="2:18" hidden="1" outlineLevel="1" x14ac:dyDescent="0.25">
      <c r="B384" s="227"/>
      <c r="C384" s="10" t="s">
        <v>155</v>
      </c>
      <c r="D384" s="11" t="s">
        <v>46</v>
      </c>
      <c r="E384" s="11" t="s">
        <v>46</v>
      </c>
      <c r="G384" s="171">
        <v>0</v>
      </c>
      <c r="H384" s="52" cm="1">
        <f t="array" ref="H384">IFERROR(INDEX(Table3[Labor rate], MATCH(1, (Table3[Material]='Fixture+Pipe Qty'!$C$378) * (Table3[Size]='Fixture+Pipe Qty'!$C384), 0)),0)</f>
        <v>0.16</v>
      </c>
      <c r="I384" s="82">
        <f t="shared" si="239"/>
        <v>0</v>
      </c>
      <c r="J384" s="170">
        <f>I384*Summary!$H$4</f>
        <v>0</v>
      </c>
      <c r="K384" s="52"/>
      <c r="L384" s="56">
        <v>0</v>
      </c>
      <c r="M384" s="84">
        <f t="shared" si="240"/>
        <v>0</v>
      </c>
      <c r="N384" s="167">
        <f t="shared" si="241"/>
        <v>0</v>
      </c>
      <c r="Q384" s="349"/>
      <c r="R384" s="349"/>
    </row>
    <row r="385" spans="2:18" s="43" customFormat="1" ht="15" customHeight="1" x14ac:dyDescent="0.25">
      <c r="B385" s="133"/>
      <c r="C385" s="49"/>
      <c r="D385" s="11"/>
      <c r="E385" s="11"/>
      <c r="F385" s="110"/>
      <c r="H385" s="110"/>
      <c r="I385" s="159"/>
      <c r="J385" s="160"/>
      <c r="K385" s="161"/>
      <c r="L385" s="110"/>
      <c r="M385" s="162"/>
      <c r="N385" s="163"/>
      <c r="Q385" s="349"/>
      <c r="R385" s="349"/>
    </row>
    <row r="386" spans="2:18" ht="15.75" thickBot="1" x14ac:dyDescent="0.3">
      <c r="B386" s="208"/>
      <c r="C386" s="10"/>
      <c r="F386" s="209"/>
      <c r="G386" s="169"/>
      <c r="H386" s="52"/>
      <c r="I386" s="207"/>
      <c r="J386" s="138"/>
      <c r="M386" s="138"/>
      <c r="N386" s="167"/>
      <c r="Q386" s="349"/>
      <c r="R386" s="349"/>
    </row>
    <row r="387" spans="2:18" x14ac:dyDescent="0.25">
      <c r="B387" s="405"/>
      <c r="C387" s="406" t="s">
        <v>564</v>
      </c>
      <c r="D387" s="407"/>
      <c r="E387" s="407"/>
      <c r="F387" s="408"/>
      <c r="G387" s="408">
        <f>SUM(G360:G385)</f>
        <v>173.03000000000003</v>
      </c>
      <c r="H387" s="408"/>
      <c r="I387" s="408">
        <f>SUM(I360:I386)</f>
        <v>8.78735</v>
      </c>
      <c r="J387" s="409">
        <f>SUM(J360:J386)</f>
        <v>1515.817875</v>
      </c>
      <c r="K387" s="408"/>
      <c r="L387" s="408"/>
      <c r="M387" s="409">
        <f>SUM(M360:M386)</f>
        <v>0</v>
      </c>
      <c r="N387" s="410"/>
      <c r="Q387" s="349"/>
      <c r="R387" s="349"/>
    </row>
    <row r="388" spans="2:18" x14ac:dyDescent="0.25">
      <c r="B388" s="210"/>
      <c r="C388" s="10"/>
      <c r="G388" s="169"/>
      <c r="H388" s="52"/>
      <c r="I388" s="82"/>
      <c r="J388" s="170"/>
      <c r="K388" s="56"/>
      <c r="L388" s="56"/>
      <c r="M388" s="84"/>
      <c r="N388" s="167"/>
      <c r="Q388" s="349"/>
      <c r="R388" s="349"/>
    </row>
    <row r="389" spans="2:18" x14ac:dyDescent="0.25">
      <c r="B389" s="402" t="s">
        <v>997</v>
      </c>
      <c r="C389" s="10"/>
      <c r="G389" s="169"/>
      <c r="H389" s="52"/>
      <c r="I389" s="82"/>
      <c r="J389" s="170"/>
      <c r="K389" s="56"/>
      <c r="L389" s="56"/>
      <c r="M389" s="84"/>
      <c r="N389" s="167"/>
      <c r="Q389" s="349"/>
      <c r="R389" s="349"/>
    </row>
    <row r="390" spans="2:18" x14ac:dyDescent="0.25">
      <c r="B390" s="210"/>
      <c r="C390" s="10"/>
      <c r="G390" s="169"/>
      <c r="H390" s="52"/>
      <c r="I390" s="82"/>
      <c r="J390" s="170"/>
      <c r="K390" s="56"/>
      <c r="L390" s="56"/>
      <c r="M390" s="84"/>
      <c r="N390" s="167"/>
      <c r="Q390" s="349"/>
      <c r="R390" s="349"/>
    </row>
    <row r="391" spans="2:18" x14ac:dyDescent="0.25">
      <c r="B391" s="86"/>
      <c r="C391" s="10"/>
      <c r="G391" s="171"/>
      <c r="H391" s="52"/>
      <c r="I391" s="82"/>
      <c r="J391" s="170"/>
      <c r="K391" s="132"/>
      <c r="L391" s="56"/>
      <c r="M391" s="84"/>
      <c r="N391" s="167"/>
      <c r="Q391" s="349"/>
      <c r="R391" s="349"/>
    </row>
    <row r="392" spans="2:18" x14ac:dyDescent="0.25">
      <c r="B392" s="86" t="s">
        <v>957</v>
      </c>
      <c r="C392" s="537" t="s">
        <v>98</v>
      </c>
      <c r="G392" s="177"/>
      <c r="I392" s="82"/>
      <c r="J392" s="170"/>
      <c r="K392" s="56"/>
      <c r="L392" s="56"/>
      <c r="M392" s="84"/>
      <c r="N392" s="167"/>
      <c r="Q392" s="349"/>
      <c r="R392" s="349"/>
    </row>
    <row r="393" spans="2:18" outlineLevel="1" x14ac:dyDescent="0.25">
      <c r="B393" s="227"/>
      <c r="C393" s="15" t="s">
        <v>933</v>
      </c>
      <c r="D393" s="11" t="s">
        <v>46</v>
      </c>
      <c r="E393" s="11" t="s">
        <v>46</v>
      </c>
      <c r="F393" s="146">
        <v>1</v>
      </c>
      <c r="G393" s="171"/>
      <c r="H393" s="52">
        <v>0.27300000000000002</v>
      </c>
      <c r="I393" s="159">
        <f t="shared" ref="I393" si="242">(F393+G393)*H393</f>
        <v>0.27300000000000002</v>
      </c>
      <c r="J393" s="160">
        <f>I393*Summary!$H$4</f>
        <v>47.092500000000001</v>
      </c>
      <c r="K393" s="52"/>
      <c r="L393" s="56">
        <v>0</v>
      </c>
      <c r="M393" s="84">
        <f t="shared" ref="M393:M399" si="243">((F393+G393)*K393)+((F393+G393)*L393)</f>
        <v>0</v>
      </c>
      <c r="N393" s="167">
        <f t="shared" ref="N393:N399" si="244">M393+J393</f>
        <v>47.092500000000001</v>
      </c>
      <c r="Q393" s="349"/>
      <c r="R393" s="349"/>
    </row>
    <row r="394" spans="2:18" outlineLevel="1" x14ac:dyDescent="0.25">
      <c r="B394" s="227"/>
      <c r="C394" s="15" t="s">
        <v>934</v>
      </c>
      <c r="D394" s="11" t="s">
        <v>46</v>
      </c>
      <c r="E394" s="11" t="s">
        <v>46</v>
      </c>
      <c r="F394" s="146">
        <v>2</v>
      </c>
      <c r="G394" s="171"/>
      <c r="H394" s="52">
        <v>0.36799999999999999</v>
      </c>
      <c r="I394" s="159">
        <f t="shared" ref="I394:I396" si="245">(F394+G394)*H394</f>
        <v>0.73599999999999999</v>
      </c>
      <c r="J394" s="160">
        <f>I394*Summary!$H$4</f>
        <v>126.96</v>
      </c>
      <c r="K394" s="52"/>
      <c r="L394" s="56">
        <v>0</v>
      </c>
      <c r="M394" s="84">
        <f t="shared" si="243"/>
        <v>0</v>
      </c>
      <c r="N394" s="167">
        <f t="shared" si="244"/>
        <v>126.96</v>
      </c>
      <c r="Q394" s="349"/>
      <c r="R394" s="349"/>
    </row>
    <row r="395" spans="2:18" outlineLevel="1" x14ac:dyDescent="0.25">
      <c r="B395" s="227"/>
      <c r="C395" s="15" t="s">
        <v>935</v>
      </c>
      <c r="D395" s="11" t="s">
        <v>46</v>
      </c>
      <c r="E395" s="11" t="s">
        <v>46</v>
      </c>
      <c r="F395" s="146">
        <v>1</v>
      </c>
      <c r="G395" s="171"/>
      <c r="H395" s="52">
        <v>0.24</v>
      </c>
      <c r="I395" s="159">
        <f t="shared" si="245"/>
        <v>0.24</v>
      </c>
      <c r="J395" s="160">
        <f>I395*Summary!$H$4</f>
        <v>41.4</v>
      </c>
      <c r="K395" s="52"/>
      <c r="L395" s="56">
        <v>0</v>
      </c>
      <c r="M395" s="84">
        <f t="shared" si="243"/>
        <v>0</v>
      </c>
      <c r="N395" s="167">
        <f t="shared" si="244"/>
        <v>41.4</v>
      </c>
      <c r="Q395" s="349"/>
      <c r="R395" s="349"/>
    </row>
    <row r="396" spans="2:18" outlineLevel="1" x14ac:dyDescent="0.25">
      <c r="B396" s="227"/>
      <c r="C396" s="15" t="s">
        <v>936</v>
      </c>
      <c r="D396" s="11" t="s">
        <v>46</v>
      </c>
      <c r="E396" s="11" t="s">
        <v>46</v>
      </c>
      <c r="F396" s="146">
        <v>2</v>
      </c>
      <c r="G396" s="171"/>
      <c r="H396" s="52">
        <v>0.32</v>
      </c>
      <c r="I396" s="159">
        <f t="shared" si="245"/>
        <v>0.64</v>
      </c>
      <c r="J396" s="160">
        <f>I396*Summary!$H$4</f>
        <v>110.4</v>
      </c>
      <c r="K396" s="52"/>
      <c r="L396" s="56">
        <v>0</v>
      </c>
      <c r="M396" s="84">
        <f t="shared" si="243"/>
        <v>0</v>
      </c>
      <c r="N396" s="167">
        <f t="shared" si="244"/>
        <v>110.4</v>
      </c>
      <c r="Q396" s="349"/>
      <c r="R396" s="349"/>
    </row>
    <row r="397" spans="2:18" outlineLevel="1" x14ac:dyDescent="0.25">
      <c r="B397" s="227"/>
      <c r="C397" s="15" t="s">
        <v>937</v>
      </c>
      <c r="D397" s="11" t="s">
        <v>46</v>
      </c>
      <c r="E397" s="11" t="s">
        <v>46</v>
      </c>
      <c r="F397" s="146">
        <v>2</v>
      </c>
      <c r="G397" s="171"/>
      <c r="H397" s="52">
        <v>0.27300000000000002</v>
      </c>
      <c r="I397" s="82">
        <f t="shared" ref="I397:I409" si="246">(F397+G397)*H397</f>
        <v>0.54600000000000004</v>
      </c>
      <c r="J397" s="170">
        <f>I397*Summary!$H$4</f>
        <v>94.185000000000002</v>
      </c>
      <c r="K397" s="52"/>
      <c r="L397" s="56">
        <v>0</v>
      </c>
      <c r="M397" s="84">
        <f t="shared" si="243"/>
        <v>0</v>
      </c>
      <c r="N397" s="167">
        <f t="shared" si="244"/>
        <v>94.185000000000002</v>
      </c>
      <c r="Q397" s="349"/>
      <c r="R397" s="349"/>
    </row>
    <row r="398" spans="2:18" outlineLevel="1" x14ac:dyDescent="0.25">
      <c r="B398" s="227"/>
      <c r="C398" s="15" t="s">
        <v>938</v>
      </c>
      <c r="D398" s="11" t="s">
        <v>46</v>
      </c>
      <c r="E398" s="11" t="s">
        <v>46</v>
      </c>
      <c r="F398" s="146">
        <v>5</v>
      </c>
      <c r="G398" s="171"/>
      <c r="H398" s="52">
        <v>0.36799999999999999</v>
      </c>
      <c r="I398" s="82">
        <f t="shared" si="246"/>
        <v>1.8399999999999999</v>
      </c>
      <c r="J398" s="170">
        <f>I398*Summary!$H$4</f>
        <v>317.39999999999998</v>
      </c>
      <c r="K398" s="52"/>
      <c r="L398" s="56">
        <v>0</v>
      </c>
      <c r="M398" s="84">
        <f t="shared" si="243"/>
        <v>0</v>
      </c>
      <c r="N398" s="167">
        <f t="shared" si="244"/>
        <v>317.39999999999998</v>
      </c>
      <c r="Q398" s="349"/>
      <c r="R398" s="349"/>
    </row>
    <row r="399" spans="2:18" outlineLevel="1" x14ac:dyDescent="0.25">
      <c r="B399" s="227"/>
      <c r="C399" s="15" t="s">
        <v>953</v>
      </c>
      <c r="D399" s="11" t="s">
        <v>46</v>
      </c>
      <c r="E399" s="11" t="s">
        <v>46</v>
      </c>
      <c r="F399" s="146">
        <v>2</v>
      </c>
      <c r="G399" s="171"/>
      <c r="H399" s="52">
        <v>0.247</v>
      </c>
      <c r="I399" s="159">
        <f t="shared" ref="I399" si="247">(F399+G399)*H399</f>
        <v>0.49399999999999999</v>
      </c>
      <c r="J399" s="160">
        <f>I399*Summary!$H$4</f>
        <v>85.215000000000003</v>
      </c>
      <c r="K399" s="52"/>
      <c r="L399" s="56">
        <v>0</v>
      </c>
      <c r="M399" s="84">
        <f t="shared" si="243"/>
        <v>0</v>
      </c>
      <c r="N399" s="167">
        <f t="shared" si="244"/>
        <v>85.215000000000003</v>
      </c>
      <c r="Q399" s="349"/>
      <c r="R399" s="349"/>
    </row>
    <row r="400" spans="2:18" outlineLevel="1" x14ac:dyDescent="0.25">
      <c r="B400" s="227"/>
      <c r="C400" s="15" t="s">
        <v>939</v>
      </c>
      <c r="D400" s="11" t="s">
        <v>46</v>
      </c>
      <c r="E400" s="11" t="s">
        <v>46</v>
      </c>
      <c r="F400" s="146">
        <v>3</v>
      </c>
      <c r="G400" s="171"/>
      <c r="H400" s="52">
        <v>0.315</v>
      </c>
      <c r="I400" s="159">
        <f t="shared" si="246"/>
        <v>0.94500000000000006</v>
      </c>
      <c r="J400" s="160">
        <f>I400*Summary!$H$4</f>
        <v>163.01250000000002</v>
      </c>
      <c r="K400" s="52"/>
      <c r="L400" s="56">
        <v>0</v>
      </c>
      <c r="M400" s="84">
        <f t="shared" ref="M400:M409" si="248">((F400+G400)*K400)+((F400+G400)*L400)</f>
        <v>0</v>
      </c>
      <c r="N400" s="167">
        <f t="shared" ref="N400:N409" si="249">M400+J400</f>
        <v>163.01250000000002</v>
      </c>
      <c r="Q400" s="349"/>
      <c r="R400" s="349"/>
    </row>
    <row r="401" spans="2:18" outlineLevel="1" x14ac:dyDescent="0.25">
      <c r="B401" s="227"/>
      <c r="C401" s="15" t="s">
        <v>940</v>
      </c>
      <c r="D401" s="11" t="s">
        <v>46</v>
      </c>
      <c r="E401" s="11" t="s">
        <v>46</v>
      </c>
      <c r="F401" s="146">
        <v>2</v>
      </c>
      <c r="G401" s="171"/>
      <c r="H401" s="52">
        <v>0.34100000000000003</v>
      </c>
      <c r="I401" s="159">
        <f t="shared" si="246"/>
        <v>0.68200000000000005</v>
      </c>
      <c r="J401" s="160">
        <f>I401*Summary!$H$4</f>
        <v>117.64500000000001</v>
      </c>
      <c r="K401" s="52"/>
      <c r="L401" s="56">
        <v>0</v>
      </c>
      <c r="M401" s="84">
        <f t="shared" si="248"/>
        <v>0</v>
      </c>
      <c r="N401" s="167">
        <f t="shared" si="249"/>
        <v>117.64500000000001</v>
      </c>
      <c r="Q401" s="349"/>
      <c r="R401" s="349"/>
    </row>
    <row r="402" spans="2:18" outlineLevel="1" x14ac:dyDescent="0.25">
      <c r="B402" s="227"/>
      <c r="C402" s="15" t="s">
        <v>941</v>
      </c>
      <c r="D402" s="11" t="s">
        <v>46</v>
      </c>
      <c r="E402" s="11" t="s">
        <v>46</v>
      </c>
      <c r="F402" s="146">
        <f>3+4</f>
        <v>7</v>
      </c>
      <c r="G402" s="171"/>
      <c r="H402" s="52">
        <v>0.13100000000000001</v>
      </c>
      <c r="I402" s="159">
        <f t="shared" si="246"/>
        <v>0.91700000000000004</v>
      </c>
      <c r="J402" s="160">
        <f>I402*Summary!$H$4</f>
        <v>158.1825</v>
      </c>
      <c r="K402" s="52"/>
      <c r="L402" s="56">
        <v>0</v>
      </c>
      <c r="M402" s="84">
        <f t="shared" si="248"/>
        <v>0</v>
      </c>
      <c r="N402" s="167">
        <f t="shared" si="249"/>
        <v>158.1825</v>
      </c>
      <c r="Q402" s="349"/>
      <c r="R402" s="349"/>
    </row>
    <row r="403" spans="2:18" outlineLevel="1" x14ac:dyDescent="0.25">
      <c r="B403" s="227"/>
      <c r="C403" s="15" t="s">
        <v>942</v>
      </c>
      <c r="D403" s="11" t="s">
        <v>46</v>
      </c>
      <c r="E403" s="11" t="s">
        <v>46</v>
      </c>
      <c r="F403" s="146">
        <f>5+1</f>
        <v>6</v>
      </c>
      <c r="G403" s="171"/>
      <c r="H403" s="52">
        <v>0.184</v>
      </c>
      <c r="I403" s="82">
        <f t="shared" ref="I403:I405" si="250">(F403+G403)*H403</f>
        <v>1.1040000000000001</v>
      </c>
      <c r="J403" s="170">
        <f>I403*Summary!$H$4</f>
        <v>190.44000000000003</v>
      </c>
      <c r="K403" s="52"/>
      <c r="L403" s="56">
        <v>0</v>
      </c>
      <c r="M403" s="84">
        <f t="shared" si="248"/>
        <v>0</v>
      </c>
      <c r="N403" s="167">
        <f t="shared" si="249"/>
        <v>190.44000000000003</v>
      </c>
      <c r="Q403" s="349"/>
      <c r="R403" s="349"/>
    </row>
    <row r="404" spans="2:18" outlineLevel="1" x14ac:dyDescent="0.25">
      <c r="B404" s="227"/>
      <c r="C404" s="15" t="s">
        <v>943</v>
      </c>
      <c r="D404" s="11" t="s">
        <v>46</v>
      </c>
      <c r="E404" s="11" t="s">
        <v>46</v>
      </c>
      <c r="F404" s="146">
        <v>2</v>
      </c>
      <c r="G404" s="171"/>
      <c r="H404" s="52">
        <v>0.26300000000000001</v>
      </c>
      <c r="I404" s="82">
        <f t="shared" si="250"/>
        <v>0.52600000000000002</v>
      </c>
      <c r="J404" s="170">
        <f>I404*Summary!$H$4</f>
        <v>90.734999999999999</v>
      </c>
      <c r="K404" s="52"/>
      <c r="L404" s="56">
        <v>0</v>
      </c>
      <c r="M404" s="84">
        <f t="shared" si="248"/>
        <v>0</v>
      </c>
      <c r="N404" s="167">
        <f t="shared" si="249"/>
        <v>90.734999999999999</v>
      </c>
      <c r="Q404" s="349"/>
      <c r="R404" s="349"/>
    </row>
    <row r="405" spans="2:18" outlineLevel="1" x14ac:dyDescent="0.25">
      <c r="B405" s="227"/>
      <c r="C405" s="15" t="s">
        <v>944</v>
      </c>
      <c r="D405" s="11" t="s">
        <v>46</v>
      </c>
      <c r="E405" s="11" t="s">
        <v>46</v>
      </c>
      <c r="F405" s="146">
        <v>1</v>
      </c>
      <c r="G405" s="171"/>
      <c r="H405" s="52">
        <v>0.126</v>
      </c>
      <c r="I405" s="159">
        <f t="shared" si="250"/>
        <v>0.126</v>
      </c>
      <c r="J405" s="160">
        <f>I405*Summary!$H$4</f>
        <v>21.734999999999999</v>
      </c>
      <c r="K405" s="52"/>
      <c r="L405" s="56">
        <v>0</v>
      </c>
      <c r="M405" s="84">
        <f t="shared" ref="M405" si="251">((F405+G405)*K405)+((F405+G405)*L405)</f>
        <v>0</v>
      </c>
      <c r="N405" s="167">
        <f t="shared" ref="N405" si="252">M405+J405</f>
        <v>21.734999999999999</v>
      </c>
      <c r="Q405" s="349"/>
      <c r="R405" s="349"/>
    </row>
    <row r="406" spans="2:18" outlineLevel="1" x14ac:dyDescent="0.25">
      <c r="B406" s="227"/>
      <c r="C406" s="15" t="s">
        <v>945</v>
      </c>
      <c r="D406" s="11" t="s">
        <v>46</v>
      </c>
      <c r="E406" s="11" t="s">
        <v>46</v>
      </c>
      <c r="F406" s="146">
        <v>10</v>
      </c>
      <c r="G406" s="171"/>
      <c r="H406" s="52">
        <v>0.13100000000000001</v>
      </c>
      <c r="I406" s="159">
        <f t="shared" si="246"/>
        <v>1.31</v>
      </c>
      <c r="J406" s="160">
        <f>I406*Summary!$H$4</f>
        <v>225.97500000000002</v>
      </c>
      <c r="K406" s="52"/>
      <c r="L406" s="56">
        <v>0</v>
      </c>
      <c r="M406" s="84">
        <f t="shared" si="248"/>
        <v>0</v>
      </c>
      <c r="N406" s="167">
        <f t="shared" si="249"/>
        <v>225.97500000000002</v>
      </c>
      <c r="Q406" s="349"/>
      <c r="R406" s="349"/>
    </row>
    <row r="407" spans="2:18" outlineLevel="1" x14ac:dyDescent="0.25">
      <c r="B407" s="227"/>
      <c r="C407" s="15" t="s">
        <v>946</v>
      </c>
      <c r="D407" s="11" t="s">
        <v>46</v>
      </c>
      <c r="E407" s="11" t="s">
        <v>46</v>
      </c>
      <c r="F407" s="146">
        <v>18</v>
      </c>
      <c r="G407" s="171"/>
      <c r="H407" s="52">
        <v>0.184</v>
      </c>
      <c r="I407" s="159">
        <f t="shared" si="246"/>
        <v>3.3119999999999998</v>
      </c>
      <c r="J407" s="160">
        <f>I407*Summary!$H$4</f>
        <v>571.31999999999994</v>
      </c>
      <c r="K407" s="52"/>
      <c r="L407" s="56">
        <v>0</v>
      </c>
      <c r="M407" s="84">
        <f t="shared" si="248"/>
        <v>0</v>
      </c>
      <c r="N407" s="167">
        <f t="shared" si="249"/>
        <v>571.31999999999994</v>
      </c>
      <c r="Q407" s="349"/>
      <c r="R407" s="349"/>
    </row>
    <row r="408" spans="2:18" outlineLevel="1" x14ac:dyDescent="0.25">
      <c r="B408" s="227"/>
      <c r="C408" s="15" t="s">
        <v>947</v>
      </c>
      <c r="D408" s="11" t="s">
        <v>46</v>
      </c>
      <c r="E408" s="11" t="s">
        <v>46</v>
      </c>
      <c r="F408" s="146">
        <v>4</v>
      </c>
      <c r="G408" s="171"/>
      <c r="H408" s="52">
        <v>0.26300000000000001</v>
      </c>
      <c r="I408" s="159">
        <f t="shared" si="246"/>
        <v>1.052</v>
      </c>
      <c r="J408" s="160">
        <f>I408*Summary!$H$4</f>
        <v>181.47</v>
      </c>
      <c r="K408" s="52"/>
      <c r="L408" s="56">
        <v>0</v>
      </c>
      <c r="M408" s="84">
        <f t="shared" si="248"/>
        <v>0</v>
      </c>
      <c r="N408" s="167">
        <f t="shared" si="249"/>
        <v>181.47</v>
      </c>
      <c r="Q408" s="349"/>
      <c r="R408" s="349"/>
    </row>
    <row r="409" spans="2:18" outlineLevel="1" x14ac:dyDescent="0.25">
      <c r="B409" s="227"/>
      <c r="C409" s="15" t="s">
        <v>948</v>
      </c>
      <c r="D409" s="11" t="s">
        <v>46</v>
      </c>
      <c r="E409" s="11" t="s">
        <v>46</v>
      </c>
      <c r="F409" s="146">
        <v>5</v>
      </c>
      <c r="G409" s="171"/>
      <c r="H409" s="52">
        <v>0.2</v>
      </c>
      <c r="I409" s="159">
        <f t="shared" si="246"/>
        <v>1</v>
      </c>
      <c r="J409" s="160">
        <f>I409*Summary!$H$4</f>
        <v>172.5</v>
      </c>
      <c r="K409" s="52"/>
      <c r="L409" s="56">
        <v>0</v>
      </c>
      <c r="M409" s="84">
        <f t="shared" si="248"/>
        <v>0</v>
      </c>
      <c r="N409" s="167">
        <f t="shared" si="249"/>
        <v>172.5</v>
      </c>
      <c r="Q409" s="349"/>
      <c r="R409" s="349"/>
    </row>
    <row r="410" spans="2:18" outlineLevel="1" x14ac:dyDescent="0.25">
      <c r="B410" s="227"/>
      <c r="C410" s="15" t="s">
        <v>949</v>
      </c>
      <c r="D410" s="11" t="s">
        <v>46</v>
      </c>
      <c r="E410" s="11" t="s">
        <v>46</v>
      </c>
      <c r="F410" s="146">
        <v>5</v>
      </c>
      <c r="G410" s="171"/>
      <c r="H410" s="52">
        <v>0.27300000000000002</v>
      </c>
      <c r="I410" s="159">
        <f t="shared" ref="I410:I418" si="253">(F410+G410)*H410</f>
        <v>1.3650000000000002</v>
      </c>
      <c r="J410" s="160">
        <f>I410*Summary!$H$4</f>
        <v>235.46250000000003</v>
      </c>
      <c r="K410" s="52"/>
      <c r="L410" s="56">
        <v>0</v>
      </c>
      <c r="M410" s="84">
        <f t="shared" ref="M410:M418" si="254">((F410+G410)*K410)+((F410+G410)*L410)</f>
        <v>0</v>
      </c>
      <c r="N410" s="167">
        <f t="shared" ref="N410:N418" si="255">M410+J410</f>
        <v>235.46250000000003</v>
      </c>
      <c r="Q410" s="349"/>
      <c r="R410" s="349"/>
    </row>
    <row r="411" spans="2:18" outlineLevel="1" x14ac:dyDescent="0.25">
      <c r="B411" s="227"/>
      <c r="C411" s="15" t="s">
        <v>950</v>
      </c>
      <c r="D411" s="11" t="s">
        <v>46</v>
      </c>
      <c r="E411" s="11" t="s">
        <v>46</v>
      </c>
      <c r="F411" s="146">
        <v>1</v>
      </c>
      <c r="G411" s="171"/>
      <c r="H411" s="52">
        <v>0.221</v>
      </c>
      <c r="I411" s="159">
        <f t="shared" si="253"/>
        <v>0.221</v>
      </c>
      <c r="J411" s="160">
        <f>I411*Summary!$H$4</f>
        <v>38.122500000000002</v>
      </c>
      <c r="K411" s="52"/>
      <c r="L411" s="56">
        <v>0</v>
      </c>
      <c r="M411" s="84">
        <f t="shared" si="254"/>
        <v>0</v>
      </c>
      <c r="N411" s="167">
        <f t="shared" si="255"/>
        <v>38.122500000000002</v>
      </c>
      <c r="Q411" s="349"/>
      <c r="R411" s="349"/>
    </row>
    <row r="412" spans="2:18" outlineLevel="1" x14ac:dyDescent="0.25">
      <c r="B412" s="227"/>
      <c r="C412" s="15" t="s">
        <v>951</v>
      </c>
      <c r="D412" s="11" t="s">
        <v>46</v>
      </c>
      <c r="E412" s="11" t="s">
        <v>46</v>
      </c>
      <c r="F412" s="146">
        <v>2</v>
      </c>
      <c r="G412" s="171"/>
      <c r="H412" s="52">
        <v>0.247</v>
      </c>
      <c r="I412" s="159">
        <f t="shared" si="253"/>
        <v>0.49399999999999999</v>
      </c>
      <c r="J412" s="160">
        <f>I412*Summary!$H$4</f>
        <v>85.215000000000003</v>
      </c>
      <c r="K412" s="52"/>
      <c r="L412" s="56">
        <v>0</v>
      </c>
      <c r="M412" s="84">
        <f t="shared" si="254"/>
        <v>0</v>
      </c>
      <c r="N412" s="167">
        <f t="shared" si="255"/>
        <v>85.215000000000003</v>
      </c>
      <c r="Q412" s="349"/>
      <c r="R412" s="349"/>
    </row>
    <row r="413" spans="2:18" outlineLevel="1" x14ac:dyDescent="0.25">
      <c r="B413" s="227"/>
      <c r="C413" s="15" t="s">
        <v>952</v>
      </c>
      <c r="D413" s="11" t="s">
        <v>46</v>
      </c>
      <c r="E413" s="11" t="s">
        <v>46</v>
      </c>
      <c r="F413" s="146">
        <v>2</v>
      </c>
      <c r="G413" s="171"/>
      <c r="H413" s="52">
        <v>0.34100000000000003</v>
      </c>
      <c r="I413" s="159">
        <f t="shared" ref="I413:I414" si="256">(F413+G413)*H413</f>
        <v>0.68200000000000005</v>
      </c>
      <c r="J413" s="160">
        <f>I413*Summary!$H$4</f>
        <v>117.64500000000001</v>
      </c>
      <c r="K413" s="52"/>
      <c r="L413" s="56">
        <v>0</v>
      </c>
      <c r="M413" s="84">
        <f t="shared" ref="M413:M414" si="257">((F413+G413)*K413)+((F413+G413)*L413)</f>
        <v>0</v>
      </c>
      <c r="N413" s="167">
        <f t="shared" ref="N413:N414" si="258">M413+J413</f>
        <v>117.64500000000001</v>
      </c>
      <c r="Q413" s="349"/>
      <c r="R413" s="349"/>
    </row>
    <row r="414" spans="2:18" outlineLevel="1" x14ac:dyDescent="0.25">
      <c r="B414" s="227"/>
      <c r="C414" s="15" t="s">
        <v>954</v>
      </c>
      <c r="D414" s="11" t="s">
        <v>46</v>
      </c>
      <c r="E414" s="11" t="s">
        <v>46</v>
      </c>
      <c r="F414" s="146">
        <v>1</v>
      </c>
      <c r="G414" s="171"/>
      <c r="H414" s="52">
        <v>0.15</v>
      </c>
      <c r="I414" s="159">
        <f t="shared" si="256"/>
        <v>0.15</v>
      </c>
      <c r="J414" s="160">
        <f>I414*Summary!$H$4</f>
        <v>25.875</v>
      </c>
      <c r="K414" s="52"/>
      <c r="L414" s="56">
        <v>0</v>
      </c>
      <c r="M414" s="84">
        <f t="shared" si="257"/>
        <v>0</v>
      </c>
      <c r="N414" s="167">
        <f t="shared" si="258"/>
        <v>25.875</v>
      </c>
      <c r="Q414" s="349"/>
      <c r="R414" s="349"/>
    </row>
    <row r="415" spans="2:18" outlineLevel="1" x14ac:dyDescent="0.25">
      <c r="B415" s="227"/>
      <c r="C415" s="15" t="s">
        <v>955</v>
      </c>
      <c r="D415" s="11" t="s">
        <v>46</v>
      </c>
      <c r="E415" s="11" t="s">
        <v>46</v>
      </c>
      <c r="F415" s="146">
        <v>1</v>
      </c>
      <c r="G415" s="171"/>
      <c r="H415" s="52">
        <v>0.185</v>
      </c>
      <c r="I415" s="159">
        <f t="shared" ref="I415:I417" si="259">(F415+G415)*H415</f>
        <v>0.185</v>
      </c>
      <c r="J415" s="160">
        <f>I415*Summary!$H$4</f>
        <v>31.912499999999998</v>
      </c>
      <c r="K415" s="52"/>
      <c r="L415" s="56">
        <v>0</v>
      </c>
      <c r="M415" s="84">
        <f t="shared" ref="M415:M417" si="260">((F415+G415)*K415)+((F415+G415)*L415)</f>
        <v>0</v>
      </c>
      <c r="N415" s="167">
        <f t="shared" ref="N415:N417" si="261">M415+J415</f>
        <v>31.912499999999998</v>
      </c>
      <c r="Q415" s="349"/>
      <c r="R415" s="349"/>
    </row>
    <row r="416" spans="2:18" outlineLevel="1" x14ac:dyDescent="0.25">
      <c r="B416" s="227"/>
      <c r="C416" s="15" t="s">
        <v>956</v>
      </c>
      <c r="D416" s="11" t="s">
        <v>46</v>
      </c>
      <c r="E416" s="11" t="s">
        <v>46</v>
      </c>
      <c r="F416" s="146">
        <v>4</v>
      </c>
      <c r="G416" s="171"/>
      <c r="H416" s="52">
        <v>0.185</v>
      </c>
      <c r="I416" s="159">
        <f t="shared" si="259"/>
        <v>0.74</v>
      </c>
      <c r="J416" s="160">
        <f>I416*Summary!$H$4</f>
        <v>127.64999999999999</v>
      </c>
      <c r="K416" s="52"/>
      <c r="L416" s="56">
        <v>0</v>
      </c>
      <c r="M416" s="84">
        <f t="shared" si="260"/>
        <v>0</v>
      </c>
      <c r="N416" s="167">
        <f t="shared" si="261"/>
        <v>127.64999999999999</v>
      </c>
      <c r="Q416" s="349"/>
      <c r="R416" s="349"/>
    </row>
    <row r="417" spans="2:18" outlineLevel="1" x14ac:dyDescent="0.25">
      <c r="B417" s="227"/>
      <c r="C417" s="15" t="s">
        <v>978</v>
      </c>
      <c r="D417" s="11" t="s">
        <v>46</v>
      </c>
      <c r="E417" s="11" t="s">
        <v>46</v>
      </c>
      <c r="F417" s="146">
        <f>F154</f>
        <v>7</v>
      </c>
      <c r="G417" s="171"/>
      <c r="H417" s="52">
        <v>0.2</v>
      </c>
      <c r="I417" s="159">
        <f t="shared" si="259"/>
        <v>1.4000000000000001</v>
      </c>
      <c r="J417" s="160">
        <f>I417*Summary!$H$4</f>
        <v>241.50000000000003</v>
      </c>
      <c r="K417" s="52"/>
      <c r="L417" s="56">
        <v>0</v>
      </c>
      <c r="M417" s="84">
        <f t="shared" si="260"/>
        <v>0</v>
      </c>
      <c r="N417" s="167">
        <f t="shared" si="261"/>
        <v>241.50000000000003</v>
      </c>
      <c r="Q417" s="349"/>
      <c r="R417" s="349"/>
    </row>
    <row r="418" spans="2:18" outlineLevel="1" x14ac:dyDescent="0.25">
      <c r="B418" s="227"/>
      <c r="C418" s="15" t="s">
        <v>979</v>
      </c>
      <c r="D418" s="11" t="s">
        <v>46</v>
      </c>
      <c r="E418" s="11" t="s">
        <v>46</v>
      </c>
      <c r="F418" s="146">
        <f>F147+F148+F149</f>
        <v>9</v>
      </c>
      <c r="G418" s="171"/>
      <c r="H418" s="52">
        <v>0.28499999999999998</v>
      </c>
      <c r="I418" s="159">
        <f t="shared" si="253"/>
        <v>2.5649999999999999</v>
      </c>
      <c r="J418" s="160">
        <f>I418*Summary!$H$4</f>
        <v>442.46249999999998</v>
      </c>
      <c r="K418" s="52"/>
      <c r="L418" s="56">
        <v>0</v>
      </c>
      <c r="M418" s="84">
        <f t="shared" si="254"/>
        <v>0</v>
      </c>
      <c r="N418" s="167">
        <f t="shared" si="255"/>
        <v>442.46249999999998</v>
      </c>
      <c r="Q418" s="349"/>
      <c r="R418" s="349"/>
    </row>
    <row r="419" spans="2:18" x14ac:dyDescent="0.25">
      <c r="B419" s="227"/>
      <c r="C419" s="15" t="s">
        <v>1001</v>
      </c>
      <c r="D419" s="11" t="s">
        <v>46</v>
      </c>
      <c r="E419" s="11" t="s">
        <v>46</v>
      </c>
      <c r="F419" s="146">
        <v>2</v>
      </c>
      <c r="G419" s="171"/>
      <c r="H419" s="52">
        <v>0.3</v>
      </c>
      <c r="I419" s="159">
        <f t="shared" ref="I419" si="262">(F419+G419)*H419</f>
        <v>0.6</v>
      </c>
      <c r="J419" s="160">
        <f>I419*Summary!$H$4</f>
        <v>103.5</v>
      </c>
      <c r="K419" s="56"/>
      <c r="L419" s="56">
        <v>0</v>
      </c>
      <c r="M419" s="84">
        <f>((F419+G419)*K419)+((F419+G419)*L419)</f>
        <v>0</v>
      </c>
      <c r="N419" s="167">
        <f t="shared" ref="N419" si="263">M419+J419</f>
        <v>103.5</v>
      </c>
      <c r="Q419" s="349"/>
      <c r="R419" s="349"/>
    </row>
    <row r="420" spans="2:18" x14ac:dyDescent="0.25">
      <c r="B420" s="86" t="s">
        <v>958</v>
      </c>
      <c r="C420" s="537"/>
      <c r="G420" s="177"/>
      <c r="I420" s="82"/>
      <c r="J420" s="170"/>
      <c r="K420" s="56"/>
      <c r="L420" s="56"/>
      <c r="M420" s="84"/>
      <c r="N420" s="167"/>
      <c r="Q420" s="349"/>
      <c r="R420" s="349"/>
    </row>
    <row r="421" spans="2:18" outlineLevel="1" x14ac:dyDescent="0.25">
      <c r="B421" s="227"/>
      <c r="C421" t="s">
        <v>1000</v>
      </c>
      <c r="D421" s="11" t="s">
        <v>46</v>
      </c>
      <c r="E421" s="11" t="s">
        <v>46</v>
      </c>
      <c r="F421">
        <v>4</v>
      </c>
      <c r="G421" s="171"/>
      <c r="H421" s="52">
        <v>0.35</v>
      </c>
      <c r="I421" s="82">
        <f t="shared" ref="I421:I424" si="264">(F421+G421)*H421</f>
        <v>1.4</v>
      </c>
      <c r="J421" s="170">
        <f>I421*Summary!$H$4</f>
        <v>241.49999999999997</v>
      </c>
      <c r="K421" s="52"/>
      <c r="L421" s="56">
        <v>0</v>
      </c>
      <c r="M421" s="84">
        <f>((F421+G421)*K421)+((F421+G421)*L421)</f>
        <v>0</v>
      </c>
      <c r="N421" s="167">
        <f t="shared" ref="N421:N425" si="265">M421+J421</f>
        <v>241.49999999999997</v>
      </c>
      <c r="Q421" s="349"/>
      <c r="R421" s="349"/>
    </row>
    <row r="422" spans="2:18" outlineLevel="1" x14ac:dyDescent="0.25">
      <c r="B422" s="227"/>
      <c r="C422" t="s">
        <v>999</v>
      </c>
      <c r="D422" s="11" t="s">
        <v>46</v>
      </c>
      <c r="E422" s="11" t="s">
        <v>46</v>
      </c>
      <c r="F422">
        <v>4</v>
      </c>
      <c r="G422" s="171"/>
      <c r="H422" s="52">
        <v>0.35</v>
      </c>
      <c r="I422" s="159">
        <f t="shared" si="264"/>
        <v>1.4</v>
      </c>
      <c r="J422" s="160">
        <f>I422*Summary!$H$4</f>
        <v>241.49999999999997</v>
      </c>
      <c r="K422" s="52"/>
      <c r="L422" s="56">
        <v>0</v>
      </c>
      <c r="M422" s="84">
        <f t="shared" ref="M422:M424" si="266">((F422+G422)*K422)+((F422+G422)*L422)</f>
        <v>0</v>
      </c>
      <c r="N422" s="167">
        <f t="shared" si="265"/>
        <v>241.49999999999997</v>
      </c>
      <c r="Q422" s="349"/>
      <c r="R422" s="349"/>
    </row>
    <row r="423" spans="2:18" outlineLevel="1" x14ac:dyDescent="0.25">
      <c r="B423" s="227"/>
      <c r="C423" t="s">
        <v>998</v>
      </c>
      <c r="D423" s="11" t="s">
        <v>46</v>
      </c>
      <c r="E423" s="11" t="s">
        <v>46</v>
      </c>
      <c r="F423">
        <v>8</v>
      </c>
      <c r="G423" s="171"/>
      <c r="H423" s="52">
        <v>0.3</v>
      </c>
      <c r="I423" s="159">
        <f t="shared" si="264"/>
        <v>2.4</v>
      </c>
      <c r="J423" s="160">
        <f>I423*Summary!$H$4</f>
        <v>414</v>
      </c>
      <c r="K423" s="52"/>
      <c r="L423" s="56">
        <v>0</v>
      </c>
      <c r="M423" s="84">
        <f t="shared" si="266"/>
        <v>0</v>
      </c>
      <c r="N423" s="167">
        <f t="shared" si="265"/>
        <v>414</v>
      </c>
      <c r="Q423" s="349"/>
      <c r="R423" s="349"/>
    </row>
    <row r="424" spans="2:18" outlineLevel="1" x14ac:dyDescent="0.25">
      <c r="B424" s="227"/>
      <c r="C424" t="s">
        <v>990</v>
      </c>
      <c r="D424" s="11" t="s">
        <v>46</v>
      </c>
      <c r="E424" s="11" t="s">
        <v>46</v>
      </c>
      <c r="F424">
        <f>SUM(F421:F423)</f>
        <v>16</v>
      </c>
      <c r="G424" s="171"/>
      <c r="H424" s="52">
        <v>0.2</v>
      </c>
      <c r="I424" s="82">
        <f t="shared" si="264"/>
        <v>3.2</v>
      </c>
      <c r="J424" s="170">
        <f>I424*Summary!$H$4</f>
        <v>552</v>
      </c>
      <c r="K424" s="52"/>
      <c r="L424" s="56">
        <v>0</v>
      </c>
      <c r="M424" s="84">
        <f t="shared" si="266"/>
        <v>0</v>
      </c>
      <c r="N424" s="167">
        <f t="shared" si="265"/>
        <v>552</v>
      </c>
      <c r="Q424" s="349"/>
      <c r="R424" s="349"/>
    </row>
    <row r="425" spans="2:18" outlineLevel="1" x14ac:dyDescent="0.25">
      <c r="B425" s="227"/>
      <c r="C425" t="s">
        <v>991</v>
      </c>
      <c r="D425" s="11" t="s">
        <v>46</v>
      </c>
      <c r="E425" s="11" t="s">
        <v>46</v>
      </c>
      <c r="G425" s="169">
        <f>F424*4</f>
        <v>64</v>
      </c>
      <c r="H425" s="52"/>
      <c r="I425" s="82"/>
      <c r="J425" s="170"/>
      <c r="K425" s="52"/>
      <c r="L425" s="56">
        <v>0</v>
      </c>
      <c r="M425" s="84">
        <f>((F425+G425)*K425)+((F425+G425)*L425)</f>
        <v>0</v>
      </c>
      <c r="N425" s="167">
        <f t="shared" si="265"/>
        <v>0</v>
      </c>
      <c r="Q425" s="349"/>
      <c r="R425" s="349"/>
    </row>
    <row r="426" spans="2:18" ht="15.75" thickBot="1" x14ac:dyDescent="0.3">
      <c r="B426" s="208"/>
      <c r="C426" s="10"/>
      <c r="F426" s="209"/>
      <c r="G426" s="169"/>
      <c r="H426" s="52"/>
      <c r="I426" s="207"/>
      <c r="J426" s="138"/>
      <c r="M426" s="138"/>
      <c r="N426" s="167"/>
      <c r="Q426" s="349"/>
      <c r="R426" s="349"/>
    </row>
    <row r="427" spans="2:18" x14ac:dyDescent="0.25">
      <c r="B427" s="405"/>
      <c r="C427" s="406" t="s">
        <v>564</v>
      </c>
      <c r="D427" s="407"/>
      <c r="E427" s="407"/>
      <c r="F427" s="408"/>
      <c r="G427" s="408">
        <f>SUM(G389:G425)</f>
        <v>64</v>
      </c>
      <c r="H427" s="408"/>
      <c r="I427" s="615">
        <f>SUM(I389:I426)</f>
        <v>32.544999999999987</v>
      </c>
      <c r="J427" s="409">
        <f>SUM(J389:J426)</f>
        <v>5614.0125000000007</v>
      </c>
      <c r="K427" s="408"/>
      <c r="L427" s="408"/>
      <c r="M427" s="409">
        <f>SUM(M389:M426)</f>
        <v>0</v>
      </c>
      <c r="N427" s="410"/>
      <c r="Q427" s="349"/>
      <c r="R427" s="349"/>
    </row>
    <row r="428" spans="2:18" x14ac:dyDescent="0.25">
      <c r="B428" s="227"/>
      <c r="C428" s="10"/>
      <c r="G428" s="171"/>
      <c r="H428" s="52"/>
      <c r="I428" s="82"/>
      <c r="J428" s="170"/>
      <c r="K428" s="56"/>
      <c r="L428" s="56"/>
      <c r="M428" s="84"/>
      <c r="N428" s="167"/>
      <c r="Q428" s="349"/>
      <c r="R428" s="349"/>
    </row>
    <row r="429" spans="2:18" x14ac:dyDescent="0.25">
      <c r="B429" s="402" t="s">
        <v>472</v>
      </c>
      <c r="C429" s="10"/>
      <c r="G429" s="171"/>
      <c r="H429" s="52"/>
      <c r="I429" s="82"/>
      <c r="J429" s="170"/>
      <c r="K429" s="56"/>
      <c r="L429" s="56"/>
      <c r="M429" s="84"/>
      <c r="N429" s="167"/>
      <c r="Q429" s="349"/>
      <c r="R429" s="349"/>
    </row>
    <row r="430" spans="2:18" x14ac:dyDescent="0.25">
      <c r="B430" s="227"/>
      <c r="C430" s="10"/>
      <c r="G430" s="171"/>
      <c r="H430" s="52"/>
      <c r="I430" s="82"/>
      <c r="J430" s="170"/>
      <c r="K430" s="56"/>
      <c r="L430" s="56"/>
      <c r="M430" s="84"/>
      <c r="N430" s="167"/>
      <c r="Q430" s="349"/>
      <c r="R430" s="349"/>
    </row>
    <row r="431" spans="2:18" x14ac:dyDescent="0.25">
      <c r="B431" s="86" t="s">
        <v>158</v>
      </c>
      <c r="C431" s="537" t="s">
        <v>157</v>
      </c>
      <c r="G431" s="177"/>
      <c r="I431" s="82"/>
      <c r="J431" s="170"/>
      <c r="K431" s="56"/>
      <c r="L431" s="56"/>
      <c r="M431" s="84"/>
      <c r="N431" s="167"/>
      <c r="Q431" s="349"/>
      <c r="R431" s="349"/>
    </row>
    <row r="432" spans="2:18" hidden="1" outlineLevel="1" x14ac:dyDescent="0.25">
      <c r="B432" s="227"/>
      <c r="C432" s="168" t="s">
        <v>23</v>
      </c>
      <c r="D432" s="11" t="s">
        <v>46</v>
      </c>
      <c r="E432" s="11" t="s">
        <v>46</v>
      </c>
      <c r="G432" s="171" cm="1">
        <f t="array" ref="G432:G440">TRANSPOSE('Fixtures + Piping computation'!BN304:BV304)</f>
        <v>0</v>
      </c>
      <c r="H432" s="52" cm="1">
        <f t="array" ref="H432">IFERROR(INDEX(Table3[Labor rate], MATCH(1, (Table3[Material]='Fixture+Pipe Qty'!$C$431) * (Table3[Size]='Fixture+Pipe Qty'!$C432), 0)),0)</f>
        <v>7.0000000000000007E-2</v>
      </c>
      <c r="I432" s="82">
        <f>(F432+G432)*H432</f>
        <v>0</v>
      </c>
      <c r="J432" s="170">
        <f>I432*Summary!$H$4</f>
        <v>0</v>
      </c>
      <c r="K432" s="52"/>
      <c r="L432" s="56">
        <v>0</v>
      </c>
      <c r="M432" s="84">
        <f t="shared" ref="M432:M433" si="267">((F432+G432)*K432)+((F432+G432)*L432)</f>
        <v>0</v>
      </c>
      <c r="N432" s="167">
        <f t="shared" ref="N432:N433" si="268">M432+J432</f>
        <v>0</v>
      </c>
      <c r="Q432" s="349"/>
      <c r="R432" s="349"/>
    </row>
    <row r="433" spans="2:18" hidden="1" outlineLevel="1" x14ac:dyDescent="0.25">
      <c r="B433" s="227"/>
      <c r="C433" s="10" t="s">
        <v>24</v>
      </c>
      <c r="D433" s="11" t="s">
        <v>46</v>
      </c>
      <c r="E433" s="11" t="s">
        <v>46</v>
      </c>
      <c r="G433" s="171">
        <v>0</v>
      </c>
      <c r="H433" s="52" cm="1">
        <f t="array" ref="H433">IFERROR(INDEX(Table3[Labor rate], MATCH(1, (Table3[Material]='Fixture+Pipe Qty'!$C$431) * (Table3[Size]='Fixture+Pipe Qty'!$C433), 0)),0)</f>
        <v>0.08</v>
      </c>
      <c r="I433" s="82">
        <f t="shared" ref="I433:I440" si="269">(F433+G433)*H433</f>
        <v>0</v>
      </c>
      <c r="J433" s="170">
        <f>I433*Summary!$H$4</f>
        <v>0</v>
      </c>
      <c r="K433" s="52"/>
      <c r="L433" s="56">
        <v>0</v>
      </c>
      <c r="M433" s="84">
        <f t="shared" si="267"/>
        <v>0</v>
      </c>
      <c r="N433" s="167">
        <f t="shared" si="268"/>
        <v>0</v>
      </c>
      <c r="Q433" s="349"/>
      <c r="R433" s="349"/>
    </row>
    <row r="434" spans="2:18" outlineLevel="1" x14ac:dyDescent="0.25">
      <c r="B434" s="86"/>
      <c r="C434" s="10" t="s">
        <v>25</v>
      </c>
      <c r="D434" s="11" t="s">
        <v>46</v>
      </c>
      <c r="E434" s="11" t="s">
        <v>46</v>
      </c>
      <c r="G434" s="171">
        <v>2.5299999999999998</v>
      </c>
      <c r="H434" s="52" cm="1">
        <f t="array" ref="H434">IFERROR(INDEX(Table3[Labor rate], MATCH(1, (Table3[Material]='Fixture+Pipe Qty'!$C$431) * (Table3[Size]='Fixture+Pipe Qty'!$C434), 0)),0)</f>
        <v>0.1</v>
      </c>
      <c r="I434" s="82">
        <f>(F434+G434)*H434</f>
        <v>0.253</v>
      </c>
      <c r="J434" s="170">
        <f>I434*Summary!$H$4</f>
        <v>43.642499999999998</v>
      </c>
      <c r="K434" s="52"/>
      <c r="L434" s="56">
        <v>0</v>
      </c>
      <c r="M434" s="84">
        <f t="shared" ref="M434:M440" si="270">((F434+G434)*K434)+((F434+G434)*L434)</f>
        <v>0</v>
      </c>
      <c r="N434" s="167">
        <f t="shared" ref="N434:N440" si="271">M434+J434</f>
        <v>43.642499999999998</v>
      </c>
      <c r="Q434" s="349"/>
      <c r="R434" s="349"/>
    </row>
    <row r="435" spans="2:18" outlineLevel="1" x14ac:dyDescent="0.25">
      <c r="B435" s="86"/>
      <c r="C435" s="10" t="s">
        <v>151</v>
      </c>
      <c r="D435" s="11" t="s">
        <v>46</v>
      </c>
      <c r="E435" s="11" t="s">
        <v>46</v>
      </c>
      <c r="G435" s="171">
        <v>52.250000000000007</v>
      </c>
      <c r="H435" s="52" cm="1">
        <f t="array" ref="H435">IFERROR(INDEX(Table3[Labor rate], MATCH(1, (Table3[Material]='Fixture+Pipe Qty'!$C$431) * (Table3[Size]='Fixture+Pipe Qty'!$C435), 0)),0)</f>
        <v>0.11</v>
      </c>
      <c r="I435" s="82">
        <f t="shared" si="269"/>
        <v>5.7475000000000005</v>
      </c>
      <c r="J435" s="170">
        <f>I435*Summary!$H$4</f>
        <v>991.44375000000014</v>
      </c>
      <c r="K435" s="52"/>
      <c r="L435" s="56">
        <v>0</v>
      </c>
      <c r="M435" s="84">
        <f t="shared" ref="M435" si="272">((F435+G435)*K435)+((F435+G435)*L435)</f>
        <v>0</v>
      </c>
      <c r="N435" s="167">
        <f t="shared" ref="N435" si="273">M435+J435</f>
        <v>991.44375000000014</v>
      </c>
      <c r="Q435" s="349"/>
      <c r="R435" s="349"/>
    </row>
    <row r="436" spans="2:18" outlineLevel="1" x14ac:dyDescent="0.25">
      <c r="B436" s="86"/>
      <c r="C436" s="10" t="s">
        <v>38</v>
      </c>
      <c r="D436" s="11" t="s">
        <v>46</v>
      </c>
      <c r="E436" s="11" t="s">
        <v>46</v>
      </c>
      <c r="G436" s="171">
        <v>13.860000000000001</v>
      </c>
      <c r="H436" s="52" cm="1">
        <f t="array" ref="H436">IFERROR(INDEX(Table3[Labor rate], MATCH(1, (Table3[Material]='Fixture+Pipe Qty'!$C$431) * (Table3[Size]='Fixture+Pipe Qty'!$C436), 0)),0)</f>
        <v>0.12</v>
      </c>
      <c r="I436" s="82">
        <f t="shared" si="269"/>
        <v>1.6632</v>
      </c>
      <c r="J436" s="170">
        <f>I436*Summary!$H$4</f>
        <v>286.90199999999999</v>
      </c>
      <c r="K436" s="52"/>
      <c r="L436" s="56">
        <v>0</v>
      </c>
      <c r="M436" s="84">
        <f t="shared" si="270"/>
        <v>0</v>
      </c>
      <c r="N436" s="167">
        <f t="shared" si="271"/>
        <v>286.90199999999999</v>
      </c>
      <c r="Q436" s="349"/>
      <c r="R436" s="349"/>
    </row>
    <row r="437" spans="2:18" outlineLevel="1" x14ac:dyDescent="0.25">
      <c r="B437" s="86"/>
      <c r="C437" s="10" t="s">
        <v>26</v>
      </c>
      <c r="D437" s="11" t="s">
        <v>46</v>
      </c>
      <c r="E437" s="11" t="s">
        <v>46</v>
      </c>
      <c r="G437" s="171">
        <v>28.160000000000004</v>
      </c>
      <c r="H437" s="52" cm="1">
        <f t="array" ref="H437">IFERROR(INDEX(Table3[Labor rate], MATCH(1, (Table3[Material]='Fixture+Pipe Qty'!$C$431) * (Table3[Size]='Fixture+Pipe Qty'!$C437), 0)),0)</f>
        <v>0.14000000000000001</v>
      </c>
      <c r="I437" s="82">
        <f t="shared" si="269"/>
        <v>3.942400000000001</v>
      </c>
      <c r="J437" s="170">
        <f>I437*Summary!$H$4</f>
        <v>680.06400000000019</v>
      </c>
      <c r="K437" s="52"/>
      <c r="L437" s="56">
        <v>0</v>
      </c>
      <c r="M437" s="84">
        <f t="shared" si="270"/>
        <v>0</v>
      </c>
      <c r="N437" s="167">
        <f t="shared" si="271"/>
        <v>680.06400000000019</v>
      </c>
      <c r="Q437" s="349"/>
      <c r="R437" s="349"/>
    </row>
    <row r="438" spans="2:18" hidden="1" outlineLevel="1" x14ac:dyDescent="0.25">
      <c r="B438" s="86"/>
      <c r="C438" s="10" t="s">
        <v>152</v>
      </c>
      <c r="D438" s="11" t="s">
        <v>46</v>
      </c>
      <c r="E438" s="11" t="s">
        <v>46</v>
      </c>
      <c r="G438" s="171">
        <v>0</v>
      </c>
      <c r="H438" s="52" cm="1">
        <f t="array" ref="H438">IFERROR(INDEX(Table3[Labor rate], MATCH(1, (Table3[Material]='Fixture+Pipe Qty'!$C$431) * (Table3[Size]='Fixture+Pipe Qty'!$C438), 0)),0)</f>
        <v>0.17</v>
      </c>
      <c r="I438" s="82">
        <f t="shared" si="269"/>
        <v>0</v>
      </c>
      <c r="J438" s="170">
        <f>I438*Summary!$H$4</f>
        <v>0</v>
      </c>
      <c r="K438" s="52"/>
      <c r="L438" s="56">
        <v>0</v>
      </c>
      <c r="M438" s="84">
        <f t="shared" si="270"/>
        <v>0</v>
      </c>
      <c r="N438" s="167">
        <f t="shared" si="271"/>
        <v>0</v>
      </c>
      <c r="Q438" s="349"/>
      <c r="R438" s="349"/>
    </row>
    <row r="439" spans="2:18" hidden="1" outlineLevel="1" x14ac:dyDescent="0.25">
      <c r="B439" s="86"/>
      <c r="C439" s="10" t="s">
        <v>129</v>
      </c>
      <c r="D439" s="11" t="s">
        <v>46</v>
      </c>
      <c r="E439" s="11" t="s">
        <v>46</v>
      </c>
      <c r="G439" s="171">
        <v>0</v>
      </c>
      <c r="H439" s="52" cm="1">
        <f t="array" ref="H439">IFERROR(INDEX(Table3[Labor rate], MATCH(1, (Table3[Material]='Fixture+Pipe Qty'!$C$431) * (Table3[Size]='Fixture+Pipe Qty'!$C439), 0)),0)</f>
        <v>0.19</v>
      </c>
      <c r="I439" s="82">
        <f t="shared" si="269"/>
        <v>0</v>
      </c>
      <c r="J439" s="170">
        <f>I439*Summary!$H$4</f>
        <v>0</v>
      </c>
      <c r="K439" s="52"/>
      <c r="L439" s="56">
        <v>0</v>
      </c>
      <c r="M439" s="84">
        <f t="shared" si="270"/>
        <v>0</v>
      </c>
      <c r="N439" s="167">
        <f t="shared" si="271"/>
        <v>0</v>
      </c>
      <c r="Q439" s="349"/>
      <c r="R439" s="349"/>
    </row>
    <row r="440" spans="2:18" hidden="1" outlineLevel="1" x14ac:dyDescent="0.25">
      <c r="B440" s="227"/>
      <c r="C440" s="10" t="s">
        <v>27</v>
      </c>
      <c r="D440" s="11" t="s">
        <v>46</v>
      </c>
      <c r="E440" s="11" t="s">
        <v>46</v>
      </c>
      <c r="G440" s="171">
        <v>0</v>
      </c>
      <c r="H440" s="52" cm="1">
        <f t="array" ref="H440">IFERROR(INDEX(Table3[Labor rate], MATCH(1, (Table3[Material]='Fixture+Pipe Qty'!$C$431) * (Table3[Size]='Fixture+Pipe Qty'!$C440), 0)),0)</f>
        <v>0.3</v>
      </c>
      <c r="I440" s="82">
        <f t="shared" si="269"/>
        <v>0</v>
      </c>
      <c r="J440" s="170">
        <f>I440*Summary!$H$4</f>
        <v>0</v>
      </c>
      <c r="K440" s="52"/>
      <c r="L440" s="56">
        <v>0</v>
      </c>
      <c r="M440" s="84">
        <f t="shared" si="270"/>
        <v>0</v>
      </c>
      <c r="N440" s="167">
        <f t="shared" si="271"/>
        <v>0</v>
      </c>
      <c r="Q440" s="349"/>
      <c r="R440" s="349"/>
    </row>
    <row r="441" spans="2:18" s="43" customFormat="1" ht="15" customHeight="1" x14ac:dyDescent="0.25">
      <c r="B441" s="133"/>
      <c r="C441" s="49"/>
      <c r="D441" s="11"/>
      <c r="E441" s="11"/>
      <c r="F441" s="110"/>
      <c r="H441" s="52"/>
      <c r="I441" s="159"/>
      <c r="J441" s="160"/>
      <c r="K441" s="161"/>
      <c r="L441" s="110"/>
      <c r="M441" s="162"/>
      <c r="N441" s="163"/>
      <c r="Q441" s="349"/>
      <c r="R441" s="349"/>
    </row>
    <row r="442" spans="2:18" ht="15.75" thickBot="1" x14ac:dyDescent="0.3">
      <c r="B442" s="208"/>
      <c r="C442" s="10"/>
      <c r="F442" s="209"/>
      <c r="G442" s="169"/>
      <c r="H442" s="52"/>
      <c r="I442" s="207"/>
      <c r="J442" s="138"/>
      <c r="M442" s="138"/>
      <c r="N442" s="167"/>
      <c r="Q442" s="349"/>
      <c r="R442" s="349"/>
    </row>
    <row r="443" spans="2:18" x14ac:dyDescent="0.25">
      <c r="B443" s="405"/>
      <c r="C443" s="406" t="s">
        <v>473</v>
      </c>
      <c r="D443" s="407"/>
      <c r="E443" s="407"/>
      <c r="F443" s="408"/>
      <c r="G443" s="408">
        <f>SUM(G429:G441)</f>
        <v>96.800000000000011</v>
      </c>
      <c r="H443" s="408"/>
      <c r="I443" s="408">
        <f>SUM(I429:I442)</f>
        <v>11.606100000000001</v>
      </c>
      <c r="J443" s="409">
        <f>SUM(J429:J442)</f>
        <v>2002.0522500000002</v>
      </c>
      <c r="K443" s="408"/>
      <c r="L443" s="408"/>
      <c r="M443" s="409">
        <f>SUM(M429:M442)</f>
        <v>0</v>
      </c>
      <c r="N443" s="410"/>
      <c r="Q443" s="349"/>
      <c r="R443" s="349"/>
    </row>
    <row r="444" spans="2:18" x14ac:dyDescent="0.25">
      <c r="B444" s="227"/>
      <c r="C444" s="10"/>
      <c r="G444" s="171"/>
      <c r="H444" s="52"/>
      <c r="I444" s="82"/>
      <c r="J444" s="170"/>
      <c r="K444" s="56"/>
      <c r="L444" s="56"/>
      <c r="M444" s="84"/>
      <c r="N444" s="167"/>
      <c r="Q444" s="349"/>
      <c r="R444" s="349"/>
    </row>
    <row r="445" spans="2:18" x14ac:dyDescent="0.25">
      <c r="B445" s="402" t="s">
        <v>970</v>
      </c>
      <c r="C445" s="10"/>
      <c r="G445" s="171"/>
      <c r="H445" s="52"/>
      <c r="I445" s="82"/>
      <c r="J445" s="170"/>
      <c r="K445" s="56"/>
      <c r="L445" s="56"/>
      <c r="M445" s="84"/>
      <c r="N445" s="167"/>
      <c r="Q445" s="349"/>
      <c r="R445" s="349"/>
    </row>
    <row r="446" spans="2:18" x14ac:dyDescent="0.25">
      <c r="B446" s="227"/>
      <c r="C446" s="10"/>
      <c r="G446" s="171"/>
      <c r="H446" s="52"/>
      <c r="I446" s="82"/>
      <c r="J446" s="170"/>
      <c r="K446" s="56"/>
      <c r="L446" s="56"/>
      <c r="M446" s="84"/>
      <c r="N446" s="167"/>
      <c r="Q446" s="349"/>
      <c r="R446" s="349"/>
    </row>
    <row r="447" spans="2:18" outlineLevel="1" x14ac:dyDescent="0.25">
      <c r="B447" s="133" t="s">
        <v>158</v>
      </c>
      <c r="F447" s="146"/>
      <c r="H447" s="52"/>
      <c r="I447" s="159"/>
      <c r="J447" s="160"/>
      <c r="K447" s="240"/>
      <c r="L447" s="56"/>
      <c r="M447" s="84"/>
      <c r="N447" s="167"/>
      <c r="Q447" s="349"/>
      <c r="R447" s="349"/>
    </row>
    <row r="448" spans="2:18" outlineLevel="1" x14ac:dyDescent="0.25">
      <c r="B448" s="293"/>
      <c r="C448" s="537" t="s">
        <v>157</v>
      </c>
      <c r="F448" s="161"/>
      <c r="H448" s="52"/>
      <c r="I448" s="159"/>
      <c r="J448" s="160"/>
      <c r="K448" s="240"/>
      <c r="L448" s="52"/>
      <c r="M448" s="170"/>
      <c r="N448" s="172"/>
      <c r="Q448" s="349"/>
      <c r="R448" s="349"/>
    </row>
    <row r="449" spans="2:18" outlineLevel="1" x14ac:dyDescent="0.25">
      <c r="B449" s="133"/>
      <c r="C449" t="s">
        <v>906</v>
      </c>
      <c r="D449" s="11" t="s">
        <v>46</v>
      </c>
      <c r="E449" s="11" t="s">
        <v>46</v>
      </c>
      <c r="F449" s="110">
        <v>1</v>
      </c>
      <c r="H449" s="52">
        <v>0.18</v>
      </c>
      <c r="I449" s="159">
        <f t="shared" ref="I449" si="274">(F449+G449)*H449</f>
        <v>0.18</v>
      </c>
      <c r="J449" s="160">
        <f>I449*Summary!$H$4</f>
        <v>31.049999999999997</v>
      </c>
      <c r="K449" s="240"/>
      <c r="L449" s="56">
        <v>0</v>
      </c>
      <c r="M449" s="84">
        <f t="shared" ref="M449" si="275">((F449+G449)*K449)+((F449+G449)*L449)</f>
        <v>0</v>
      </c>
      <c r="N449" s="167">
        <f t="shared" ref="N449" si="276">M449+J449</f>
        <v>31.049999999999997</v>
      </c>
      <c r="Q449" s="349"/>
      <c r="R449" s="349"/>
    </row>
    <row r="450" spans="2:18" outlineLevel="1" x14ac:dyDescent="0.25">
      <c r="B450" s="133"/>
      <c r="C450" t="s">
        <v>907</v>
      </c>
      <c r="D450" s="11" t="s">
        <v>46</v>
      </c>
      <c r="E450" s="11" t="s">
        <v>46</v>
      </c>
      <c r="F450" s="110">
        <v>4</v>
      </c>
      <c r="H450" s="52">
        <v>0.24</v>
      </c>
      <c r="I450" s="159">
        <f t="shared" ref="I450:I465" si="277">(F450+G450)*H450</f>
        <v>0.96</v>
      </c>
      <c r="J450" s="160">
        <f>I450*Summary!$H$4</f>
        <v>165.6</v>
      </c>
      <c r="K450" s="240"/>
      <c r="L450" s="56">
        <v>0</v>
      </c>
      <c r="M450" s="84">
        <f t="shared" ref="M450:M465" si="278">((F450+G450)*K450)+((F450+G450)*L450)</f>
        <v>0</v>
      </c>
      <c r="N450" s="167">
        <f t="shared" ref="N450:N465" si="279">M450+J450</f>
        <v>165.6</v>
      </c>
      <c r="Q450" s="349"/>
      <c r="R450" s="349"/>
    </row>
    <row r="451" spans="2:18" outlineLevel="1" x14ac:dyDescent="0.25">
      <c r="B451" s="133"/>
      <c r="C451" t="s">
        <v>908</v>
      </c>
      <c r="D451" s="11" t="s">
        <v>46</v>
      </c>
      <c r="E451" s="11" t="s">
        <v>46</v>
      </c>
      <c r="F451" s="110">
        <v>1</v>
      </c>
      <c r="H451" s="52">
        <v>0.38</v>
      </c>
      <c r="I451" s="159">
        <f t="shared" si="277"/>
        <v>0.38</v>
      </c>
      <c r="J451" s="160">
        <f>I451*Summary!$H$4</f>
        <v>65.55</v>
      </c>
      <c r="K451" s="240"/>
      <c r="L451" s="56">
        <v>0</v>
      </c>
      <c r="M451" s="84">
        <f t="shared" si="278"/>
        <v>0</v>
      </c>
      <c r="N451" s="167">
        <f t="shared" si="279"/>
        <v>65.55</v>
      </c>
      <c r="Q451" s="349"/>
      <c r="R451" s="349"/>
    </row>
    <row r="452" spans="2:18" outlineLevel="1" x14ac:dyDescent="0.25">
      <c r="B452" s="133"/>
      <c r="C452" t="s">
        <v>917</v>
      </c>
      <c r="D452" s="11" t="s">
        <v>46</v>
      </c>
      <c r="E452" s="11" t="s">
        <v>46</v>
      </c>
      <c r="F452" s="110">
        <v>1</v>
      </c>
      <c r="H452" s="52">
        <v>0.23</v>
      </c>
      <c r="I452" s="159">
        <f t="shared" si="277"/>
        <v>0.23</v>
      </c>
      <c r="J452" s="160">
        <f>I452*Summary!$H$4</f>
        <v>39.675000000000004</v>
      </c>
      <c r="K452" s="240"/>
      <c r="L452" s="56">
        <v>0</v>
      </c>
      <c r="M452" s="84">
        <f t="shared" si="278"/>
        <v>0</v>
      </c>
      <c r="N452" s="167">
        <f t="shared" si="279"/>
        <v>39.675000000000004</v>
      </c>
      <c r="Q452" s="349"/>
      <c r="R452" s="349"/>
    </row>
    <row r="453" spans="2:18" outlineLevel="1" x14ac:dyDescent="0.25">
      <c r="B453" s="133"/>
      <c r="C453" t="s">
        <v>918</v>
      </c>
      <c r="D453" s="11" t="s">
        <v>46</v>
      </c>
      <c r="E453" s="11" t="s">
        <v>46</v>
      </c>
      <c r="F453" s="110">
        <v>4</v>
      </c>
      <c r="H453" s="52">
        <v>0.31</v>
      </c>
      <c r="I453" s="159">
        <f t="shared" si="277"/>
        <v>1.24</v>
      </c>
      <c r="J453" s="160">
        <f>I453*Summary!$H$4</f>
        <v>213.9</v>
      </c>
      <c r="K453" s="240"/>
      <c r="L453" s="56">
        <v>0</v>
      </c>
      <c r="M453" s="84">
        <f t="shared" si="278"/>
        <v>0</v>
      </c>
      <c r="N453" s="167">
        <f t="shared" si="279"/>
        <v>213.9</v>
      </c>
      <c r="Q453" s="349"/>
      <c r="R453" s="349"/>
    </row>
    <row r="454" spans="2:18" outlineLevel="1" x14ac:dyDescent="0.25">
      <c r="B454" s="133"/>
      <c r="C454" t="s">
        <v>972</v>
      </c>
      <c r="D454" s="11" t="s">
        <v>46</v>
      </c>
      <c r="E454" s="11" t="s">
        <v>46</v>
      </c>
      <c r="F454" s="110">
        <v>1</v>
      </c>
      <c r="H454" s="52">
        <v>0.37</v>
      </c>
      <c r="I454" s="159">
        <f t="shared" si="277"/>
        <v>0.37</v>
      </c>
      <c r="J454" s="160">
        <f>I454*Summary!$H$4</f>
        <v>63.824999999999996</v>
      </c>
      <c r="K454" s="240"/>
      <c r="L454" s="56">
        <v>0</v>
      </c>
      <c r="M454" s="84">
        <f t="shared" si="278"/>
        <v>0</v>
      </c>
      <c r="N454" s="167">
        <f t="shared" si="279"/>
        <v>63.824999999999996</v>
      </c>
      <c r="Q454" s="349"/>
      <c r="R454" s="349"/>
    </row>
    <row r="455" spans="2:18" outlineLevel="1" x14ac:dyDescent="0.25">
      <c r="B455" s="133"/>
      <c r="C455" t="s">
        <v>973</v>
      </c>
      <c r="D455" s="11" t="s">
        <v>46</v>
      </c>
      <c r="E455" s="11" t="s">
        <v>46</v>
      </c>
      <c r="F455" s="110">
        <v>1</v>
      </c>
      <c r="H455" s="52">
        <v>0.46</v>
      </c>
      <c r="I455" s="159">
        <f t="shared" si="277"/>
        <v>0.46</v>
      </c>
      <c r="J455" s="160">
        <f>I455*Summary!$H$4</f>
        <v>79.350000000000009</v>
      </c>
      <c r="K455" s="240"/>
      <c r="L455" s="56">
        <v>0</v>
      </c>
      <c r="M455" s="84">
        <f t="shared" si="278"/>
        <v>0</v>
      </c>
      <c r="N455" s="167">
        <f t="shared" si="279"/>
        <v>79.350000000000009</v>
      </c>
      <c r="Q455" s="349"/>
      <c r="R455" s="349"/>
    </row>
    <row r="456" spans="2:18" outlineLevel="1" x14ac:dyDescent="0.25">
      <c r="B456" s="133"/>
      <c r="C456" t="s">
        <v>974</v>
      </c>
      <c r="D456" s="11" t="s">
        <v>46</v>
      </c>
      <c r="E456" s="11" t="s">
        <v>46</v>
      </c>
      <c r="F456" s="110">
        <v>1</v>
      </c>
      <c r="H456" s="52">
        <v>0.46</v>
      </c>
      <c r="I456" s="159">
        <f t="shared" si="277"/>
        <v>0.46</v>
      </c>
      <c r="J456" s="160">
        <f>I456*Summary!$H$4</f>
        <v>79.350000000000009</v>
      </c>
      <c r="K456" s="240"/>
      <c r="L456" s="56">
        <v>0</v>
      </c>
      <c r="M456" s="84">
        <f t="shared" si="278"/>
        <v>0</v>
      </c>
      <c r="N456" s="167">
        <f t="shared" si="279"/>
        <v>79.350000000000009</v>
      </c>
      <c r="Q456" s="349"/>
      <c r="R456" s="349"/>
    </row>
    <row r="457" spans="2:18" outlineLevel="1" x14ac:dyDescent="0.25">
      <c r="B457" s="133"/>
      <c r="C457" t="s">
        <v>975</v>
      </c>
      <c r="D457" s="11" t="s">
        <v>46</v>
      </c>
      <c r="E457" s="11" t="s">
        <v>46</v>
      </c>
      <c r="F457" s="110">
        <v>1</v>
      </c>
      <c r="H457" s="52">
        <v>0.27</v>
      </c>
      <c r="I457" s="159">
        <f t="shared" si="277"/>
        <v>0.27</v>
      </c>
      <c r="J457" s="160">
        <f>I457*Summary!$H$4</f>
        <v>46.575000000000003</v>
      </c>
      <c r="K457" s="240"/>
      <c r="L457" s="56">
        <v>0</v>
      </c>
      <c r="M457" s="84">
        <f t="shared" si="278"/>
        <v>0</v>
      </c>
      <c r="N457" s="167">
        <f t="shared" si="279"/>
        <v>46.575000000000003</v>
      </c>
      <c r="Q457" s="349"/>
      <c r="R457" s="349"/>
    </row>
    <row r="458" spans="2:18" outlineLevel="1" x14ac:dyDescent="0.25">
      <c r="B458" s="133"/>
      <c r="C458" t="s">
        <v>976</v>
      </c>
      <c r="D458" s="11" t="s">
        <v>46</v>
      </c>
      <c r="E458" s="11" t="s">
        <v>46</v>
      </c>
      <c r="F458" s="110">
        <v>1</v>
      </c>
      <c r="H458" s="52">
        <v>0.34</v>
      </c>
      <c r="I458" s="159">
        <f t="shared" si="277"/>
        <v>0.34</v>
      </c>
      <c r="J458" s="160">
        <f>I458*Summary!$H$4</f>
        <v>58.650000000000006</v>
      </c>
      <c r="K458" s="240"/>
      <c r="L458" s="56">
        <v>0</v>
      </c>
      <c r="M458" s="84">
        <f t="shared" si="278"/>
        <v>0</v>
      </c>
      <c r="N458" s="167">
        <f t="shared" si="279"/>
        <v>58.650000000000006</v>
      </c>
      <c r="Q458" s="349"/>
      <c r="R458" s="349"/>
    </row>
    <row r="459" spans="2:18" outlineLevel="1" x14ac:dyDescent="0.25">
      <c r="B459" s="133">
        <f>IF('Fixtures + Piping computation'!C351&gt;0,'Fixtures + Piping computation'!B351 &amp; " (" &amp;'Fixtures + Piping computation'!C351 &amp; ")",'Fixtures + Piping computation'!B351)</f>
        <v>0</v>
      </c>
      <c r="C459" t="s">
        <v>1005</v>
      </c>
      <c r="D459" s="11" t="s">
        <v>46</v>
      </c>
      <c r="E459" s="11" t="s">
        <v>46</v>
      </c>
      <c r="F459" s="110">
        <v>4</v>
      </c>
      <c r="H459" s="52">
        <v>0.24</v>
      </c>
      <c r="I459" s="159">
        <f t="shared" si="277"/>
        <v>0.96</v>
      </c>
      <c r="J459" s="160">
        <f>I459*Summary!$H$4</f>
        <v>165.6</v>
      </c>
      <c r="K459" s="240"/>
      <c r="L459" s="56">
        <v>0</v>
      </c>
      <c r="M459" s="84">
        <f t="shared" si="278"/>
        <v>0</v>
      </c>
      <c r="N459" s="167">
        <f t="shared" si="279"/>
        <v>165.6</v>
      </c>
      <c r="Q459" s="349"/>
      <c r="R459" s="349"/>
    </row>
    <row r="460" spans="2:18" outlineLevel="1" x14ac:dyDescent="0.25">
      <c r="B460" s="133"/>
      <c r="C460" t="s">
        <v>1006</v>
      </c>
      <c r="D460" s="11" t="s">
        <v>46</v>
      </c>
      <c r="E460" s="11" t="s">
        <v>46</v>
      </c>
      <c r="F460" s="110">
        <v>1</v>
      </c>
      <c r="H460" s="52">
        <v>0.3</v>
      </c>
      <c r="I460" s="159">
        <f t="shared" si="277"/>
        <v>0.3</v>
      </c>
      <c r="J460" s="160">
        <f>I460*Summary!$H$4</f>
        <v>51.75</v>
      </c>
      <c r="K460" s="240"/>
      <c r="L460" s="56">
        <v>0</v>
      </c>
      <c r="M460" s="84">
        <f t="shared" si="278"/>
        <v>0</v>
      </c>
      <c r="N460" s="167">
        <f t="shared" si="279"/>
        <v>51.75</v>
      </c>
      <c r="Q460" s="349"/>
      <c r="R460" s="349"/>
    </row>
    <row r="461" spans="2:18" outlineLevel="1" x14ac:dyDescent="0.25">
      <c r="B461" s="133"/>
      <c r="C461" t="s">
        <v>1007</v>
      </c>
      <c r="D461" s="11" t="s">
        <v>46</v>
      </c>
      <c r="E461" s="11" t="s">
        <v>46</v>
      </c>
      <c r="F461" s="110">
        <v>2</v>
      </c>
      <c r="H461" s="52">
        <v>0.38</v>
      </c>
      <c r="I461" s="159">
        <f t="shared" si="277"/>
        <v>0.76</v>
      </c>
      <c r="J461" s="160">
        <f>I461*Summary!$H$4</f>
        <v>131.1</v>
      </c>
      <c r="K461" s="240"/>
      <c r="L461" s="56">
        <v>0</v>
      </c>
      <c r="M461" s="84">
        <f t="shared" si="278"/>
        <v>0</v>
      </c>
      <c r="N461" s="167">
        <f t="shared" si="279"/>
        <v>131.1</v>
      </c>
      <c r="Q461" s="349"/>
      <c r="R461" s="349"/>
    </row>
    <row r="462" spans="2:18" outlineLevel="1" x14ac:dyDescent="0.25">
      <c r="B462" s="133"/>
      <c r="C462" t="s">
        <v>1009</v>
      </c>
      <c r="D462" s="11" t="s">
        <v>46</v>
      </c>
      <c r="E462" s="11" t="s">
        <v>46</v>
      </c>
      <c r="F462" s="110">
        <v>1</v>
      </c>
      <c r="H462" s="52">
        <v>0.14000000000000001</v>
      </c>
      <c r="I462" s="159">
        <f t="shared" si="277"/>
        <v>0.14000000000000001</v>
      </c>
      <c r="J462" s="160">
        <f>I462*Summary!$H$4</f>
        <v>24.150000000000002</v>
      </c>
      <c r="K462" s="240"/>
      <c r="L462" s="56">
        <v>0</v>
      </c>
      <c r="M462" s="84">
        <f t="shared" si="278"/>
        <v>0</v>
      </c>
      <c r="N462" s="167">
        <f t="shared" si="279"/>
        <v>24.150000000000002</v>
      </c>
      <c r="Q462" s="349"/>
      <c r="R462" s="349"/>
    </row>
    <row r="463" spans="2:18" outlineLevel="1" x14ac:dyDescent="0.25">
      <c r="B463" s="133"/>
      <c r="C463" t="s">
        <v>1008</v>
      </c>
      <c r="D463" s="11" t="s">
        <v>46</v>
      </c>
      <c r="E463" s="11" t="s">
        <v>46</v>
      </c>
      <c r="F463" s="110">
        <v>3</v>
      </c>
      <c r="H463" s="52">
        <v>0.14000000000000001</v>
      </c>
      <c r="I463" s="159">
        <f t="shared" si="277"/>
        <v>0.42000000000000004</v>
      </c>
      <c r="J463" s="160">
        <f>I463*Summary!$H$4</f>
        <v>72.45</v>
      </c>
      <c r="K463" s="240"/>
      <c r="L463" s="56">
        <v>0</v>
      </c>
      <c r="M463" s="84">
        <f t="shared" si="278"/>
        <v>0</v>
      </c>
      <c r="N463" s="167">
        <f t="shared" si="279"/>
        <v>72.45</v>
      </c>
      <c r="Q463" s="349"/>
      <c r="R463" s="349"/>
    </row>
    <row r="464" spans="2:18" outlineLevel="1" x14ac:dyDescent="0.25">
      <c r="B464" s="133"/>
      <c r="C464" t="s">
        <v>969</v>
      </c>
      <c r="D464" s="11" t="s">
        <v>46</v>
      </c>
      <c r="E464" s="11" t="s">
        <v>46</v>
      </c>
      <c r="F464" s="110">
        <v>1</v>
      </c>
      <c r="H464" s="52">
        <v>0.18</v>
      </c>
      <c r="I464" s="159">
        <f t="shared" si="277"/>
        <v>0.18</v>
      </c>
      <c r="J464" s="160">
        <f>I464*Summary!$H$4</f>
        <v>31.049999999999997</v>
      </c>
      <c r="K464" s="240"/>
      <c r="L464" s="56">
        <v>0</v>
      </c>
      <c r="M464" s="84">
        <f t="shared" si="278"/>
        <v>0</v>
      </c>
      <c r="N464" s="167">
        <f t="shared" si="279"/>
        <v>31.049999999999997</v>
      </c>
      <c r="Q464" s="349"/>
      <c r="R464" s="349"/>
    </row>
    <row r="465" spans="2:18" outlineLevel="1" x14ac:dyDescent="0.25">
      <c r="B465" s="133"/>
      <c r="C465" t="s">
        <v>967</v>
      </c>
      <c r="D465" s="11" t="s">
        <v>46</v>
      </c>
      <c r="E465" s="11" t="s">
        <v>46</v>
      </c>
      <c r="F465" s="110">
        <v>3</v>
      </c>
      <c r="H465" s="52">
        <v>0.24</v>
      </c>
      <c r="I465" s="159">
        <f t="shared" si="277"/>
        <v>0.72</v>
      </c>
      <c r="J465" s="160">
        <f>I465*Summary!$H$4</f>
        <v>124.19999999999999</v>
      </c>
      <c r="K465" s="240"/>
      <c r="L465" s="56">
        <v>0</v>
      </c>
      <c r="M465" s="84">
        <f t="shared" si="278"/>
        <v>0</v>
      </c>
      <c r="N465" s="167">
        <f t="shared" si="279"/>
        <v>124.19999999999999</v>
      </c>
      <c r="Q465" s="349"/>
      <c r="R465" s="349"/>
    </row>
    <row r="466" spans="2:18" outlineLevel="1" x14ac:dyDescent="0.25">
      <c r="B466" s="133" t="s">
        <v>971</v>
      </c>
      <c r="F466" s="161"/>
      <c r="H466" s="52"/>
      <c r="I466" s="159"/>
      <c r="J466" s="160"/>
      <c r="K466" s="240"/>
      <c r="L466" s="52"/>
      <c r="M466" s="170"/>
      <c r="N466" s="172"/>
      <c r="Q466" s="349"/>
      <c r="R466" s="349"/>
    </row>
    <row r="467" spans="2:18" outlineLevel="1" x14ac:dyDescent="0.25">
      <c r="B467" s="133"/>
      <c r="C467" s="15" t="s">
        <v>1010</v>
      </c>
      <c r="D467" s="11" t="s">
        <v>46</v>
      </c>
      <c r="E467" s="11" t="s">
        <v>46</v>
      </c>
      <c r="F467" s="110">
        <v>9</v>
      </c>
      <c r="H467" s="52">
        <v>0.05</v>
      </c>
      <c r="I467" s="159">
        <f t="shared" ref="I467:I471" si="280">(F467+G467)*H467</f>
        <v>0.45</v>
      </c>
      <c r="J467" s="160">
        <f>I467*Summary!$H$4</f>
        <v>77.625</v>
      </c>
      <c r="K467" s="240"/>
      <c r="L467" s="56">
        <v>0</v>
      </c>
      <c r="M467" s="84">
        <f t="shared" ref="M467:M472" si="281">((F467+G467)*K467)+((F467+G467)*L467)</f>
        <v>0</v>
      </c>
      <c r="N467" s="167">
        <f t="shared" ref="N467:N472" si="282">M467+J467</f>
        <v>77.625</v>
      </c>
      <c r="Q467" s="349"/>
      <c r="R467" s="349"/>
    </row>
    <row r="468" spans="2:18" outlineLevel="1" x14ac:dyDescent="0.25">
      <c r="B468" s="133"/>
      <c r="C468" s="15" t="s">
        <v>964</v>
      </c>
      <c r="D468" s="11" t="s">
        <v>46</v>
      </c>
      <c r="E468" s="11" t="s">
        <v>46</v>
      </c>
      <c r="F468" s="110">
        <v>1</v>
      </c>
      <c r="H468" s="52">
        <v>0.1</v>
      </c>
      <c r="I468" s="159">
        <f t="shared" si="280"/>
        <v>0.1</v>
      </c>
      <c r="J468" s="160">
        <f>I468*Summary!$H$4</f>
        <v>17.25</v>
      </c>
      <c r="K468" s="240"/>
      <c r="L468" s="56">
        <v>0</v>
      </c>
      <c r="M468" s="84">
        <f t="shared" si="281"/>
        <v>0</v>
      </c>
      <c r="N468" s="167">
        <f t="shared" si="282"/>
        <v>17.25</v>
      </c>
      <c r="Q468" s="349"/>
      <c r="R468" s="349"/>
    </row>
    <row r="469" spans="2:18" outlineLevel="1" x14ac:dyDescent="0.25">
      <c r="B469" s="133"/>
      <c r="C469" s="15" t="s">
        <v>965</v>
      </c>
      <c r="D469" s="11" t="s">
        <v>46</v>
      </c>
      <c r="E469" s="11" t="s">
        <v>46</v>
      </c>
      <c r="F469" s="110">
        <v>6</v>
      </c>
      <c r="H469" s="52">
        <v>0.1</v>
      </c>
      <c r="I469" s="159">
        <f t="shared" si="280"/>
        <v>0.60000000000000009</v>
      </c>
      <c r="J469" s="160">
        <f>I469*Summary!$H$4</f>
        <v>103.50000000000001</v>
      </c>
      <c r="K469" s="240"/>
      <c r="L469" s="56">
        <v>0</v>
      </c>
      <c r="M469" s="84">
        <f t="shared" si="281"/>
        <v>0</v>
      </c>
      <c r="N469" s="167">
        <f t="shared" si="282"/>
        <v>103.50000000000001</v>
      </c>
      <c r="Q469" s="349"/>
      <c r="R469" s="349"/>
    </row>
    <row r="470" spans="2:18" outlineLevel="1" x14ac:dyDescent="0.25">
      <c r="B470" s="133"/>
      <c r="C470" s="15" t="s">
        <v>966</v>
      </c>
      <c r="D470" s="11" t="s">
        <v>46</v>
      </c>
      <c r="E470" s="11" t="s">
        <v>46</v>
      </c>
      <c r="F470" s="110">
        <v>1</v>
      </c>
      <c r="H470" s="52">
        <v>0.11</v>
      </c>
      <c r="I470" s="159">
        <f t="shared" si="280"/>
        <v>0.11</v>
      </c>
      <c r="J470" s="160">
        <f>I470*Summary!$H$4</f>
        <v>18.975000000000001</v>
      </c>
      <c r="K470" s="240"/>
      <c r="L470" s="56">
        <v>0</v>
      </c>
      <c r="M470" s="84">
        <f t="shared" si="281"/>
        <v>0</v>
      </c>
      <c r="N470" s="167">
        <f t="shared" si="282"/>
        <v>18.975000000000001</v>
      </c>
      <c r="Q470" s="349"/>
      <c r="R470" s="349"/>
    </row>
    <row r="471" spans="2:18" outlineLevel="1" x14ac:dyDescent="0.25">
      <c r="B471" s="133"/>
      <c r="C471" s="15" t="s">
        <v>963</v>
      </c>
      <c r="D471" s="11" t="s">
        <v>46</v>
      </c>
      <c r="E471" s="11" t="s">
        <v>46</v>
      </c>
      <c r="F471" s="110">
        <v>1</v>
      </c>
      <c r="H471" s="52">
        <v>0.115</v>
      </c>
      <c r="I471" s="159">
        <f t="shared" si="280"/>
        <v>0.115</v>
      </c>
      <c r="J471" s="160">
        <f>I471*Summary!$H$4</f>
        <v>19.837500000000002</v>
      </c>
      <c r="K471" s="240"/>
      <c r="L471" s="56">
        <v>0</v>
      </c>
      <c r="M471" s="84">
        <f t="shared" si="281"/>
        <v>0</v>
      </c>
      <c r="N471" s="167">
        <f t="shared" si="282"/>
        <v>19.837500000000002</v>
      </c>
      <c r="Q471" s="349"/>
      <c r="R471" s="349"/>
    </row>
    <row r="472" spans="2:18" outlineLevel="1" x14ac:dyDescent="0.25">
      <c r="B472" s="133"/>
      <c r="C472" s="15" t="s">
        <v>962</v>
      </c>
      <c r="D472" s="11" t="s">
        <v>46</v>
      </c>
      <c r="E472" s="11" t="s">
        <v>46</v>
      </c>
      <c r="F472" s="110">
        <f>F467*2</f>
        <v>18</v>
      </c>
      <c r="H472" s="52"/>
      <c r="I472" s="159"/>
      <c r="J472" s="160"/>
      <c r="K472" s="240"/>
      <c r="L472" s="56">
        <v>0</v>
      </c>
      <c r="M472" s="84">
        <f t="shared" si="281"/>
        <v>0</v>
      </c>
      <c r="N472" s="167">
        <f t="shared" si="282"/>
        <v>0</v>
      </c>
      <c r="Q472" s="349"/>
      <c r="R472" s="349"/>
    </row>
    <row r="473" spans="2:18" outlineLevel="1" x14ac:dyDescent="0.25">
      <c r="B473" s="133"/>
      <c r="F473" s="110"/>
      <c r="H473" s="52"/>
      <c r="I473" s="159"/>
      <c r="J473" s="160"/>
      <c r="K473" s="240"/>
      <c r="L473" s="56"/>
      <c r="M473" s="84"/>
      <c r="N473" s="167"/>
      <c r="Q473" s="349"/>
      <c r="R473" s="349"/>
    </row>
    <row r="474" spans="2:18" ht="15.75" thickBot="1" x14ac:dyDescent="0.3">
      <c r="B474" s="208"/>
      <c r="C474" s="10"/>
      <c r="F474" s="209"/>
      <c r="G474" s="169"/>
      <c r="H474" s="52"/>
      <c r="I474" s="207"/>
      <c r="J474" s="138"/>
      <c r="M474" s="138"/>
      <c r="N474" s="167"/>
      <c r="Q474" s="349"/>
      <c r="R474" s="349"/>
    </row>
    <row r="475" spans="2:18" x14ac:dyDescent="0.25">
      <c r="B475" s="405"/>
      <c r="C475" s="406" t="s">
        <v>977</v>
      </c>
      <c r="D475" s="407"/>
      <c r="E475" s="407"/>
      <c r="F475" s="408"/>
      <c r="G475" s="408">
        <f>SUM(G445:G473)</f>
        <v>0</v>
      </c>
      <c r="H475" s="408"/>
      <c r="I475" s="615">
        <f>SUM(I445:I474)</f>
        <v>9.7449999999999974</v>
      </c>
      <c r="J475" s="409">
        <f>SUM(J445:J474)</f>
        <v>1681.0125</v>
      </c>
      <c r="K475" s="408"/>
      <c r="L475" s="408"/>
      <c r="M475" s="409">
        <f>SUM(M445:M474)</f>
        <v>0</v>
      </c>
      <c r="N475" s="410"/>
      <c r="Q475" s="349"/>
      <c r="R475" s="349"/>
    </row>
    <row r="476" spans="2:18" x14ac:dyDescent="0.25">
      <c r="B476" s="227"/>
      <c r="C476" s="10"/>
      <c r="G476" s="171"/>
      <c r="H476" s="52"/>
      <c r="I476" s="82"/>
      <c r="J476" s="170"/>
      <c r="K476" s="56"/>
      <c r="L476" s="56"/>
      <c r="M476" s="84"/>
      <c r="N476" s="167"/>
      <c r="Q476" s="349"/>
      <c r="R476" s="349"/>
    </row>
    <row r="477" spans="2:18" x14ac:dyDescent="0.25">
      <c r="B477" s="402" t="s">
        <v>474</v>
      </c>
      <c r="C477" s="10"/>
      <c r="G477" s="171"/>
      <c r="H477" s="52"/>
      <c r="I477" s="82"/>
      <c r="J477" s="170"/>
      <c r="K477" s="56"/>
      <c r="L477" s="56"/>
      <c r="M477" s="84"/>
      <c r="N477" s="167"/>
      <c r="Q477" s="349"/>
      <c r="R477" s="349"/>
    </row>
    <row r="478" spans="2:18" x14ac:dyDescent="0.25">
      <c r="B478" s="227"/>
      <c r="C478" s="10"/>
      <c r="G478" s="171"/>
      <c r="H478" s="52"/>
      <c r="I478" s="82"/>
      <c r="J478" s="170"/>
      <c r="K478" s="56"/>
      <c r="L478" s="56"/>
      <c r="M478" s="84"/>
      <c r="N478" s="167"/>
      <c r="Q478" s="349"/>
      <c r="R478" s="349"/>
    </row>
    <row r="479" spans="2:18" x14ac:dyDescent="0.25">
      <c r="B479" s="210" t="s">
        <v>176</v>
      </c>
      <c r="C479" s="537"/>
      <c r="G479" s="171"/>
      <c r="H479" s="52"/>
      <c r="I479" s="82"/>
      <c r="J479" s="170"/>
      <c r="K479" s="56"/>
      <c r="L479" s="56"/>
      <c r="M479" s="84"/>
      <c r="N479" s="167"/>
      <c r="Q479" s="349"/>
      <c r="R479" s="349"/>
    </row>
    <row r="480" spans="2:18" hidden="1" outlineLevel="1" x14ac:dyDescent="0.25">
      <c r="B480" s="227"/>
      <c r="C480" s="10" t="s">
        <v>38</v>
      </c>
      <c r="D480" s="11" t="s">
        <v>46</v>
      </c>
      <c r="E480" s="11" t="s">
        <v>46</v>
      </c>
      <c r="G480" s="171" cm="1">
        <f t="array" ref="G480:G485">TRANSPOSE('Fixtures + Piping computation'!CF304:CK304)</f>
        <v>0</v>
      </c>
      <c r="H480" s="52" cm="1">
        <f t="array" ref="H480">IFERROR(INDEX(Table3[Labor rate], MATCH(1, (Table3[Material]='Fixture+Pipe Qty'!$C$479) * (Table3[Size]='Fixture+Pipe Qty'!$C480), 0)),0)</f>
        <v>0</v>
      </c>
      <c r="I480" s="82">
        <f t="shared" ref="I480" si="283">(F480+G480)*H480</f>
        <v>0</v>
      </c>
      <c r="J480" s="170">
        <f>I480*Summary!$H$4</f>
        <v>0</v>
      </c>
      <c r="K480" s="52" cm="1">
        <f t="array" ref="K480">IFERROR(INDEX(Table3[Material Cost], MATCH(1, (Table3[Material]='Fixture+Pipe Qty'!$C$479) * (Table3[Size]='Fixture+Pipe Qty'!$C480), 0)),0)</f>
        <v>0</v>
      </c>
      <c r="L480" s="56">
        <v>0</v>
      </c>
      <c r="M480" s="84">
        <f t="shared" ref="M480" si="284">((F480+G480)*K480)+((F480+G480)*L480)</f>
        <v>0</v>
      </c>
      <c r="N480" s="167">
        <f t="shared" ref="N480" si="285">M480+J480</f>
        <v>0</v>
      </c>
      <c r="Q480" s="349"/>
      <c r="R480" s="349"/>
    </row>
    <row r="481" spans="2:18" hidden="1" outlineLevel="1" x14ac:dyDescent="0.25">
      <c r="B481" s="227"/>
      <c r="C481" s="10" t="s">
        <v>26</v>
      </c>
      <c r="D481" s="11" t="s">
        <v>46</v>
      </c>
      <c r="E481" s="11" t="s">
        <v>46</v>
      </c>
      <c r="G481" s="171">
        <v>0</v>
      </c>
      <c r="H481" s="52" cm="1">
        <f t="array" ref="H481">IFERROR(INDEX(Table3[Labor rate], MATCH(1, (Table3[Material]='Fixture+Pipe Qty'!$C$479) * (Table3[Size]='Fixture+Pipe Qty'!$C481), 0)),0)</f>
        <v>0</v>
      </c>
      <c r="I481" s="82">
        <f t="shared" ref="I481:I484" si="286">(F481+G481)*H481</f>
        <v>0</v>
      </c>
      <c r="J481" s="170">
        <f>I481*Summary!$H$4</f>
        <v>0</v>
      </c>
      <c r="K481" s="52" cm="1">
        <f t="array" ref="K481">IFERROR(INDEX(Table3[Material Cost], MATCH(1, (Table3[Material]='Fixture+Pipe Qty'!$C$479) * (Table3[Size]='Fixture+Pipe Qty'!$C481), 0)),0)</f>
        <v>0</v>
      </c>
      <c r="L481" s="56">
        <v>0</v>
      </c>
      <c r="M481" s="84">
        <f t="shared" ref="M481:M484" si="287">((F481+G481)*K481)+((F481+G481)*L481)</f>
        <v>0</v>
      </c>
      <c r="N481" s="167">
        <f t="shared" ref="N481:N484" si="288">M481+J481</f>
        <v>0</v>
      </c>
      <c r="Q481" s="349"/>
      <c r="R481" s="349"/>
    </row>
    <row r="482" spans="2:18" hidden="1" outlineLevel="1" x14ac:dyDescent="0.25">
      <c r="B482" s="227"/>
      <c r="C482" s="10" t="s">
        <v>129</v>
      </c>
      <c r="D482" s="11" t="s">
        <v>46</v>
      </c>
      <c r="E482" s="11" t="s">
        <v>46</v>
      </c>
      <c r="G482" s="171">
        <v>0</v>
      </c>
      <c r="H482" s="52" cm="1">
        <f t="array" ref="H482">IFERROR(INDEX(Table3[Labor rate], MATCH(1, (Table3[Material]='Fixture+Pipe Qty'!$C$479) * (Table3[Size]='Fixture+Pipe Qty'!$C482), 0)),0)</f>
        <v>0</v>
      </c>
      <c r="I482" s="82">
        <f t="shared" si="286"/>
        <v>0</v>
      </c>
      <c r="J482" s="170">
        <f>I482*Summary!$H$4</f>
        <v>0</v>
      </c>
      <c r="K482" s="52" cm="1">
        <f t="array" ref="K482">IFERROR(INDEX(Table3[Material Cost], MATCH(1, (Table3[Material]='Fixture+Pipe Qty'!$C$479) * (Table3[Size]='Fixture+Pipe Qty'!$C482), 0)),0)</f>
        <v>0</v>
      </c>
      <c r="L482" s="56">
        <v>0</v>
      </c>
      <c r="M482" s="84">
        <f t="shared" si="287"/>
        <v>0</v>
      </c>
      <c r="N482" s="167">
        <f t="shared" si="288"/>
        <v>0</v>
      </c>
      <c r="Q482" s="349"/>
      <c r="R482" s="349"/>
    </row>
    <row r="483" spans="2:18" hidden="1" outlineLevel="1" x14ac:dyDescent="0.25">
      <c r="B483" s="227"/>
      <c r="C483" s="10" t="s">
        <v>27</v>
      </c>
      <c r="D483" s="11" t="s">
        <v>46</v>
      </c>
      <c r="E483" s="11" t="s">
        <v>46</v>
      </c>
      <c r="G483" s="171">
        <v>0</v>
      </c>
      <c r="H483" s="52" cm="1">
        <f t="array" ref="H483">IFERROR(INDEX(Table3[Labor rate], MATCH(1, (Table3[Material]='Fixture+Pipe Qty'!$C$479) * (Table3[Size]='Fixture+Pipe Qty'!$C483), 0)),0)</f>
        <v>0</v>
      </c>
      <c r="I483" s="82">
        <f t="shared" si="286"/>
        <v>0</v>
      </c>
      <c r="J483" s="170">
        <f>I483*Summary!$H$4</f>
        <v>0</v>
      </c>
      <c r="K483" s="52" cm="1">
        <f t="array" ref="K483">IFERROR(INDEX(Table3[Material Cost], MATCH(1, (Table3[Material]='Fixture+Pipe Qty'!$C$479) * (Table3[Size]='Fixture+Pipe Qty'!$C483), 0)),0)</f>
        <v>0</v>
      </c>
      <c r="L483" s="56">
        <v>0</v>
      </c>
      <c r="M483" s="84">
        <f t="shared" si="287"/>
        <v>0</v>
      </c>
      <c r="N483" s="167">
        <f t="shared" si="288"/>
        <v>0</v>
      </c>
      <c r="Q483" s="349"/>
      <c r="R483" s="349"/>
    </row>
    <row r="484" spans="2:18" hidden="1" outlineLevel="1" x14ac:dyDescent="0.25">
      <c r="B484" s="227"/>
      <c r="C484" s="10" t="s">
        <v>154</v>
      </c>
      <c r="D484" s="11" t="s">
        <v>46</v>
      </c>
      <c r="E484" s="11" t="s">
        <v>46</v>
      </c>
      <c r="G484" s="171">
        <v>0</v>
      </c>
      <c r="H484" s="52" cm="1">
        <f t="array" ref="H484">IFERROR(INDEX(Table3[Labor rate], MATCH(1, (Table3[Material]='Fixture+Pipe Qty'!$C$479) * (Table3[Size]='Fixture+Pipe Qty'!$C484), 0)),0)</f>
        <v>0</v>
      </c>
      <c r="I484" s="82">
        <f t="shared" si="286"/>
        <v>0</v>
      </c>
      <c r="J484" s="170">
        <f>I484*Summary!$H$4</f>
        <v>0</v>
      </c>
      <c r="K484" s="52" cm="1">
        <f t="array" ref="K484">IFERROR(INDEX(Table3[Material Cost], MATCH(1, (Table3[Material]='Fixture+Pipe Qty'!$C$479) * (Table3[Size]='Fixture+Pipe Qty'!$C484), 0)),0)</f>
        <v>0</v>
      </c>
      <c r="L484" s="56">
        <v>0</v>
      </c>
      <c r="M484" s="84">
        <f t="shared" si="287"/>
        <v>0</v>
      </c>
      <c r="N484" s="167">
        <f t="shared" si="288"/>
        <v>0</v>
      </c>
      <c r="Q484" s="349"/>
      <c r="R484" s="349"/>
    </row>
    <row r="485" spans="2:18" hidden="1" outlineLevel="1" x14ac:dyDescent="0.25">
      <c r="B485" s="227"/>
      <c r="C485" s="10" t="s">
        <v>155</v>
      </c>
      <c r="D485" s="11" t="s">
        <v>46</v>
      </c>
      <c r="E485" s="11" t="s">
        <v>46</v>
      </c>
      <c r="G485" s="171">
        <v>0</v>
      </c>
      <c r="H485" s="52" cm="1">
        <f t="array" ref="H485">IFERROR(INDEX(Table3[Labor rate], MATCH(1, (Table3[Material]='Fixture+Pipe Qty'!$C$479) * (Table3[Size]='Fixture+Pipe Qty'!$C485), 0)),0)</f>
        <v>0</v>
      </c>
      <c r="I485" s="82">
        <f t="shared" ref="I485" si="289">(F485+G485)*H485</f>
        <v>0</v>
      </c>
      <c r="J485" s="170">
        <f>I485*Summary!$H$4</f>
        <v>0</v>
      </c>
      <c r="K485" s="52" cm="1">
        <f t="array" ref="K485">IFERROR(INDEX(Table3[Material Cost], MATCH(1, (Table3[Material]='Fixture+Pipe Qty'!$C$479) * (Table3[Size]='Fixture+Pipe Qty'!$C485), 0)),0)</f>
        <v>0</v>
      </c>
      <c r="L485" s="56">
        <v>0</v>
      </c>
      <c r="M485" s="84">
        <f t="shared" ref="M485" si="290">((F485+G485)*K485)+((F485+G485)*L485)</f>
        <v>0</v>
      </c>
      <c r="N485" s="167">
        <f t="shared" ref="N485" si="291">M485+J485</f>
        <v>0</v>
      </c>
      <c r="Q485" s="349"/>
      <c r="R485" s="349"/>
    </row>
    <row r="486" spans="2:18" collapsed="1" x14ac:dyDescent="0.25">
      <c r="B486" s="227"/>
      <c r="C486" s="10"/>
      <c r="G486" s="171"/>
      <c r="H486" s="52"/>
      <c r="I486" s="82"/>
      <c r="J486" s="170"/>
      <c r="K486" s="52"/>
      <c r="L486" s="56"/>
      <c r="M486" s="84"/>
      <c r="N486" s="167"/>
      <c r="Q486" s="349"/>
      <c r="R486" s="349"/>
    </row>
    <row r="487" spans="2:18" ht="15.75" thickBot="1" x14ac:dyDescent="0.3">
      <c r="B487" s="208" t="s">
        <v>99</v>
      </c>
      <c r="C487" s="10"/>
      <c r="F487" s="209">
        <v>0.3</v>
      </c>
      <c r="G487" s="169"/>
      <c r="H487" s="52"/>
      <c r="I487" s="207">
        <f>SUM(I477:I486)*F487</f>
        <v>0</v>
      </c>
      <c r="J487" s="138">
        <f>SUM(J478:J486)*F487</f>
        <v>0</v>
      </c>
      <c r="M487" s="138">
        <f>SUM(M477:M486)*F487</f>
        <v>0</v>
      </c>
      <c r="N487" s="167">
        <f t="shared" ref="N487" si="292">M487+J487</f>
        <v>0</v>
      </c>
      <c r="Q487" s="349"/>
      <c r="R487" s="349"/>
    </row>
    <row r="488" spans="2:18" x14ac:dyDescent="0.25">
      <c r="B488" s="405"/>
      <c r="C488" s="406" t="s">
        <v>475</v>
      </c>
      <c r="D488" s="407"/>
      <c r="E488" s="407"/>
      <c r="F488" s="408"/>
      <c r="G488" s="408">
        <f>SUM(G477:G486)</f>
        <v>0</v>
      </c>
      <c r="H488" s="408"/>
      <c r="I488" s="408">
        <f>SUM(I477:I487)</f>
        <v>0</v>
      </c>
      <c r="J488" s="409">
        <f>SUM(J477:J487)</f>
        <v>0</v>
      </c>
      <c r="K488" s="408"/>
      <c r="L488" s="408"/>
      <c r="M488" s="409">
        <f>SUM(M477:M487)</f>
        <v>0</v>
      </c>
      <c r="N488" s="410"/>
      <c r="Q488" s="349"/>
      <c r="R488" s="349"/>
    </row>
    <row r="489" spans="2:18" x14ac:dyDescent="0.25">
      <c r="B489" s="227"/>
      <c r="C489" s="10"/>
      <c r="G489" s="171"/>
      <c r="H489" s="52"/>
      <c r="I489" s="82"/>
      <c r="J489" s="170"/>
      <c r="K489" s="56"/>
      <c r="L489" s="56"/>
      <c r="M489" s="84"/>
      <c r="N489" s="167"/>
      <c r="Q489" s="349"/>
      <c r="R489" s="349"/>
    </row>
    <row r="490" spans="2:18" x14ac:dyDescent="0.25">
      <c r="B490" s="402" t="s">
        <v>561</v>
      </c>
      <c r="C490" s="10"/>
      <c r="G490" s="171"/>
      <c r="H490" s="52"/>
      <c r="I490" s="82"/>
      <c r="J490" s="170"/>
      <c r="K490" s="56"/>
      <c r="L490" s="56"/>
      <c r="M490" s="84"/>
      <c r="N490" s="167"/>
      <c r="Q490" s="349"/>
      <c r="R490" s="349"/>
    </row>
    <row r="491" spans="2:18" x14ac:dyDescent="0.25">
      <c r="B491" s="227"/>
      <c r="C491" s="10"/>
      <c r="G491" s="171"/>
      <c r="H491" s="52"/>
      <c r="I491" s="82"/>
      <c r="J491" s="170"/>
      <c r="K491" s="56"/>
      <c r="L491" s="56"/>
      <c r="M491" s="84"/>
      <c r="N491" s="167"/>
      <c r="Q491" s="349"/>
      <c r="R491" s="349"/>
    </row>
    <row r="492" spans="2:18" x14ac:dyDescent="0.25">
      <c r="B492" s="210" t="s">
        <v>1017</v>
      </c>
      <c r="C492" s="537" t="s">
        <v>356</v>
      </c>
      <c r="G492" s="171"/>
      <c r="H492" s="52"/>
      <c r="I492" s="82"/>
      <c r="J492" s="170"/>
      <c r="K492" s="56"/>
      <c r="L492" s="56"/>
      <c r="M492" s="84"/>
      <c r="N492" s="167"/>
      <c r="Q492" s="349"/>
      <c r="R492" s="349"/>
    </row>
    <row r="493" spans="2:18" outlineLevel="1" x14ac:dyDescent="0.25">
      <c r="B493" s="227"/>
      <c r="C493" s="10" t="s">
        <v>1023</v>
      </c>
      <c r="D493" s="11" t="s">
        <v>46</v>
      </c>
      <c r="E493" s="11" t="s">
        <v>46</v>
      </c>
      <c r="G493" s="171" cm="1">
        <f t="array" ref="G493:G498">TRANSPOSE('Fixtures + Piping computation'!CL304:CQ304)</f>
        <v>44</v>
      </c>
      <c r="H493" s="52">
        <v>3.2000000000000001E-2</v>
      </c>
      <c r="I493" s="82">
        <f t="shared" ref="I493" si="293">(F493+G493)*H493</f>
        <v>1.4079999999999999</v>
      </c>
      <c r="J493" s="170">
        <f>I493*Summary!$H$4</f>
        <v>242.88</v>
      </c>
      <c r="K493" s="52"/>
      <c r="L493" s="56">
        <v>0</v>
      </c>
      <c r="M493" s="84">
        <f t="shared" ref="M493:M498" si="294">((F493+G493)*K493)+((F493+G493)*L493)</f>
        <v>0</v>
      </c>
      <c r="N493" s="167">
        <f t="shared" ref="N493:N498" si="295">M493+J493</f>
        <v>242.88</v>
      </c>
      <c r="Q493" s="349"/>
      <c r="R493" s="349"/>
    </row>
    <row r="494" spans="2:18" outlineLevel="1" x14ac:dyDescent="0.25">
      <c r="B494" s="227"/>
      <c r="C494" s="10" t="s">
        <v>24</v>
      </c>
      <c r="D494" s="11" t="s">
        <v>46</v>
      </c>
      <c r="E494" s="11" t="s">
        <v>46</v>
      </c>
      <c r="G494" s="171">
        <v>8.8000000000000007</v>
      </c>
      <c r="H494" s="52" cm="1">
        <f t="array" ref="H494">IFERROR(INDEX(Table3[Labor rate], MATCH(1, (Table3[Material]='Fixture+Pipe Qty'!$C$492) * (Table3[Size]='Fixture+Pipe Qty'!$C494), 0)),0)</f>
        <v>3.5000000000000003E-2</v>
      </c>
      <c r="I494" s="82">
        <f t="shared" ref="I494:I498" si="296">(F494+G494)*H494</f>
        <v>0.30800000000000005</v>
      </c>
      <c r="J494" s="170">
        <f>I494*Summary!$H$4</f>
        <v>53.13000000000001</v>
      </c>
      <c r="K494" s="52"/>
      <c r="L494" s="56">
        <v>0</v>
      </c>
      <c r="M494" s="84">
        <f t="shared" si="294"/>
        <v>0</v>
      </c>
      <c r="N494" s="167">
        <f t="shared" si="295"/>
        <v>53.13000000000001</v>
      </c>
      <c r="Q494" s="349"/>
      <c r="R494" s="349"/>
    </row>
    <row r="495" spans="2:18" outlineLevel="1" x14ac:dyDescent="0.25">
      <c r="B495" s="227"/>
      <c r="C495" s="10" t="s">
        <v>25</v>
      </c>
      <c r="D495" s="11" t="s">
        <v>46</v>
      </c>
      <c r="E495" s="11" t="s">
        <v>46</v>
      </c>
      <c r="G495" s="171">
        <v>26.400000000000002</v>
      </c>
      <c r="H495" s="52" cm="1">
        <f t="array" ref="H495">IFERROR(INDEX(Table3[Labor rate], MATCH(1, (Table3[Material]='Fixture+Pipe Qty'!$C$492) * (Table3[Size]='Fixture+Pipe Qty'!$C495), 0)),0)</f>
        <v>3.7999999999999999E-2</v>
      </c>
      <c r="I495" s="82">
        <f t="shared" si="296"/>
        <v>1.0032000000000001</v>
      </c>
      <c r="J495" s="170">
        <f>I495*Summary!$H$4</f>
        <v>173.05200000000002</v>
      </c>
      <c r="K495" s="52"/>
      <c r="L495" s="56">
        <v>0</v>
      </c>
      <c r="M495" s="84">
        <f t="shared" si="294"/>
        <v>0</v>
      </c>
      <c r="N495" s="167">
        <f t="shared" si="295"/>
        <v>173.05200000000002</v>
      </c>
      <c r="Q495" s="349"/>
      <c r="R495" s="349"/>
    </row>
    <row r="496" spans="2:18" outlineLevel="1" x14ac:dyDescent="0.25">
      <c r="B496" s="227"/>
      <c r="C496" s="10" t="s">
        <v>38</v>
      </c>
      <c r="D496" s="11" t="s">
        <v>46</v>
      </c>
      <c r="E496" s="11" t="s">
        <v>46</v>
      </c>
      <c r="G496" s="171">
        <v>8.8000000000000007</v>
      </c>
      <c r="H496" s="52" cm="1">
        <f t="array" ref="H496">IFERROR(INDEX(Table3[Labor rate], MATCH(1, (Table3[Material]='Fixture+Pipe Qty'!$C$492) * (Table3[Size]='Fixture+Pipe Qty'!$C496), 0)),0)</f>
        <v>4.5999999999999999E-2</v>
      </c>
      <c r="I496" s="82">
        <f t="shared" si="296"/>
        <v>0.40480000000000005</v>
      </c>
      <c r="J496" s="170">
        <f>I496*Summary!$H$4</f>
        <v>69.828000000000003</v>
      </c>
      <c r="K496" s="52"/>
      <c r="L496" s="56">
        <v>0</v>
      </c>
      <c r="M496" s="84">
        <f t="shared" si="294"/>
        <v>0</v>
      </c>
      <c r="N496" s="167">
        <f t="shared" si="295"/>
        <v>69.828000000000003</v>
      </c>
      <c r="Q496" s="349"/>
      <c r="R496" s="349"/>
    </row>
    <row r="497" spans="2:18" hidden="1" outlineLevel="1" x14ac:dyDescent="0.25">
      <c r="B497" s="227"/>
      <c r="C497" s="10" t="s">
        <v>26</v>
      </c>
      <c r="D497" s="11" t="s">
        <v>46</v>
      </c>
      <c r="E497" s="11" t="s">
        <v>46</v>
      </c>
      <c r="G497" s="171">
        <v>0</v>
      </c>
      <c r="H497" s="52" cm="1">
        <f t="array" ref="H497">IFERROR(INDEX(Table3[Labor rate], MATCH(1, (Table3[Material]='Fixture+Pipe Qty'!$C$492) * (Table3[Size]='Fixture+Pipe Qty'!$C497), 0)),0)</f>
        <v>5.2999999999999999E-2</v>
      </c>
      <c r="I497" s="82">
        <f t="shared" si="296"/>
        <v>0</v>
      </c>
      <c r="J497" s="170">
        <f>I497*Summary!$H$4</f>
        <v>0</v>
      </c>
      <c r="K497" s="52"/>
      <c r="L497" s="56">
        <v>0</v>
      </c>
      <c r="M497" s="84">
        <f t="shared" si="294"/>
        <v>0</v>
      </c>
      <c r="N497" s="167">
        <f t="shared" si="295"/>
        <v>0</v>
      </c>
      <c r="Q497" s="349"/>
      <c r="R497" s="349"/>
    </row>
    <row r="498" spans="2:18" hidden="1" outlineLevel="1" x14ac:dyDescent="0.25">
      <c r="B498" s="227"/>
      <c r="C498" s="10" t="s">
        <v>129</v>
      </c>
      <c r="D498" s="11" t="s">
        <v>46</v>
      </c>
      <c r="E498" s="11" t="s">
        <v>46</v>
      </c>
      <c r="G498" s="171">
        <v>0</v>
      </c>
      <c r="H498" s="52" cm="1">
        <f t="array" ref="H498">IFERROR(INDEX(Table3[Labor rate], MATCH(1, (Table3[Material]='Fixture+Pipe Qty'!$C$492) * (Table3[Size]='Fixture+Pipe Qty'!$C498), 0)),0)</f>
        <v>6.6000000000000003E-2</v>
      </c>
      <c r="I498" s="82">
        <f t="shared" si="296"/>
        <v>0</v>
      </c>
      <c r="J498" s="170">
        <f>I498*Summary!$H$4</f>
        <v>0</v>
      </c>
      <c r="K498" s="52"/>
      <c r="L498" s="56">
        <v>0</v>
      </c>
      <c r="M498" s="84">
        <f t="shared" si="294"/>
        <v>0</v>
      </c>
      <c r="N498" s="167">
        <f t="shared" si="295"/>
        <v>0</v>
      </c>
      <c r="Q498" s="349"/>
      <c r="R498" s="349"/>
    </row>
    <row r="499" spans="2:18" x14ac:dyDescent="0.25">
      <c r="B499" s="227"/>
      <c r="C499" s="10"/>
      <c r="G499" s="171"/>
      <c r="H499" s="52"/>
      <c r="I499" s="82"/>
      <c r="J499" s="170"/>
      <c r="K499" s="52"/>
      <c r="L499" s="56"/>
      <c r="M499" s="84"/>
      <c r="N499" s="167"/>
      <c r="Q499" s="349"/>
      <c r="R499" s="349"/>
    </row>
    <row r="500" spans="2:18" ht="15.75" thickBot="1" x14ac:dyDescent="0.3">
      <c r="B500" s="208"/>
      <c r="C500" s="10"/>
      <c r="F500" s="209"/>
      <c r="G500" s="169"/>
      <c r="H500" s="52"/>
      <c r="I500" s="207"/>
      <c r="J500" s="138"/>
      <c r="M500" s="138"/>
      <c r="N500" s="167"/>
      <c r="Q500" s="349"/>
      <c r="R500" s="349"/>
    </row>
    <row r="501" spans="2:18" x14ac:dyDescent="0.25">
      <c r="B501" s="405"/>
      <c r="C501" s="406" t="s">
        <v>563</v>
      </c>
      <c r="D501" s="407"/>
      <c r="E501" s="407"/>
      <c r="F501" s="408"/>
      <c r="G501" s="408">
        <f>SUM(G490:G499)</f>
        <v>88</v>
      </c>
      <c r="H501" s="408"/>
      <c r="I501" s="408">
        <f>SUM(I490:I500)</f>
        <v>3.1239999999999997</v>
      </c>
      <c r="J501" s="409">
        <f>SUM(J490:J500)</f>
        <v>538.89</v>
      </c>
      <c r="K501" s="408"/>
      <c r="L501" s="408"/>
      <c r="M501" s="409">
        <f>SUM(M490:M500)</f>
        <v>0</v>
      </c>
      <c r="N501" s="410"/>
      <c r="Q501" s="349"/>
      <c r="R501" s="349"/>
    </row>
    <row r="502" spans="2:18" x14ac:dyDescent="0.25">
      <c r="B502" s="227"/>
      <c r="C502" s="10"/>
      <c r="G502" s="171"/>
      <c r="H502" s="52"/>
      <c r="I502" s="82"/>
      <c r="J502" s="170"/>
      <c r="K502" s="56"/>
      <c r="L502" s="56"/>
      <c r="M502" s="84"/>
      <c r="N502" s="167"/>
      <c r="Q502" s="349"/>
      <c r="R502" s="349"/>
    </row>
    <row r="503" spans="2:18" x14ac:dyDescent="0.25">
      <c r="B503" s="402" t="s">
        <v>1016</v>
      </c>
      <c r="C503" s="10"/>
      <c r="G503" s="171"/>
      <c r="H503" s="52"/>
      <c r="I503" s="82"/>
      <c r="J503" s="170"/>
      <c r="K503" s="56"/>
      <c r="L503" s="56"/>
      <c r="M503" s="84"/>
      <c r="N503" s="167"/>
      <c r="Q503" s="349"/>
      <c r="R503" s="349"/>
    </row>
    <row r="504" spans="2:18" x14ac:dyDescent="0.25">
      <c r="B504" s="227"/>
      <c r="C504" s="10"/>
      <c r="G504" s="171"/>
      <c r="H504" s="52"/>
      <c r="I504" s="82"/>
      <c r="J504" s="170"/>
      <c r="K504" s="56"/>
      <c r="L504" s="56"/>
      <c r="M504" s="84"/>
      <c r="N504" s="167"/>
      <c r="Q504" s="349"/>
      <c r="R504" s="349"/>
    </row>
    <row r="505" spans="2:18" x14ac:dyDescent="0.25">
      <c r="B505" s="210" t="s">
        <v>1018</v>
      </c>
      <c r="C505" s="614" t="s">
        <v>983</v>
      </c>
      <c r="G505" s="171"/>
      <c r="H505" s="52"/>
      <c r="I505" s="82"/>
      <c r="J505" s="170"/>
      <c r="K505" s="56"/>
      <c r="L505" s="56"/>
      <c r="M505" s="84"/>
      <c r="N505" s="167"/>
      <c r="Q505" s="349"/>
      <c r="R505" s="349"/>
    </row>
    <row r="506" spans="2:18" outlineLevel="1" x14ac:dyDescent="0.25">
      <c r="B506" s="227"/>
      <c r="C506" s="15" t="s">
        <v>1019</v>
      </c>
      <c r="D506" s="11" t="s">
        <v>46</v>
      </c>
      <c r="E506" s="11" t="s">
        <v>46</v>
      </c>
      <c r="F506">
        <v>8</v>
      </c>
      <c r="G506" s="171"/>
      <c r="H506" s="52">
        <v>0.129</v>
      </c>
      <c r="I506" s="82">
        <f t="shared" ref="I506:I510" si="297">(F506+G506)*H506</f>
        <v>1.032</v>
      </c>
      <c r="J506" s="170">
        <f>I506*Summary!$H$4</f>
        <v>178.02</v>
      </c>
      <c r="K506" s="52"/>
      <c r="L506" s="56">
        <v>0</v>
      </c>
      <c r="M506" s="84">
        <f t="shared" ref="M506:M510" si="298">((F506+G506)*K506)+((F506+G506)*L506)</f>
        <v>0</v>
      </c>
      <c r="N506" s="167">
        <f t="shared" ref="N506:N510" si="299">M506+J506</f>
        <v>178.02</v>
      </c>
      <c r="Q506" s="349"/>
      <c r="R506" s="349"/>
    </row>
    <row r="507" spans="2:18" outlineLevel="1" x14ac:dyDescent="0.25">
      <c r="B507" s="227"/>
      <c r="C507" s="15" t="s">
        <v>911</v>
      </c>
      <c r="D507" s="11" t="s">
        <v>46</v>
      </c>
      <c r="E507" s="11" t="s">
        <v>46</v>
      </c>
      <c r="F507">
        <v>4</v>
      </c>
      <c r="G507" s="171"/>
      <c r="H507" s="52">
        <v>0.23200000000000001</v>
      </c>
      <c r="I507" s="82">
        <f t="shared" ref="I507" si="300">(F507+G507)*H507</f>
        <v>0.92800000000000005</v>
      </c>
      <c r="J507" s="170">
        <f>I507*Summary!$H$4</f>
        <v>160.08000000000001</v>
      </c>
      <c r="K507" s="52"/>
      <c r="L507" s="56">
        <v>0</v>
      </c>
      <c r="M507" s="84">
        <f t="shared" ref="M507" si="301">((F507+G507)*K507)+((F507+G507)*L507)</f>
        <v>0</v>
      </c>
      <c r="N507" s="167">
        <f t="shared" ref="N507" si="302">M507+J507</f>
        <v>160.08000000000001</v>
      </c>
      <c r="Q507" s="349"/>
      <c r="R507" s="349"/>
    </row>
    <row r="508" spans="2:18" outlineLevel="1" x14ac:dyDescent="0.25">
      <c r="B508" s="227"/>
      <c r="C508" s="15" t="s">
        <v>1021</v>
      </c>
      <c r="D508" s="11" t="s">
        <v>46</v>
      </c>
      <c r="E508" s="11" t="s">
        <v>46</v>
      </c>
      <c r="F508">
        <v>2</v>
      </c>
      <c r="G508" s="171"/>
      <c r="H508" s="52">
        <v>0.33500000000000002</v>
      </c>
      <c r="I508" s="82">
        <f t="shared" ref="I508" si="303">(F508+G508)*H508</f>
        <v>0.67</v>
      </c>
      <c r="J508" s="170">
        <f>I508*Summary!$H$4</f>
        <v>115.575</v>
      </c>
      <c r="K508" s="52"/>
      <c r="L508" s="56">
        <v>0</v>
      </c>
      <c r="M508" s="84">
        <f t="shared" ref="M508" si="304">((F508+G508)*K508)+((F508+G508)*L508)</f>
        <v>0</v>
      </c>
      <c r="N508" s="167">
        <f t="shared" ref="N508" si="305">M508+J508</f>
        <v>115.575</v>
      </c>
      <c r="Q508" s="349"/>
      <c r="R508" s="349"/>
    </row>
    <row r="509" spans="2:18" outlineLevel="1" x14ac:dyDescent="0.25">
      <c r="B509" s="227"/>
      <c r="C509" s="15" t="s">
        <v>1020</v>
      </c>
      <c r="D509" s="11" t="s">
        <v>46</v>
      </c>
      <c r="E509" s="11" t="s">
        <v>46</v>
      </c>
      <c r="F509">
        <v>12</v>
      </c>
      <c r="G509" s="171"/>
      <c r="H509" s="52">
        <v>0.129</v>
      </c>
      <c r="I509" s="82">
        <f t="shared" si="297"/>
        <v>1.548</v>
      </c>
      <c r="J509" s="170">
        <f>I509*Summary!$H$4</f>
        <v>267.03000000000003</v>
      </c>
      <c r="K509" s="52"/>
      <c r="L509" s="56">
        <v>0</v>
      </c>
      <c r="M509" s="84">
        <f t="shared" si="298"/>
        <v>0</v>
      </c>
      <c r="N509" s="167">
        <f t="shared" si="299"/>
        <v>267.03000000000003</v>
      </c>
      <c r="Q509" s="349"/>
      <c r="R509" s="349"/>
    </row>
    <row r="510" spans="2:18" outlineLevel="1" x14ac:dyDescent="0.25">
      <c r="B510" s="227"/>
      <c r="C510" s="15" t="s">
        <v>905</v>
      </c>
      <c r="D510" s="11" t="s">
        <v>46</v>
      </c>
      <c r="E510" s="11" t="s">
        <v>46</v>
      </c>
      <c r="F510">
        <v>5</v>
      </c>
      <c r="G510" s="171"/>
      <c r="H510" s="52">
        <v>0.18099999999999999</v>
      </c>
      <c r="I510" s="82">
        <f t="shared" si="297"/>
        <v>0.90500000000000003</v>
      </c>
      <c r="J510" s="170">
        <f>I510*Summary!$H$4</f>
        <v>156.11250000000001</v>
      </c>
      <c r="K510" s="52"/>
      <c r="L510" s="56">
        <v>0</v>
      </c>
      <c r="M510" s="84">
        <f t="shared" si="298"/>
        <v>0</v>
      </c>
      <c r="N510" s="167">
        <f t="shared" si="299"/>
        <v>156.11250000000001</v>
      </c>
      <c r="Q510" s="349"/>
      <c r="R510" s="349"/>
    </row>
    <row r="511" spans="2:18" outlineLevel="1" x14ac:dyDescent="0.25">
      <c r="B511" s="227"/>
      <c r="C511" s="15" t="s">
        <v>906</v>
      </c>
      <c r="D511" s="11" t="s">
        <v>46</v>
      </c>
      <c r="E511" s="11" t="s">
        <v>46</v>
      </c>
      <c r="F511">
        <v>4</v>
      </c>
      <c r="G511" s="171"/>
      <c r="H511" s="52">
        <v>0.23200000000000001</v>
      </c>
      <c r="I511" s="82">
        <f t="shared" ref="I511:I512" si="306">(F511+G511)*H511</f>
        <v>0.92800000000000005</v>
      </c>
      <c r="J511" s="170">
        <f>I511*Summary!$H$4</f>
        <v>160.08000000000001</v>
      </c>
      <c r="K511" s="52"/>
      <c r="L511" s="56">
        <v>0</v>
      </c>
      <c r="M511" s="84">
        <f t="shared" ref="M511:M512" si="307">((F511+G511)*K511)+((F511+G511)*L511)</f>
        <v>0</v>
      </c>
      <c r="N511" s="167">
        <f t="shared" ref="N511:N512" si="308">M511+J511</f>
        <v>160.08000000000001</v>
      </c>
      <c r="Q511" s="349"/>
      <c r="R511" s="349"/>
    </row>
    <row r="512" spans="2:18" outlineLevel="1" x14ac:dyDescent="0.25">
      <c r="B512" s="227"/>
      <c r="C512" s="15" t="s">
        <v>1022</v>
      </c>
      <c r="D512" s="11" t="s">
        <v>46</v>
      </c>
      <c r="E512" s="11" t="s">
        <v>46</v>
      </c>
      <c r="F512">
        <v>4</v>
      </c>
      <c r="G512" s="171"/>
      <c r="H512" s="52">
        <v>0.33500000000000002</v>
      </c>
      <c r="I512" s="82">
        <f t="shared" si="306"/>
        <v>1.34</v>
      </c>
      <c r="J512" s="170">
        <f>I512*Summary!$H$4</f>
        <v>231.15</v>
      </c>
      <c r="K512" s="52"/>
      <c r="L512" s="56">
        <v>0</v>
      </c>
      <c r="M512" s="84">
        <f t="shared" si="307"/>
        <v>0</v>
      </c>
      <c r="N512" s="167">
        <f t="shared" si="308"/>
        <v>231.15</v>
      </c>
      <c r="Q512" s="349"/>
      <c r="R512" s="349"/>
    </row>
    <row r="513" spans="2:18" x14ac:dyDescent="0.25">
      <c r="B513" s="227"/>
      <c r="C513" s="15"/>
      <c r="G513" s="171"/>
      <c r="H513" s="52"/>
      <c r="I513" s="82"/>
      <c r="J513" s="170"/>
      <c r="K513" s="52"/>
      <c r="L513" s="56"/>
      <c r="M513" s="84"/>
      <c r="N513" s="167"/>
      <c r="Q513" s="349"/>
      <c r="R513" s="349"/>
    </row>
    <row r="514" spans="2:18" ht="15.75" thickBot="1" x14ac:dyDescent="0.3">
      <c r="B514" s="208"/>
      <c r="C514" s="10"/>
      <c r="F514" s="209"/>
      <c r="G514" s="169"/>
      <c r="H514" s="52"/>
      <c r="I514" s="207"/>
      <c r="J514" s="138"/>
      <c r="M514" s="138"/>
      <c r="N514" s="167"/>
      <c r="Q514" s="349"/>
      <c r="R514" s="349"/>
    </row>
    <row r="515" spans="2:18" x14ac:dyDescent="0.25">
      <c r="B515" s="405"/>
      <c r="C515" s="406" t="s">
        <v>563</v>
      </c>
      <c r="D515" s="407"/>
      <c r="E515" s="407"/>
      <c r="F515" s="408"/>
      <c r="G515" s="408">
        <f>SUM(G503:G513)</f>
        <v>0</v>
      </c>
      <c r="H515" s="408"/>
      <c r="I515" s="615">
        <f>SUM(I503:I514)</f>
        <v>7.351</v>
      </c>
      <c r="J515" s="409">
        <f>SUM(J503:J514)</f>
        <v>1268.0475000000001</v>
      </c>
      <c r="K515" s="408"/>
      <c r="L515" s="408"/>
      <c r="M515" s="409">
        <f>SUM(M503:M514)</f>
        <v>0</v>
      </c>
      <c r="N515" s="410"/>
      <c r="Q515" s="349"/>
      <c r="R515" s="349"/>
    </row>
    <row r="516" spans="2:18" x14ac:dyDescent="0.25">
      <c r="B516" s="227"/>
      <c r="C516" s="10"/>
      <c r="G516" s="171"/>
      <c r="H516" s="52"/>
      <c r="I516" s="82"/>
      <c r="J516" s="170"/>
      <c r="K516" s="56"/>
      <c r="L516" s="56"/>
      <c r="M516" s="84"/>
      <c r="N516" s="167"/>
      <c r="Q516" s="349"/>
      <c r="R516" s="349"/>
    </row>
    <row r="517" spans="2:18" x14ac:dyDescent="0.25">
      <c r="B517" s="402" t="s">
        <v>560</v>
      </c>
      <c r="C517" s="10"/>
      <c r="G517" s="171"/>
      <c r="H517" s="52"/>
      <c r="I517" s="82"/>
      <c r="J517" s="170"/>
      <c r="K517" s="56"/>
      <c r="L517" s="56"/>
      <c r="M517" s="84"/>
      <c r="N517" s="167"/>
      <c r="Q517" s="349"/>
      <c r="R517" s="349"/>
    </row>
    <row r="518" spans="2:18" x14ac:dyDescent="0.25">
      <c r="B518" s="227"/>
      <c r="C518" s="10"/>
      <c r="G518" s="171"/>
      <c r="H518" s="52"/>
      <c r="I518" s="82"/>
      <c r="J518" s="170"/>
      <c r="K518" s="56"/>
      <c r="L518" s="56"/>
      <c r="M518" s="84"/>
      <c r="N518" s="167"/>
      <c r="Q518" s="349"/>
      <c r="R518" s="349"/>
    </row>
    <row r="519" spans="2:18" x14ac:dyDescent="0.25">
      <c r="B519" s="86" t="s">
        <v>557</v>
      </c>
      <c r="C519" s="537"/>
      <c r="G519" s="177"/>
      <c r="I519" s="82"/>
      <c r="J519" s="170"/>
      <c r="K519" s="56"/>
      <c r="L519" s="56"/>
      <c r="M519" s="84"/>
      <c r="N519" s="167"/>
      <c r="Q519" s="349"/>
      <c r="R519" s="349"/>
    </row>
    <row r="520" spans="2:18" hidden="1" outlineLevel="1" x14ac:dyDescent="0.25">
      <c r="B520" s="227"/>
      <c r="C520" s="168" t="s">
        <v>23</v>
      </c>
      <c r="D520" s="11" t="s">
        <v>46</v>
      </c>
      <c r="E520" s="11" t="s">
        <v>46</v>
      </c>
      <c r="G520" s="171" cm="1">
        <f t="array" ref="G520:G528">TRANSPOSE('Fixtures + Piping computation'!BW304:CE304)</f>
        <v>0</v>
      </c>
      <c r="H520" s="52" cm="1">
        <f t="array" ref="H520">IFERROR(INDEX(Table3[Labor rate], MATCH(1, (Table3[Material]='Fixture+Pipe Qty'!$C$519) * (Table3[Size]='Fixture+Pipe Qty'!$C520), 0)),0)</f>
        <v>0</v>
      </c>
      <c r="I520" s="82">
        <f t="shared" ref="I520" si="309">(F520+G520)*H520</f>
        <v>0</v>
      </c>
      <c r="J520" s="170">
        <f>I520*Summary!$H$4</f>
        <v>0</v>
      </c>
      <c r="K520" s="52" cm="1">
        <f t="array" ref="K520">IFERROR(INDEX(Table3[Material Cost], MATCH(1, (Table3[Material]='Fixture+Pipe Qty'!$C$519) * (Table3[Size]='Fixture+Pipe Qty'!$C520), 0)),0)</f>
        <v>0</v>
      </c>
      <c r="L520" s="56">
        <v>0</v>
      </c>
      <c r="M520" s="84">
        <f t="shared" ref="M520:M528" si="310">((F520+G520)*K520)+((F520+G520)*L520)</f>
        <v>0</v>
      </c>
      <c r="N520" s="167">
        <f t="shared" ref="N520:N528" si="311">M520+J520</f>
        <v>0</v>
      </c>
      <c r="Q520" s="349"/>
      <c r="R520" s="349"/>
    </row>
    <row r="521" spans="2:18" hidden="1" outlineLevel="1" x14ac:dyDescent="0.25">
      <c r="B521" s="227"/>
      <c r="C521" s="10" t="s">
        <v>24</v>
      </c>
      <c r="D521" s="11" t="s">
        <v>46</v>
      </c>
      <c r="E521" s="11" t="s">
        <v>46</v>
      </c>
      <c r="G521" s="171">
        <v>0</v>
      </c>
      <c r="H521" s="52" cm="1">
        <f t="array" ref="H521">IFERROR(INDEX(Table3[Labor rate], MATCH(1, (Table3[Material]='Fixture+Pipe Qty'!$C$519) * (Table3[Size]='Fixture+Pipe Qty'!$C521), 0)),0)</f>
        <v>0</v>
      </c>
      <c r="I521" s="82">
        <f t="shared" ref="I521:I528" si="312">(F521+G521)*H521</f>
        <v>0</v>
      </c>
      <c r="J521" s="170">
        <f>I521*Summary!$H$4</f>
        <v>0</v>
      </c>
      <c r="K521" s="52" cm="1">
        <f t="array" ref="K521">IFERROR(INDEX(Table3[Material Cost], MATCH(1, (Table3[Material]='Fixture+Pipe Qty'!$C$519) * (Table3[Size]='Fixture+Pipe Qty'!$C521), 0)),0)</f>
        <v>0</v>
      </c>
      <c r="L521" s="56">
        <v>0</v>
      </c>
      <c r="M521" s="84">
        <f t="shared" si="310"/>
        <v>0</v>
      </c>
      <c r="N521" s="167">
        <f t="shared" si="311"/>
        <v>0</v>
      </c>
      <c r="Q521" s="349"/>
      <c r="R521" s="349"/>
    </row>
    <row r="522" spans="2:18" hidden="1" outlineLevel="1" x14ac:dyDescent="0.25">
      <c r="B522" s="86"/>
      <c r="C522" s="10" t="s">
        <v>25</v>
      </c>
      <c r="D522" s="11" t="s">
        <v>46</v>
      </c>
      <c r="E522" s="11" t="s">
        <v>46</v>
      </c>
      <c r="G522" s="171">
        <v>0</v>
      </c>
      <c r="H522" s="52" cm="1">
        <f t="array" ref="H522">IFERROR(INDEX(Table3[Labor rate], MATCH(1, (Table3[Material]='Fixture+Pipe Qty'!$C$519) * (Table3[Size]='Fixture+Pipe Qty'!$C522), 0)),0)</f>
        <v>0</v>
      </c>
      <c r="I522" s="82">
        <f t="shared" si="312"/>
        <v>0</v>
      </c>
      <c r="J522" s="170">
        <f>I522*Summary!$H$4</f>
        <v>0</v>
      </c>
      <c r="K522" s="52" cm="1">
        <f t="array" ref="K522">IFERROR(INDEX(Table3[Material Cost], MATCH(1, (Table3[Material]='Fixture+Pipe Qty'!$C$519) * (Table3[Size]='Fixture+Pipe Qty'!$C522), 0)),0)</f>
        <v>0</v>
      </c>
      <c r="L522" s="56">
        <v>0</v>
      </c>
      <c r="M522" s="84">
        <f t="shared" si="310"/>
        <v>0</v>
      </c>
      <c r="N522" s="167">
        <f t="shared" si="311"/>
        <v>0</v>
      </c>
      <c r="Q522" s="349"/>
      <c r="R522" s="349"/>
    </row>
    <row r="523" spans="2:18" hidden="1" outlineLevel="1" x14ac:dyDescent="0.25">
      <c r="B523" s="86"/>
      <c r="C523" s="10" t="s">
        <v>151</v>
      </c>
      <c r="D523" s="11" t="s">
        <v>46</v>
      </c>
      <c r="E523" s="11" t="s">
        <v>46</v>
      </c>
      <c r="G523" s="171">
        <v>0</v>
      </c>
      <c r="H523" s="52" cm="1">
        <f t="array" ref="H523">IFERROR(INDEX(Table3[Labor rate], MATCH(1, (Table3[Material]='Fixture+Pipe Qty'!$C$519) * (Table3[Size]='Fixture+Pipe Qty'!$C523), 0)),0)</f>
        <v>0</v>
      </c>
      <c r="I523" s="82">
        <f t="shared" si="312"/>
        <v>0</v>
      </c>
      <c r="J523" s="170">
        <f>I523*Summary!$H$4</f>
        <v>0</v>
      </c>
      <c r="K523" s="52" cm="1">
        <f t="array" ref="K523">IFERROR(INDEX(Table3[Material Cost], MATCH(1, (Table3[Material]='Fixture+Pipe Qty'!$C$519) * (Table3[Size]='Fixture+Pipe Qty'!$C523), 0)),0)</f>
        <v>0</v>
      </c>
      <c r="L523" s="56">
        <v>0</v>
      </c>
      <c r="M523" s="84">
        <f t="shared" si="310"/>
        <v>0</v>
      </c>
      <c r="N523" s="167">
        <f t="shared" si="311"/>
        <v>0</v>
      </c>
      <c r="Q523" s="349"/>
      <c r="R523" s="349"/>
    </row>
    <row r="524" spans="2:18" hidden="1" outlineLevel="1" x14ac:dyDescent="0.25">
      <c r="B524" s="86"/>
      <c r="C524" s="10" t="s">
        <v>38</v>
      </c>
      <c r="D524" s="11" t="s">
        <v>46</v>
      </c>
      <c r="E524" s="11" t="s">
        <v>46</v>
      </c>
      <c r="G524" s="171">
        <v>0</v>
      </c>
      <c r="H524" s="52" cm="1">
        <f t="array" ref="H524">IFERROR(INDEX(Table3[Labor rate], MATCH(1, (Table3[Material]='Fixture+Pipe Qty'!$C$519) * (Table3[Size]='Fixture+Pipe Qty'!$C524), 0)),0)</f>
        <v>0</v>
      </c>
      <c r="I524" s="82">
        <f t="shared" si="312"/>
        <v>0</v>
      </c>
      <c r="J524" s="170">
        <f>I524*Summary!$H$4</f>
        <v>0</v>
      </c>
      <c r="K524" s="52" cm="1">
        <f t="array" ref="K524">IFERROR(INDEX(Table3[Material Cost], MATCH(1, (Table3[Material]='Fixture+Pipe Qty'!$C$519) * (Table3[Size]='Fixture+Pipe Qty'!$C524), 0)),0)</f>
        <v>0</v>
      </c>
      <c r="L524" s="56">
        <v>0</v>
      </c>
      <c r="M524" s="84">
        <f t="shared" si="310"/>
        <v>0</v>
      </c>
      <c r="N524" s="167">
        <f t="shared" si="311"/>
        <v>0</v>
      </c>
      <c r="Q524" s="349"/>
      <c r="R524" s="349"/>
    </row>
    <row r="525" spans="2:18" hidden="1" outlineLevel="1" x14ac:dyDescent="0.25">
      <c r="B525" s="86"/>
      <c r="C525" s="10" t="s">
        <v>26</v>
      </c>
      <c r="D525" s="11" t="s">
        <v>46</v>
      </c>
      <c r="E525" s="11" t="s">
        <v>46</v>
      </c>
      <c r="G525" s="171">
        <v>0</v>
      </c>
      <c r="H525" s="52" cm="1">
        <f t="array" ref="H525">IFERROR(INDEX(Table3[Labor rate], MATCH(1, (Table3[Material]='Fixture+Pipe Qty'!$C$519) * (Table3[Size]='Fixture+Pipe Qty'!$C525), 0)),0)</f>
        <v>0</v>
      </c>
      <c r="I525" s="82">
        <f t="shared" si="312"/>
        <v>0</v>
      </c>
      <c r="J525" s="170">
        <f>I525*Summary!$H$4</f>
        <v>0</v>
      </c>
      <c r="K525" s="52" cm="1">
        <f t="array" ref="K525">IFERROR(INDEX(Table3[Material Cost], MATCH(1, (Table3[Material]='Fixture+Pipe Qty'!$C$519) * (Table3[Size]='Fixture+Pipe Qty'!$C525), 0)),0)</f>
        <v>0</v>
      </c>
      <c r="L525" s="56">
        <v>0</v>
      </c>
      <c r="M525" s="84">
        <f t="shared" si="310"/>
        <v>0</v>
      </c>
      <c r="N525" s="167">
        <f t="shared" si="311"/>
        <v>0</v>
      </c>
      <c r="Q525" s="349"/>
      <c r="R525" s="349"/>
    </row>
    <row r="526" spans="2:18" hidden="1" outlineLevel="1" x14ac:dyDescent="0.25">
      <c r="B526" s="86"/>
      <c r="C526" s="10" t="s">
        <v>152</v>
      </c>
      <c r="D526" s="11" t="s">
        <v>46</v>
      </c>
      <c r="E526" s="11" t="s">
        <v>46</v>
      </c>
      <c r="G526" s="171">
        <v>0</v>
      </c>
      <c r="H526" s="52" cm="1">
        <f t="array" ref="H526">IFERROR(INDEX(Table3[Labor rate], MATCH(1, (Table3[Material]='Fixture+Pipe Qty'!$C$519) * (Table3[Size]='Fixture+Pipe Qty'!$C526), 0)),0)</f>
        <v>0</v>
      </c>
      <c r="I526" s="82">
        <f t="shared" si="312"/>
        <v>0</v>
      </c>
      <c r="J526" s="170">
        <f>I526*Summary!$H$4</f>
        <v>0</v>
      </c>
      <c r="K526" s="52" cm="1">
        <f t="array" ref="K526">IFERROR(INDEX(Table3[Material Cost], MATCH(1, (Table3[Material]='Fixture+Pipe Qty'!$C$519) * (Table3[Size]='Fixture+Pipe Qty'!$C526), 0)),0)</f>
        <v>0</v>
      </c>
      <c r="L526" s="56">
        <v>0</v>
      </c>
      <c r="M526" s="84">
        <f t="shared" si="310"/>
        <v>0</v>
      </c>
      <c r="N526" s="167">
        <f t="shared" si="311"/>
        <v>0</v>
      </c>
      <c r="Q526" s="349"/>
      <c r="R526" s="349"/>
    </row>
    <row r="527" spans="2:18" hidden="1" outlineLevel="1" x14ac:dyDescent="0.25">
      <c r="B527" s="86"/>
      <c r="C527" s="10" t="s">
        <v>129</v>
      </c>
      <c r="D527" s="11" t="s">
        <v>46</v>
      </c>
      <c r="E527" s="11" t="s">
        <v>46</v>
      </c>
      <c r="G527" s="171">
        <v>0</v>
      </c>
      <c r="H527" s="52" cm="1">
        <f t="array" ref="H527">IFERROR(INDEX(Table3[Labor rate], MATCH(1, (Table3[Material]='Fixture+Pipe Qty'!$C$519) * (Table3[Size]='Fixture+Pipe Qty'!$C527), 0)),0)</f>
        <v>0</v>
      </c>
      <c r="I527" s="82">
        <f t="shared" si="312"/>
        <v>0</v>
      </c>
      <c r="J527" s="170">
        <f>I527*Summary!$H$4</f>
        <v>0</v>
      </c>
      <c r="K527" s="52" cm="1">
        <f t="array" ref="K527">IFERROR(INDEX(Table3[Material Cost], MATCH(1, (Table3[Material]='Fixture+Pipe Qty'!$C$519) * (Table3[Size]='Fixture+Pipe Qty'!$C527), 0)),0)</f>
        <v>0</v>
      </c>
      <c r="L527" s="56">
        <v>0</v>
      </c>
      <c r="M527" s="84">
        <f t="shared" si="310"/>
        <v>0</v>
      </c>
      <c r="N527" s="167">
        <f t="shared" si="311"/>
        <v>0</v>
      </c>
      <c r="Q527" s="349"/>
      <c r="R527" s="349"/>
    </row>
    <row r="528" spans="2:18" hidden="1" outlineLevel="1" x14ac:dyDescent="0.25">
      <c r="B528" s="227"/>
      <c r="C528" s="10" t="s">
        <v>27</v>
      </c>
      <c r="D528" s="11" t="s">
        <v>46</v>
      </c>
      <c r="E528" s="11" t="s">
        <v>46</v>
      </c>
      <c r="G528" s="171">
        <v>0</v>
      </c>
      <c r="H528" s="52" cm="1">
        <f t="array" ref="H528">IFERROR(INDEX(Table3[Labor rate], MATCH(1, (Table3[Material]='Fixture+Pipe Qty'!$C$519) * (Table3[Size]='Fixture+Pipe Qty'!$C528), 0)),0)</f>
        <v>0</v>
      </c>
      <c r="I528" s="82">
        <f t="shared" si="312"/>
        <v>0</v>
      </c>
      <c r="J528" s="170">
        <f>I528*Summary!$H$4</f>
        <v>0</v>
      </c>
      <c r="K528" s="52" cm="1">
        <f t="array" ref="K528">IFERROR(INDEX(Table3[Material Cost], MATCH(1, (Table3[Material]='Fixture+Pipe Qty'!$C$519) * (Table3[Size]='Fixture+Pipe Qty'!$C528), 0)),0)</f>
        <v>0</v>
      </c>
      <c r="L528" s="56">
        <v>0</v>
      </c>
      <c r="M528" s="84">
        <f t="shared" si="310"/>
        <v>0</v>
      </c>
      <c r="N528" s="167">
        <f t="shared" si="311"/>
        <v>0</v>
      </c>
      <c r="Q528" s="349"/>
      <c r="R528" s="349"/>
    </row>
    <row r="529" spans="2:18" ht="15.75" collapsed="1" thickBot="1" x14ac:dyDescent="0.3">
      <c r="B529" s="227"/>
      <c r="C529" s="10"/>
      <c r="G529" s="171"/>
      <c r="H529" s="52"/>
      <c r="I529" s="82"/>
      <c r="J529" s="170"/>
      <c r="K529" s="56"/>
      <c r="L529" s="56"/>
      <c r="M529" s="84"/>
      <c r="N529" s="167"/>
      <c r="Q529" s="349"/>
      <c r="R529" s="349"/>
    </row>
    <row r="530" spans="2:18" x14ac:dyDescent="0.25">
      <c r="B530" s="405"/>
      <c r="C530" s="406" t="s">
        <v>562</v>
      </c>
      <c r="D530" s="407"/>
      <c r="E530" s="407"/>
      <c r="F530" s="408"/>
      <c r="G530" s="408">
        <f>SUM(G517:G529)</f>
        <v>0</v>
      </c>
      <c r="H530" s="408"/>
      <c r="I530" s="408">
        <f>SUM(I517:I529)</f>
        <v>0</v>
      </c>
      <c r="J530" s="409">
        <f>SUM(J517:J529)</f>
        <v>0</v>
      </c>
      <c r="K530" s="408"/>
      <c r="L530" s="408"/>
      <c r="M530" s="409">
        <f>SUM(M517:M529)</f>
        <v>0</v>
      </c>
      <c r="N530" s="410"/>
      <c r="Q530" s="349"/>
      <c r="R530" s="349"/>
    </row>
    <row r="531" spans="2:18" x14ac:dyDescent="0.25">
      <c r="B531" s="227"/>
      <c r="C531" s="10"/>
      <c r="G531" s="171"/>
      <c r="H531" s="52"/>
      <c r="I531" s="82"/>
      <c r="J531" s="170"/>
      <c r="K531" s="56"/>
      <c r="L531" s="56"/>
      <c r="M531" s="84"/>
      <c r="N531" s="167"/>
      <c r="Q531" s="349"/>
      <c r="R531" s="349"/>
    </row>
    <row r="532" spans="2:18" x14ac:dyDescent="0.25">
      <c r="B532" s="402" t="s">
        <v>279</v>
      </c>
      <c r="C532" s="10"/>
      <c r="G532" s="171"/>
      <c r="H532" s="52"/>
      <c r="I532" s="82"/>
      <c r="J532" s="170"/>
      <c r="K532" s="56"/>
      <c r="L532" s="56"/>
      <c r="M532" s="84"/>
      <c r="N532" s="167"/>
      <c r="Q532" s="349"/>
      <c r="R532" s="349"/>
    </row>
    <row r="533" spans="2:18" x14ac:dyDescent="0.25">
      <c r="B533" s="227"/>
      <c r="C533" s="10"/>
      <c r="G533" s="171"/>
      <c r="H533" s="52"/>
      <c r="I533" s="82"/>
      <c r="J533" s="170"/>
      <c r="K533" s="56"/>
      <c r="L533" s="56"/>
      <c r="M533" s="84"/>
      <c r="N533" s="167"/>
      <c r="Q533" s="349"/>
      <c r="R533" s="349"/>
    </row>
    <row r="534" spans="2:18" x14ac:dyDescent="0.25">
      <c r="B534" s="210" t="s">
        <v>850</v>
      </c>
      <c r="C534" s="537" t="s">
        <v>596</v>
      </c>
      <c r="G534" s="171"/>
      <c r="H534" s="52"/>
      <c r="I534" s="82"/>
      <c r="J534" s="170"/>
      <c r="K534" s="56"/>
      <c r="L534" s="56"/>
      <c r="M534" s="84"/>
      <c r="N534" s="167"/>
      <c r="Q534" s="349"/>
      <c r="R534" s="349"/>
    </row>
    <row r="535" spans="2:18" hidden="1" outlineLevel="1" x14ac:dyDescent="0.25">
      <c r="B535" s="227"/>
      <c r="C535" s="10" t="str" cm="1">
        <f t="array" ref="C535:C540">TRANSPOSE('Fixtures + Piping computation'!CR159:CW159)</f>
        <v>1/2"</v>
      </c>
      <c r="D535" s="11" t="s">
        <v>46</v>
      </c>
      <c r="E535" s="11" t="s">
        <v>46</v>
      </c>
      <c r="G535" s="171" cm="1">
        <f t="array" ref="G535:G540">TRANSPOSE('Fixtures + Piping computation'!CR304:CW304)</f>
        <v>0</v>
      </c>
      <c r="H535" s="52"/>
      <c r="I535" s="82">
        <f t="shared" ref="I535" si="313">(F535+G535)*H535</f>
        <v>0</v>
      </c>
      <c r="J535" s="170">
        <f>I535*Summary!$H$4</f>
        <v>0</v>
      </c>
      <c r="K535" s="52"/>
      <c r="L535" s="56">
        <v>0</v>
      </c>
      <c r="M535" s="84">
        <f t="shared" ref="M535:M540" si="314">((F535+G535)*K535)+((F535+G535)*L535)</f>
        <v>0</v>
      </c>
      <c r="N535" s="167">
        <f t="shared" ref="N535:N540" si="315">M535+J535</f>
        <v>0</v>
      </c>
      <c r="Q535" s="349"/>
      <c r="R535" s="349"/>
    </row>
    <row r="536" spans="2:18" hidden="1" outlineLevel="1" x14ac:dyDescent="0.25">
      <c r="B536" s="227"/>
      <c r="C536" s="10" t="str">
        <v>3/4"</v>
      </c>
      <c r="D536" s="11" t="s">
        <v>46</v>
      </c>
      <c r="E536" s="11" t="s">
        <v>46</v>
      </c>
      <c r="G536" s="171">
        <v>0</v>
      </c>
      <c r="H536" s="52"/>
      <c r="I536" s="82">
        <f t="shared" ref="I536:I540" si="316">(F536+G536)*H536</f>
        <v>0</v>
      </c>
      <c r="J536" s="170">
        <f>I536*Summary!$H$4</f>
        <v>0</v>
      </c>
      <c r="K536" s="52"/>
      <c r="L536" s="56">
        <v>0</v>
      </c>
      <c r="M536" s="84">
        <f>((F536+G536)*K536)+((F536+G536)*L536)</f>
        <v>0</v>
      </c>
      <c r="N536" s="167">
        <f t="shared" si="315"/>
        <v>0</v>
      </c>
      <c r="Q536" s="349"/>
      <c r="R536" s="349"/>
    </row>
    <row r="537" spans="2:18" hidden="1" outlineLevel="1" x14ac:dyDescent="0.25">
      <c r="B537" s="227"/>
      <c r="C537" s="10" t="str">
        <v>1"</v>
      </c>
      <c r="D537" s="11" t="s">
        <v>46</v>
      </c>
      <c r="E537" s="11" t="s">
        <v>46</v>
      </c>
      <c r="G537" s="171">
        <v>0</v>
      </c>
      <c r="H537" s="52"/>
      <c r="I537" s="82">
        <f t="shared" si="316"/>
        <v>0</v>
      </c>
      <c r="J537" s="170">
        <f>I537*Summary!$H$4</f>
        <v>0</v>
      </c>
      <c r="K537" s="52"/>
      <c r="L537" s="56">
        <v>0</v>
      </c>
      <c r="M537" s="84">
        <f>((F537+G537)*K537)+((F537+G537)*L537)</f>
        <v>0</v>
      </c>
      <c r="N537" s="167">
        <f t="shared" si="315"/>
        <v>0</v>
      </c>
      <c r="Q537" s="349"/>
      <c r="R537" s="349"/>
    </row>
    <row r="538" spans="2:18" hidden="1" outlineLevel="1" x14ac:dyDescent="0.25">
      <c r="B538" s="227"/>
      <c r="C538" s="10" t="str">
        <v>1-1/2"</v>
      </c>
      <c r="D538" s="11" t="s">
        <v>46</v>
      </c>
      <c r="E538" s="11" t="s">
        <v>46</v>
      </c>
      <c r="G538" s="171">
        <v>0</v>
      </c>
      <c r="H538" s="52"/>
      <c r="I538" s="82">
        <f t="shared" si="316"/>
        <v>0</v>
      </c>
      <c r="J538" s="170">
        <f>I538*Summary!$H$4</f>
        <v>0</v>
      </c>
      <c r="K538" s="52"/>
      <c r="L538" s="56">
        <v>0</v>
      </c>
      <c r="M538" s="84">
        <f t="shared" si="314"/>
        <v>0</v>
      </c>
      <c r="N538" s="167">
        <f t="shared" si="315"/>
        <v>0</v>
      </c>
      <c r="Q538" s="349"/>
      <c r="R538" s="349"/>
    </row>
    <row r="539" spans="2:18" outlineLevel="1" x14ac:dyDescent="0.25">
      <c r="B539" s="227"/>
      <c r="C539" s="10" t="str">
        <v>2"</v>
      </c>
      <c r="D539" s="11" t="s">
        <v>46</v>
      </c>
      <c r="E539" s="11" t="s">
        <v>46</v>
      </c>
      <c r="G539" s="171">
        <v>55.000000000000007</v>
      </c>
      <c r="H539" s="52" cm="1">
        <f t="array" ref="H539">IFERROR(INDEX(Table3[Labor rate], MATCH(1, (Table3[Material]='Fixture+Pipe Qty'!$C$534) * (Table3[Size]='Fixture+Pipe Qty'!$C539), 0)),0)</f>
        <v>5.2999999999999999E-2</v>
      </c>
      <c r="I539" s="82">
        <f t="shared" si="316"/>
        <v>2.9150000000000005</v>
      </c>
      <c r="J539" s="170">
        <f>I539*Summary!$H$4</f>
        <v>502.83750000000009</v>
      </c>
      <c r="K539" s="52"/>
      <c r="L539" s="56">
        <v>0</v>
      </c>
      <c r="M539" s="84">
        <f t="shared" si="314"/>
        <v>0</v>
      </c>
      <c r="N539" s="167">
        <f t="shared" si="315"/>
        <v>502.83750000000009</v>
      </c>
      <c r="Q539" s="349"/>
      <c r="R539" s="349"/>
    </row>
    <row r="540" spans="2:18" hidden="1" outlineLevel="1" x14ac:dyDescent="0.25">
      <c r="B540" s="227"/>
      <c r="C540" s="10" t="str">
        <v>3"</v>
      </c>
      <c r="D540" s="11" t="s">
        <v>46</v>
      </c>
      <c r="E540" s="11" t="s">
        <v>46</v>
      </c>
      <c r="G540" s="171">
        <v>0</v>
      </c>
      <c r="H540" s="52"/>
      <c r="I540" s="82">
        <f t="shared" si="316"/>
        <v>0</v>
      </c>
      <c r="J540" s="170">
        <f>I540*Summary!$H$4</f>
        <v>0</v>
      </c>
      <c r="K540" s="52"/>
      <c r="L540" s="56">
        <v>0</v>
      </c>
      <c r="M540" s="84">
        <f t="shared" si="314"/>
        <v>0</v>
      </c>
      <c r="N540" s="167">
        <f t="shared" si="315"/>
        <v>0</v>
      </c>
      <c r="Q540" s="349"/>
      <c r="R540" s="349"/>
    </row>
    <row r="541" spans="2:18" x14ac:dyDescent="0.25">
      <c r="B541" s="210" t="s">
        <v>1011</v>
      </c>
      <c r="C541" s="537" t="s">
        <v>98</v>
      </c>
      <c r="G541" s="171"/>
      <c r="H541" s="52"/>
      <c r="I541" s="82"/>
      <c r="J541" s="170"/>
      <c r="K541" s="56"/>
      <c r="L541" s="56"/>
      <c r="M541" s="84"/>
      <c r="N541" s="167"/>
      <c r="Q541" s="349"/>
      <c r="R541" s="349"/>
    </row>
    <row r="542" spans="2:18" outlineLevel="1" x14ac:dyDescent="0.25">
      <c r="B542" s="227"/>
      <c r="C542" s="10" t="s">
        <v>129</v>
      </c>
      <c r="D542" s="11" t="s">
        <v>46</v>
      </c>
      <c r="E542" s="11" t="s">
        <v>46</v>
      </c>
      <c r="G542" s="171">
        <f>'Fixtures + Piping computation'!CX304</f>
        <v>66.110000000000014</v>
      </c>
      <c r="H542" s="52" cm="1">
        <f t="array" ref="H542">IFERROR(INDEX(Table3[Labor rate], MATCH(1, (Table3[Material]='Fixture+Pipe Qty'!$C$534) * (Table3[Size]='Fixture+Pipe Qty'!$C542), 0)),0)</f>
        <v>6.6000000000000003E-2</v>
      </c>
      <c r="I542" s="82">
        <f t="shared" ref="I542" si="317">(F542+G542)*H542</f>
        <v>4.3632600000000012</v>
      </c>
      <c r="J542" s="170">
        <f>I542*Summary!$H$4</f>
        <v>752.66235000000017</v>
      </c>
      <c r="K542" s="52"/>
      <c r="L542" s="56">
        <v>0</v>
      </c>
      <c r="M542" s="84">
        <f t="shared" ref="M542" si="318">((F542+G542)*K542)+((F542+G542)*L542)</f>
        <v>0</v>
      </c>
      <c r="N542" s="167">
        <f t="shared" ref="N542" si="319">M542+J542</f>
        <v>752.66235000000017</v>
      </c>
      <c r="Q542" s="349"/>
      <c r="R542" s="349"/>
    </row>
    <row r="543" spans="2:18" x14ac:dyDescent="0.25">
      <c r="B543" s="227"/>
      <c r="C543" s="10"/>
      <c r="G543" s="171"/>
      <c r="H543" s="52"/>
      <c r="I543" s="82"/>
      <c r="J543" s="170"/>
      <c r="K543" s="52"/>
      <c r="L543" s="56"/>
      <c r="M543" s="84"/>
      <c r="N543" s="167"/>
      <c r="Q543" s="349"/>
      <c r="R543" s="349"/>
    </row>
    <row r="544" spans="2:18" ht="15.75" thickBot="1" x14ac:dyDescent="0.3">
      <c r="B544" s="208"/>
      <c r="C544" s="10"/>
      <c r="F544" s="209"/>
      <c r="G544" s="169"/>
      <c r="H544" s="52"/>
      <c r="I544" s="207"/>
      <c r="J544" s="138"/>
      <c r="M544" s="138"/>
      <c r="N544" s="167"/>
      <c r="Q544" s="349"/>
      <c r="R544" s="349"/>
    </row>
    <row r="545" spans="2:1012 1027:2036 2051:3060 3075:4084 4099:5108 5123:6132 6147:7156 7171:8180 8195:9204 9219:10228 10243:11252 11267:12276 12291:13300 13315:14324 14339:15348 15363:16372" x14ac:dyDescent="0.25">
      <c r="B545" s="405"/>
      <c r="C545" s="406" t="s">
        <v>568</v>
      </c>
      <c r="D545" s="407"/>
      <c r="E545" s="407"/>
      <c r="F545" s="408"/>
      <c r="G545" s="408">
        <f>SUM(G532:G543)</f>
        <v>121.11000000000001</v>
      </c>
      <c r="H545" s="408"/>
      <c r="I545" s="408">
        <f>SUM(I532:I544)</f>
        <v>7.2782600000000013</v>
      </c>
      <c r="J545" s="409">
        <f>SUM(J532:J544)</f>
        <v>1255.4998500000002</v>
      </c>
      <c r="K545" s="408"/>
      <c r="L545" s="408"/>
      <c r="M545" s="409">
        <f>SUM(M532:M544)</f>
        <v>0</v>
      </c>
      <c r="N545" s="410"/>
      <c r="Q545" s="349"/>
      <c r="R545" s="349"/>
    </row>
    <row r="546" spans="2:1012 1027:2036 2051:3060 3075:4084 4099:5108 5123:6132 6147:7156 7171:8180 8195:9204 9219:10228 10243:11252 11267:12276 12291:13300 13315:14324 14339:15348 15363:16372" x14ac:dyDescent="0.25">
      <c r="B546" s="227"/>
      <c r="C546" s="10"/>
      <c r="G546" s="171"/>
      <c r="H546" s="52"/>
      <c r="I546" s="82"/>
      <c r="J546" s="170"/>
      <c r="K546" s="56"/>
      <c r="L546" s="56"/>
      <c r="M546" s="84"/>
      <c r="N546" s="167"/>
      <c r="Q546" s="349"/>
      <c r="R546" s="349"/>
    </row>
    <row r="547" spans="2:1012 1027:2036 2051:3060 3075:4084 4099:5108 5123:6132 6147:7156 7171:8180 8195:9204 9219:10228 10243:11252 11267:12276 12291:13300 13315:14324 14339:15348 15363:16372" x14ac:dyDescent="0.25">
      <c r="B547" s="402" t="s">
        <v>1012</v>
      </c>
      <c r="C547" s="10"/>
      <c r="G547" s="171"/>
      <c r="H547" s="52"/>
      <c r="I547" s="82"/>
      <c r="J547" s="170"/>
      <c r="K547" s="56"/>
      <c r="L547" s="56"/>
      <c r="M547" s="84"/>
      <c r="N547" s="167"/>
      <c r="Q547" s="349"/>
      <c r="R547" s="349"/>
    </row>
    <row r="548" spans="2:1012 1027:2036 2051:3060 3075:4084 4099:5108 5123:6132 6147:7156 7171:8180 8195:9204 9219:10228 10243:11252 11267:12276 12291:13300 13315:14324 14339:15348 15363:16372" x14ac:dyDescent="0.25">
      <c r="B548" s="227"/>
      <c r="C548" s="10"/>
      <c r="G548" s="171"/>
      <c r="H548" s="52"/>
      <c r="I548" s="82"/>
      <c r="J548" s="170"/>
      <c r="K548" s="56"/>
      <c r="L548" s="56"/>
      <c r="M548" s="84"/>
      <c r="N548" s="167"/>
      <c r="Q548" s="349"/>
      <c r="R548" s="349"/>
    </row>
    <row r="549" spans="2:1012 1027:2036 2051:3060 3075:4084 4099:5108 5123:6132 6147:7156 7171:8180 8195:9204 9219:10228 10243:11252 11267:12276 12291:13300 13315:14324 14339:15348 15363:16372" x14ac:dyDescent="0.25">
      <c r="B549" s="210" t="s">
        <v>850</v>
      </c>
      <c r="C549" s="614" t="s">
        <v>983</v>
      </c>
      <c r="G549" s="171"/>
      <c r="H549" s="52"/>
      <c r="I549" s="82"/>
      <c r="J549" s="170"/>
      <c r="K549" s="56"/>
      <c r="L549" s="56"/>
      <c r="M549" s="84"/>
      <c r="N549" s="167"/>
      <c r="Q549" s="349"/>
      <c r="R549" s="349"/>
    </row>
    <row r="550" spans="2:1012 1027:2036 2051:3060 3075:4084 4099:5108 5123:6132 6147:7156 7171:8180 8195:9204 9219:10228 10243:11252 11267:12276 12291:13300 13315:14324 14339:15348 15363:16372" outlineLevel="1" x14ac:dyDescent="0.25">
      <c r="B550" s="227"/>
      <c r="C550" s="15" t="s">
        <v>1013</v>
      </c>
      <c r="D550" s="11" t="s">
        <v>46</v>
      </c>
      <c r="E550" s="11" t="s">
        <v>46</v>
      </c>
      <c r="F550" s="146">
        <f>5+3</f>
        <v>8</v>
      </c>
      <c r="G550" s="171"/>
      <c r="H550" s="52">
        <v>0.32</v>
      </c>
      <c r="I550" s="82">
        <f t="shared" ref="I550:I551" si="320">(F550+G550)*H550</f>
        <v>2.56</v>
      </c>
      <c r="J550" s="170">
        <f>I550*Summary!$H$4</f>
        <v>441.6</v>
      </c>
      <c r="K550" s="52"/>
      <c r="L550" s="56">
        <v>0</v>
      </c>
      <c r="M550" s="84">
        <f t="shared" ref="M550" si="321">((F550+G550)*K550)+((F550+G550)*L550)</f>
        <v>0</v>
      </c>
      <c r="N550" s="167">
        <f t="shared" ref="N550:N551" si="322">M550+J550</f>
        <v>441.6</v>
      </c>
      <c r="Q550" s="349"/>
      <c r="R550" s="349"/>
    </row>
    <row r="551" spans="2:1012 1027:2036 2051:3060 3075:4084 4099:5108 5123:6132 6147:7156 7171:8180 8195:9204 9219:10228 10243:11252 11267:12276 12291:13300 13315:14324 14339:15348 15363:16372" outlineLevel="1" x14ac:dyDescent="0.25">
      <c r="B551" s="227"/>
      <c r="C551" s="15" t="s">
        <v>1014</v>
      </c>
      <c r="D551" s="11" t="s">
        <v>46</v>
      </c>
      <c r="E551" s="11" t="s">
        <v>46</v>
      </c>
      <c r="F551" s="146">
        <f>5+1</f>
        <v>6</v>
      </c>
      <c r="G551" s="171"/>
      <c r="H551" s="52">
        <v>0.27</v>
      </c>
      <c r="I551" s="82">
        <f t="shared" si="320"/>
        <v>1.62</v>
      </c>
      <c r="J551" s="170">
        <f>I551*Summary!$H$4</f>
        <v>279.45000000000005</v>
      </c>
      <c r="K551" s="52"/>
      <c r="L551" s="56">
        <v>0</v>
      </c>
      <c r="M551" s="84">
        <f>((F551+G551)*K551)+((F551+G551)*L551)</f>
        <v>0</v>
      </c>
      <c r="N551" s="167">
        <f t="shared" si="322"/>
        <v>279.45000000000005</v>
      </c>
      <c r="Q551" s="349"/>
      <c r="R551" s="349"/>
    </row>
    <row r="552" spans="2:1012 1027:2036 2051:3060 3075:4084 4099:5108 5123:6132 6147:7156 7171:8180 8195:9204 9219:10228 10243:11252 11267:12276 12291:13300 13315:14324 14339:15348 15363:16372" ht="15.75" thickBot="1" x14ac:dyDescent="0.3">
      <c r="B552" s="208"/>
      <c r="C552" s="10"/>
      <c r="F552" s="209"/>
      <c r="G552" s="169"/>
      <c r="H552" s="52"/>
      <c r="I552" s="207"/>
      <c r="J552" s="138"/>
      <c r="M552" s="138"/>
      <c r="N552" s="167"/>
      <c r="Q552" s="349"/>
      <c r="R552" s="349"/>
    </row>
    <row r="553" spans="2:1012 1027:2036 2051:3060 3075:4084 4099:5108 5123:6132 6147:7156 7171:8180 8195:9204 9219:10228 10243:11252 11267:12276 12291:13300 13315:14324 14339:15348 15363:16372" x14ac:dyDescent="0.25">
      <c r="B553" s="405"/>
      <c r="C553" s="406" t="s">
        <v>568</v>
      </c>
      <c r="D553" s="407"/>
      <c r="E553" s="407"/>
      <c r="F553" s="408"/>
      <c r="G553" s="408">
        <f>SUM(G547:G551)</f>
        <v>0</v>
      </c>
      <c r="H553" s="408"/>
      <c r="I553" s="615">
        <f>SUM(I547:I552)</f>
        <v>4.18</v>
      </c>
      <c r="J553" s="409">
        <f>SUM(J547:J552)</f>
        <v>721.05000000000007</v>
      </c>
      <c r="K553" s="408"/>
      <c r="L553" s="408"/>
      <c r="M553" s="409">
        <f>SUM(M547:M552)</f>
        <v>0</v>
      </c>
      <c r="N553" s="410"/>
      <c r="Q553" s="349"/>
      <c r="R553" s="349"/>
    </row>
    <row r="554" spans="2:1012 1027:2036 2051:3060 3075:4084 4099:5108 5123:6132 6147:7156 7171:8180 8195:9204 9219:10228 10243:11252 11267:12276 12291:13300 13315:14324 14339:15348 15363:16372" x14ac:dyDescent="0.25">
      <c r="B554" s="227"/>
      <c r="C554" s="10"/>
      <c r="G554" s="171"/>
      <c r="H554" s="52"/>
      <c r="I554" s="82"/>
      <c r="J554" s="170"/>
      <c r="K554" s="52"/>
      <c r="L554" s="56"/>
      <c r="M554" s="84"/>
      <c r="N554" s="167"/>
      <c r="Q554" s="349"/>
      <c r="R554" s="349"/>
    </row>
    <row r="555" spans="2:1012 1027:2036 2051:3060 3075:4084 4099:5108 5123:6132 6147:7156 7171:8180 8195:9204 9219:10228 10243:11252 11267:12276 12291:13300 13315:14324 14339:15348 15363:16372" x14ac:dyDescent="0.25">
      <c r="B555" s="227"/>
      <c r="C555" s="10"/>
      <c r="G555" s="171"/>
      <c r="H555" s="52"/>
      <c r="I555" s="82"/>
      <c r="J555" s="170"/>
      <c r="K555" s="52"/>
      <c r="L555" s="56"/>
      <c r="M555" s="84"/>
      <c r="N555" s="167"/>
      <c r="Q555" s="349"/>
      <c r="R555" s="349"/>
    </row>
    <row r="556" spans="2:1012 1027:2036 2051:3060 3075:4084 4099:5108 5123:6132 6147:7156 7171:8180 8195:9204 9219:10228 10243:11252 11267:12276 12291:13300 13315:14324 14339:15348 15363:16372" x14ac:dyDescent="0.25">
      <c r="B556" s="227"/>
      <c r="C556" s="10"/>
      <c r="G556" s="171"/>
      <c r="H556" s="52"/>
      <c r="I556" s="82"/>
      <c r="J556" s="170"/>
      <c r="K556" s="52"/>
      <c r="L556" s="56"/>
      <c r="M556" s="84"/>
      <c r="N556" s="167"/>
      <c r="Q556" s="349"/>
      <c r="R556" s="349"/>
    </row>
    <row r="557" spans="2:1012 1027:2036 2051:3060 3075:4084 4099:5108 5123:6132 6147:7156 7171:8180 8195:9204 9219:10228 10243:11252 11267:12276 12291:13300 13315:14324 14339:15348 15363:16372" ht="15.75" thickBot="1" x14ac:dyDescent="0.3">
      <c r="B557" s="86"/>
      <c r="N557" s="87"/>
      <c r="Q557" s="349"/>
      <c r="R557" s="349"/>
    </row>
    <row r="558" spans="2:1012 1027:2036 2051:3060 3075:4084 4099:5108 5123:6132 6147:7156 7171:8180 8195:9204 9219:10228 10243:11252 11267:12276 12291:13300 13315:14324 14339:15348 15363:16372" s="437" customFormat="1" ht="22.5" customHeight="1" thickBot="1" x14ac:dyDescent="0.3">
      <c r="B558" s="272"/>
      <c r="C558" s="191" t="s">
        <v>476</v>
      </c>
      <c r="D558" s="191"/>
      <c r="E558" s="191"/>
      <c r="F558" s="274"/>
      <c r="G558" s="438">
        <f>G488+G443+G387+G288+G501+G530+G545</f>
        <v>1421.8600000000001</v>
      </c>
      <c r="H558" s="191"/>
      <c r="I558" s="274">
        <f>I488+I443+I387+I288+I501+I530+I545+I358+I427+I475+I515+I553</f>
        <v>199.22693000000001</v>
      </c>
      <c r="J558" s="433">
        <f>J488+J443+J387+J288+J501+J530+J545</f>
        <v>11185.060425</v>
      </c>
      <c r="K558" s="434"/>
      <c r="L558" s="191"/>
      <c r="M558" s="433">
        <f>M488+M443+M387+M288+M501+M530+M545+M553+M515+M475+M427+M358</f>
        <v>0</v>
      </c>
      <c r="N558" s="435"/>
      <c r="O558" s="436">
        <f>SUM(N246:N557)</f>
        <v>32865.895425000002</v>
      </c>
      <c r="P558" s="481" t="str">
        <f>IF(O558=(M558+J558), "GOOD", "ERROR RECHECK")</f>
        <v>ERROR RECHECK</v>
      </c>
      <c r="Q558" s="349"/>
      <c r="R558" s="349"/>
    </row>
    <row r="559" spans="2:1012 1027:2036 2051:3060 3075:4084 4099:5108 5123:6132 6147:7156 7171:8180 8195:9204 9219:10228 10243:11252 11267:12276 12291:13300 13315:14324 14339:15348 15363:16372" ht="15.75" thickBot="1" x14ac:dyDescent="0.3">
      <c r="B559" s="86"/>
      <c r="D559"/>
      <c r="E559"/>
      <c r="H559" s="55"/>
      <c r="I559" s="368"/>
      <c r="J559" s="170"/>
      <c r="M559" s="170"/>
      <c r="N559" s="87"/>
      <c r="O559" s="131"/>
      <c r="Q559" s="349"/>
      <c r="R559" s="349"/>
    </row>
    <row r="560" spans="2:1012 1027:2036 2051:3060 3075:4084 4099:5108 5123:6132 6147:7156 7171:8180 8195:9204 9219:10228 10243:11252 11267:12276 12291:13300 13315:14324 14339:15348 15363:16372" ht="27" customHeight="1" thickBot="1" x14ac:dyDescent="0.3">
      <c r="B560" s="381"/>
      <c r="C560" s="396"/>
      <c r="D560" s="396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R560"/>
      <c r="S560" s="11"/>
      <c r="T560" s="11"/>
      <c r="AI560" s="11"/>
      <c r="AJ560" s="11"/>
      <c r="AY560" s="11"/>
      <c r="AZ560" s="11"/>
      <c r="BO560" s="11"/>
      <c r="BP560" s="11"/>
      <c r="CE560" s="11"/>
      <c r="CF560" s="11"/>
      <c r="CU560" s="11"/>
      <c r="CV560" s="11"/>
      <c r="DK560" s="11"/>
      <c r="DL560" s="11"/>
      <c r="EA560" s="11"/>
      <c r="EB560" s="11"/>
      <c r="EQ560" s="11"/>
      <c r="ER560" s="11"/>
      <c r="FG560" s="11"/>
      <c r="FH560" s="11"/>
      <c r="FW560" s="11"/>
      <c r="FX560" s="11"/>
      <c r="GM560" s="11"/>
      <c r="GN560" s="11"/>
      <c r="HC560" s="11"/>
      <c r="HD560" s="11"/>
      <c r="HS560" s="11"/>
      <c r="HT560" s="11"/>
      <c r="II560" s="11"/>
      <c r="IJ560" s="11"/>
      <c r="IY560" s="11"/>
      <c r="IZ560" s="11"/>
      <c r="JO560" s="11"/>
      <c r="JP560" s="11"/>
      <c r="KE560" s="11"/>
      <c r="KF560" s="11"/>
      <c r="KU560" s="11"/>
      <c r="KV560" s="11"/>
      <c r="LK560" s="11"/>
      <c r="LL560" s="11"/>
      <c r="MA560" s="11"/>
      <c r="MB560" s="11"/>
      <c r="MQ560" s="11"/>
      <c r="MR560" s="11"/>
      <c r="NG560" s="11"/>
      <c r="NH560" s="11"/>
      <c r="NW560" s="11"/>
      <c r="NX560" s="11"/>
      <c r="OM560" s="11"/>
      <c r="ON560" s="11"/>
      <c r="PC560" s="11"/>
      <c r="PD560" s="11"/>
      <c r="PS560" s="11"/>
      <c r="PT560" s="11"/>
      <c r="QI560" s="11"/>
      <c r="QJ560" s="11"/>
      <c r="QY560" s="11"/>
      <c r="QZ560" s="11"/>
      <c r="RO560" s="11"/>
      <c r="RP560" s="11"/>
      <c r="SE560" s="11"/>
      <c r="SF560" s="11"/>
      <c r="SU560" s="11"/>
      <c r="SV560" s="11"/>
      <c r="TK560" s="11"/>
      <c r="TL560" s="11"/>
      <c r="UA560" s="11"/>
      <c r="UB560" s="11"/>
      <c r="UQ560" s="11"/>
      <c r="UR560" s="11"/>
      <c r="VG560" s="11"/>
      <c r="VH560" s="11"/>
      <c r="VW560" s="11"/>
      <c r="VX560" s="11"/>
      <c r="WM560" s="11"/>
      <c r="WN560" s="11"/>
      <c r="XC560" s="11"/>
      <c r="XD560" s="11"/>
      <c r="XS560" s="11"/>
      <c r="XT560" s="11"/>
      <c r="YI560" s="11"/>
      <c r="YJ560" s="11"/>
      <c r="YY560" s="11"/>
      <c r="YZ560" s="11"/>
      <c r="ZO560" s="11"/>
      <c r="ZP560" s="11"/>
      <c r="AAE560" s="11"/>
      <c r="AAF560" s="11"/>
      <c r="AAU560" s="11"/>
      <c r="AAV560" s="11"/>
      <c r="ABK560" s="11"/>
      <c r="ABL560" s="11"/>
      <c r="ACA560" s="11"/>
      <c r="ACB560" s="11"/>
      <c r="ACQ560" s="11"/>
      <c r="ACR560" s="11"/>
      <c r="ADG560" s="11"/>
      <c r="ADH560" s="11"/>
      <c r="ADW560" s="11"/>
      <c r="ADX560" s="11"/>
      <c r="AEM560" s="11"/>
      <c r="AEN560" s="11"/>
      <c r="AFC560" s="11"/>
      <c r="AFD560" s="11"/>
      <c r="AFS560" s="11"/>
      <c r="AFT560" s="11"/>
      <c r="AGI560" s="11"/>
      <c r="AGJ560" s="11"/>
      <c r="AGY560" s="11"/>
      <c r="AGZ560" s="11"/>
      <c r="AHO560" s="11"/>
      <c r="AHP560" s="11"/>
      <c r="AIE560" s="11"/>
      <c r="AIF560" s="11"/>
      <c r="AIU560" s="11"/>
      <c r="AIV560" s="11"/>
      <c r="AJK560" s="11"/>
      <c r="AJL560" s="11"/>
      <c r="AKA560" s="11"/>
      <c r="AKB560" s="11"/>
      <c r="AKQ560" s="11"/>
      <c r="AKR560" s="11"/>
      <c r="ALG560" s="11"/>
      <c r="ALH560" s="11"/>
      <c r="ALW560" s="11"/>
      <c r="ALX560" s="11"/>
      <c r="AMM560" s="11"/>
      <c r="AMN560" s="11"/>
      <c r="ANC560" s="11"/>
      <c r="AND560" s="11"/>
      <c r="ANS560" s="11"/>
      <c r="ANT560" s="11"/>
      <c r="AOI560" s="11"/>
      <c r="AOJ560" s="11"/>
      <c r="AOY560" s="11"/>
      <c r="AOZ560" s="11"/>
      <c r="APO560" s="11"/>
      <c r="APP560" s="11"/>
      <c r="AQE560" s="11"/>
      <c r="AQF560" s="11"/>
      <c r="AQU560" s="11"/>
      <c r="AQV560" s="11"/>
      <c r="ARK560" s="11"/>
      <c r="ARL560" s="11"/>
      <c r="ASA560" s="11"/>
      <c r="ASB560" s="11"/>
      <c r="ASQ560" s="11"/>
      <c r="ASR560" s="11"/>
      <c r="ATG560" s="11"/>
      <c r="ATH560" s="11"/>
      <c r="ATW560" s="11"/>
      <c r="ATX560" s="11"/>
      <c r="AUM560" s="11"/>
      <c r="AUN560" s="11"/>
      <c r="AVC560" s="11"/>
      <c r="AVD560" s="11"/>
      <c r="AVS560" s="11"/>
      <c r="AVT560" s="11"/>
      <c r="AWI560" s="11"/>
      <c r="AWJ560" s="11"/>
      <c r="AWY560" s="11"/>
      <c r="AWZ560" s="11"/>
      <c r="AXO560" s="11"/>
      <c r="AXP560" s="11"/>
      <c r="AYE560" s="11"/>
      <c r="AYF560" s="11"/>
      <c r="AYU560" s="11"/>
      <c r="AYV560" s="11"/>
      <c r="AZK560" s="11"/>
      <c r="AZL560" s="11"/>
      <c r="BAA560" s="11"/>
      <c r="BAB560" s="11"/>
      <c r="BAQ560" s="11"/>
      <c r="BAR560" s="11"/>
      <c r="BBG560" s="11"/>
      <c r="BBH560" s="11"/>
      <c r="BBW560" s="11"/>
      <c r="BBX560" s="11"/>
      <c r="BCM560" s="11"/>
      <c r="BCN560" s="11"/>
      <c r="BDC560" s="11"/>
      <c r="BDD560" s="11"/>
      <c r="BDS560" s="11"/>
      <c r="BDT560" s="11"/>
      <c r="BEI560" s="11"/>
      <c r="BEJ560" s="11"/>
      <c r="BEY560" s="11"/>
      <c r="BEZ560" s="11"/>
      <c r="BFO560" s="11"/>
      <c r="BFP560" s="11"/>
      <c r="BGE560" s="11"/>
      <c r="BGF560" s="11"/>
      <c r="BGU560" s="11"/>
      <c r="BGV560" s="11"/>
      <c r="BHK560" s="11"/>
      <c r="BHL560" s="11"/>
      <c r="BIA560" s="11"/>
      <c r="BIB560" s="11"/>
      <c r="BIQ560" s="11"/>
      <c r="BIR560" s="11"/>
      <c r="BJG560" s="11"/>
      <c r="BJH560" s="11"/>
      <c r="BJW560" s="11"/>
      <c r="BJX560" s="11"/>
      <c r="BKM560" s="11"/>
      <c r="BKN560" s="11"/>
      <c r="BLC560" s="11"/>
      <c r="BLD560" s="11"/>
      <c r="BLS560" s="11"/>
      <c r="BLT560" s="11"/>
      <c r="BMI560" s="11"/>
      <c r="BMJ560" s="11"/>
      <c r="BMY560" s="11"/>
      <c r="BMZ560" s="11"/>
      <c r="BNO560" s="11"/>
      <c r="BNP560" s="11"/>
      <c r="BOE560" s="11"/>
      <c r="BOF560" s="11"/>
      <c r="BOU560" s="11"/>
      <c r="BOV560" s="11"/>
      <c r="BPK560" s="11"/>
      <c r="BPL560" s="11"/>
      <c r="BQA560" s="11"/>
      <c r="BQB560" s="11"/>
      <c r="BQQ560" s="11"/>
      <c r="BQR560" s="11"/>
      <c r="BRG560" s="11"/>
      <c r="BRH560" s="11"/>
      <c r="BRW560" s="11"/>
      <c r="BRX560" s="11"/>
      <c r="BSM560" s="11"/>
      <c r="BSN560" s="11"/>
      <c r="BTC560" s="11"/>
      <c r="BTD560" s="11"/>
      <c r="BTS560" s="11"/>
      <c r="BTT560" s="11"/>
      <c r="BUI560" s="11"/>
      <c r="BUJ560" s="11"/>
      <c r="BUY560" s="11"/>
      <c r="BUZ560" s="11"/>
      <c r="BVO560" s="11"/>
      <c r="BVP560" s="11"/>
      <c r="BWE560" s="11"/>
      <c r="BWF560" s="11"/>
      <c r="BWU560" s="11"/>
      <c r="BWV560" s="11"/>
      <c r="BXK560" s="11"/>
      <c r="BXL560" s="11"/>
      <c r="BYA560" s="11"/>
      <c r="BYB560" s="11"/>
      <c r="BYQ560" s="11"/>
      <c r="BYR560" s="11"/>
      <c r="BZG560" s="11"/>
      <c r="BZH560" s="11"/>
      <c r="BZW560" s="11"/>
      <c r="BZX560" s="11"/>
      <c r="CAM560" s="11"/>
      <c r="CAN560" s="11"/>
      <c r="CBC560" s="11"/>
      <c r="CBD560" s="11"/>
      <c r="CBS560" s="11"/>
      <c r="CBT560" s="11"/>
      <c r="CCI560" s="11"/>
      <c r="CCJ560" s="11"/>
      <c r="CCY560" s="11"/>
      <c r="CCZ560" s="11"/>
      <c r="CDO560" s="11"/>
      <c r="CDP560" s="11"/>
      <c r="CEE560" s="11"/>
      <c r="CEF560" s="11"/>
      <c r="CEU560" s="11"/>
      <c r="CEV560" s="11"/>
      <c r="CFK560" s="11"/>
      <c r="CFL560" s="11"/>
      <c r="CGA560" s="11"/>
      <c r="CGB560" s="11"/>
      <c r="CGQ560" s="11"/>
      <c r="CGR560" s="11"/>
      <c r="CHG560" s="11"/>
      <c r="CHH560" s="11"/>
      <c r="CHW560" s="11"/>
      <c r="CHX560" s="11"/>
      <c r="CIM560" s="11"/>
      <c r="CIN560" s="11"/>
      <c r="CJC560" s="11"/>
      <c r="CJD560" s="11"/>
      <c r="CJS560" s="11"/>
      <c r="CJT560" s="11"/>
      <c r="CKI560" s="11"/>
      <c r="CKJ560" s="11"/>
      <c r="CKY560" s="11"/>
      <c r="CKZ560" s="11"/>
      <c r="CLO560" s="11"/>
      <c r="CLP560" s="11"/>
      <c r="CME560" s="11"/>
      <c r="CMF560" s="11"/>
      <c r="CMU560" s="11"/>
      <c r="CMV560" s="11"/>
      <c r="CNK560" s="11"/>
      <c r="CNL560" s="11"/>
      <c r="COA560" s="11"/>
      <c r="COB560" s="11"/>
      <c r="COQ560" s="11"/>
      <c r="COR560" s="11"/>
      <c r="CPG560" s="11"/>
      <c r="CPH560" s="11"/>
      <c r="CPW560" s="11"/>
      <c r="CPX560" s="11"/>
      <c r="CQM560" s="11"/>
      <c r="CQN560" s="11"/>
      <c r="CRC560" s="11"/>
      <c r="CRD560" s="11"/>
      <c r="CRS560" s="11"/>
      <c r="CRT560" s="11"/>
      <c r="CSI560" s="11"/>
      <c r="CSJ560" s="11"/>
      <c r="CSY560" s="11"/>
      <c r="CSZ560" s="11"/>
      <c r="CTO560" s="11"/>
      <c r="CTP560" s="11"/>
      <c r="CUE560" s="11"/>
      <c r="CUF560" s="11"/>
      <c r="CUU560" s="11"/>
      <c r="CUV560" s="11"/>
      <c r="CVK560" s="11"/>
      <c r="CVL560" s="11"/>
      <c r="CWA560" s="11"/>
      <c r="CWB560" s="11"/>
      <c r="CWQ560" s="11"/>
      <c r="CWR560" s="11"/>
      <c r="CXG560" s="11"/>
      <c r="CXH560" s="11"/>
      <c r="CXW560" s="11"/>
      <c r="CXX560" s="11"/>
      <c r="CYM560" s="11"/>
      <c r="CYN560" s="11"/>
      <c r="CZC560" s="11"/>
      <c r="CZD560" s="11"/>
      <c r="CZS560" s="11"/>
      <c r="CZT560" s="11"/>
      <c r="DAI560" s="11"/>
      <c r="DAJ560" s="11"/>
      <c r="DAY560" s="11"/>
      <c r="DAZ560" s="11"/>
      <c r="DBO560" s="11"/>
      <c r="DBP560" s="11"/>
      <c r="DCE560" s="11"/>
      <c r="DCF560" s="11"/>
      <c r="DCU560" s="11"/>
      <c r="DCV560" s="11"/>
      <c r="DDK560" s="11"/>
      <c r="DDL560" s="11"/>
      <c r="DEA560" s="11"/>
      <c r="DEB560" s="11"/>
      <c r="DEQ560" s="11"/>
      <c r="DER560" s="11"/>
      <c r="DFG560" s="11"/>
      <c r="DFH560" s="11"/>
      <c r="DFW560" s="11"/>
      <c r="DFX560" s="11"/>
      <c r="DGM560" s="11"/>
      <c r="DGN560" s="11"/>
      <c r="DHC560" s="11"/>
      <c r="DHD560" s="11"/>
      <c r="DHS560" s="11"/>
      <c r="DHT560" s="11"/>
      <c r="DII560" s="11"/>
      <c r="DIJ560" s="11"/>
      <c r="DIY560" s="11"/>
      <c r="DIZ560" s="11"/>
      <c r="DJO560" s="11"/>
      <c r="DJP560" s="11"/>
      <c r="DKE560" s="11"/>
      <c r="DKF560" s="11"/>
      <c r="DKU560" s="11"/>
      <c r="DKV560" s="11"/>
      <c r="DLK560" s="11"/>
      <c r="DLL560" s="11"/>
      <c r="DMA560" s="11"/>
      <c r="DMB560" s="11"/>
      <c r="DMQ560" s="11"/>
      <c r="DMR560" s="11"/>
      <c r="DNG560" s="11"/>
      <c r="DNH560" s="11"/>
      <c r="DNW560" s="11"/>
      <c r="DNX560" s="11"/>
      <c r="DOM560" s="11"/>
      <c r="DON560" s="11"/>
      <c r="DPC560" s="11"/>
      <c r="DPD560" s="11"/>
      <c r="DPS560" s="11"/>
      <c r="DPT560" s="11"/>
      <c r="DQI560" s="11"/>
      <c r="DQJ560" s="11"/>
      <c r="DQY560" s="11"/>
      <c r="DQZ560" s="11"/>
      <c r="DRO560" s="11"/>
      <c r="DRP560" s="11"/>
      <c r="DSE560" s="11"/>
      <c r="DSF560" s="11"/>
      <c r="DSU560" s="11"/>
      <c r="DSV560" s="11"/>
      <c r="DTK560" s="11"/>
      <c r="DTL560" s="11"/>
      <c r="DUA560" s="11"/>
      <c r="DUB560" s="11"/>
      <c r="DUQ560" s="11"/>
      <c r="DUR560" s="11"/>
      <c r="DVG560" s="11"/>
      <c r="DVH560" s="11"/>
      <c r="DVW560" s="11"/>
      <c r="DVX560" s="11"/>
      <c r="DWM560" s="11"/>
      <c r="DWN560" s="11"/>
      <c r="DXC560" s="11"/>
      <c r="DXD560" s="11"/>
      <c r="DXS560" s="11"/>
      <c r="DXT560" s="11"/>
      <c r="DYI560" s="11"/>
      <c r="DYJ560" s="11"/>
      <c r="DYY560" s="11"/>
      <c r="DYZ560" s="11"/>
      <c r="DZO560" s="11"/>
      <c r="DZP560" s="11"/>
      <c r="EAE560" s="11"/>
      <c r="EAF560" s="11"/>
      <c r="EAU560" s="11"/>
      <c r="EAV560" s="11"/>
      <c r="EBK560" s="11"/>
      <c r="EBL560" s="11"/>
      <c r="ECA560" s="11"/>
      <c r="ECB560" s="11"/>
      <c r="ECQ560" s="11"/>
      <c r="ECR560" s="11"/>
      <c r="EDG560" s="11"/>
      <c r="EDH560" s="11"/>
      <c r="EDW560" s="11"/>
      <c r="EDX560" s="11"/>
      <c r="EEM560" s="11"/>
      <c r="EEN560" s="11"/>
      <c r="EFC560" s="11"/>
      <c r="EFD560" s="11"/>
      <c r="EFS560" s="11"/>
      <c r="EFT560" s="11"/>
      <c r="EGI560" s="11"/>
      <c r="EGJ560" s="11"/>
      <c r="EGY560" s="11"/>
      <c r="EGZ560" s="11"/>
      <c r="EHO560" s="11"/>
      <c r="EHP560" s="11"/>
      <c r="EIE560" s="11"/>
      <c r="EIF560" s="11"/>
      <c r="EIU560" s="11"/>
      <c r="EIV560" s="11"/>
      <c r="EJK560" s="11"/>
      <c r="EJL560" s="11"/>
      <c r="EKA560" s="11"/>
      <c r="EKB560" s="11"/>
      <c r="EKQ560" s="11"/>
      <c r="EKR560" s="11"/>
      <c r="ELG560" s="11"/>
      <c r="ELH560" s="11"/>
      <c r="ELW560" s="11"/>
      <c r="ELX560" s="11"/>
      <c r="EMM560" s="11"/>
      <c r="EMN560" s="11"/>
      <c r="ENC560" s="11"/>
      <c r="END560" s="11"/>
      <c r="ENS560" s="11"/>
      <c r="ENT560" s="11"/>
      <c r="EOI560" s="11"/>
      <c r="EOJ560" s="11"/>
      <c r="EOY560" s="11"/>
      <c r="EOZ560" s="11"/>
      <c r="EPO560" s="11"/>
      <c r="EPP560" s="11"/>
      <c r="EQE560" s="11"/>
      <c r="EQF560" s="11"/>
      <c r="EQU560" s="11"/>
      <c r="EQV560" s="11"/>
      <c r="ERK560" s="11"/>
      <c r="ERL560" s="11"/>
      <c r="ESA560" s="11"/>
      <c r="ESB560" s="11"/>
      <c r="ESQ560" s="11"/>
      <c r="ESR560" s="11"/>
      <c r="ETG560" s="11"/>
      <c r="ETH560" s="11"/>
      <c r="ETW560" s="11"/>
      <c r="ETX560" s="11"/>
      <c r="EUM560" s="11"/>
      <c r="EUN560" s="11"/>
      <c r="EVC560" s="11"/>
      <c r="EVD560" s="11"/>
      <c r="EVS560" s="11"/>
      <c r="EVT560" s="11"/>
      <c r="EWI560" s="11"/>
      <c r="EWJ560" s="11"/>
      <c r="EWY560" s="11"/>
      <c r="EWZ560" s="11"/>
      <c r="EXO560" s="11"/>
      <c r="EXP560" s="11"/>
      <c r="EYE560" s="11"/>
      <c r="EYF560" s="11"/>
      <c r="EYU560" s="11"/>
      <c r="EYV560" s="11"/>
      <c r="EZK560" s="11"/>
      <c r="EZL560" s="11"/>
      <c r="FAA560" s="11"/>
      <c r="FAB560" s="11"/>
      <c r="FAQ560" s="11"/>
      <c r="FAR560" s="11"/>
      <c r="FBG560" s="11"/>
      <c r="FBH560" s="11"/>
      <c r="FBW560" s="11"/>
      <c r="FBX560" s="11"/>
      <c r="FCM560" s="11"/>
      <c r="FCN560" s="11"/>
      <c r="FDC560" s="11"/>
      <c r="FDD560" s="11"/>
      <c r="FDS560" s="11"/>
      <c r="FDT560" s="11"/>
      <c r="FEI560" s="11"/>
      <c r="FEJ560" s="11"/>
      <c r="FEY560" s="11"/>
      <c r="FEZ560" s="11"/>
      <c r="FFO560" s="11"/>
      <c r="FFP560" s="11"/>
      <c r="FGE560" s="11"/>
      <c r="FGF560" s="11"/>
      <c r="FGU560" s="11"/>
      <c r="FGV560" s="11"/>
      <c r="FHK560" s="11"/>
      <c r="FHL560" s="11"/>
      <c r="FIA560" s="11"/>
      <c r="FIB560" s="11"/>
      <c r="FIQ560" s="11"/>
      <c r="FIR560" s="11"/>
      <c r="FJG560" s="11"/>
      <c r="FJH560" s="11"/>
      <c r="FJW560" s="11"/>
      <c r="FJX560" s="11"/>
      <c r="FKM560" s="11"/>
      <c r="FKN560" s="11"/>
      <c r="FLC560" s="11"/>
      <c r="FLD560" s="11"/>
      <c r="FLS560" s="11"/>
      <c r="FLT560" s="11"/>
      <c r="FMI560" s="11"/>
      <c r="FMJ560" s="11"/>
      <c r="FMY560" s="11"/>
      <c r="FMZ560" s="11"/>
      <c r="FNO560" s="11"/>
      <c r="FNP560" s="11"/>
      <c r="FOE560" s="11"/>
      <c r="FOF560" s="11"/>
      <c r="FOU560" s="11"/>
      <c r="FOV560" s="11"/>
      <c r="FPK560" s="11"/>
      <c r="FPL560" s="11"/>
      <c r="FQA560" s="11"/>
      <c r="FQB560" s="11"/>
      <c r="FQQ560" s="11"/>
      <c r="FQR560" s="11"/>
      <c r="FRG560" s="11"/>
      <c r="FRH560" s="11"/>
      <c r="FRW560" s="11"/>
      <c r="FRX560" s="11"/>
      <c r="FSM560" s="11"/>
      <c r="FSN560" s="11"/>
      <c r="FTC560" s="11"/>
      <c r="FTD560" s="11"/>
      <c r="FTS560" s="11"/>
      <c r="FTT560" s="11"/>
      <c r="FUI560" s="11"/>
      <c r="FUJ560" s="11"/>
      <c r="FUY560" s="11"/>
      <c r="FUZ560" s="11"/>
      <c r="FVO560" s="11"/>
      <c r="FVP560" s="11"/>
      <c r="FWE560" s="11"/>
      <c r="FWF560" s="11"/>
      <c r="FWU560" s="11"/>
      <c r="FWV560" s="11"/>
      <c r="FXK560" s="11"/>
      <c r="FXL560" s="11"/>
      <c r="FYA560" s="11"/>
      <c r="FYB560" s="11"/>
      <c r="FYQ560" s="11"/>
      <c r="FYR560" s="11"/>
      <c r="FZG560" s="11"/>
      <c r="FZH560" s="11"/>
      <c r="FZW560" s="11"/>
      <c r="FZX560" s="11"/>
      <c r="GAM560" s="11"/>
      <c r="GAN560" s="11"/>
      <c r="GBC560" s="11"/>
      <c r="GBD560" s="11"/>
      <c r="GBS560" s="11"/>
      <c r="GBT560" s="11"/>
      <c r="GCI560" s="11"/>
      <c r="GCJ560" s="11"/>
      <c r="GCY560" s="11"/>
      <c r="GCZ560" s="11"/>
      <c r="GDO560" s="11"/>
      <c r="GDP560" s="11"/>
      <c r="GEE560" s="11"/>
      <c r="GEF560" s="11"/>
      <c r="GEU560" s="11"/>
      <c r="GEV560" s="11"/>
      <c r="GFK560" s="11"/>
      <c r="GFL560" s="11"/>
      <c r="GGA560" s="11"/>
      <c r="GGB560" s="11"/>
      <c r="GGQ560" s="11"/>
      <c r="GGR560" s="11"/>
      <c r="GHG560" s="11"/>
      <c r="GHH560" s="11"/>
      <c r="GHW560" s="11"/>
      <c r="GHX560" s="11"/>
      <c r="GIM560" s="11"/>
      <c r="GIN560" s="11"/>
      <c r="GJC560" s="11"/>
      <c r="GJD560" s="11"/>
      <c r="GJS560" s="11"/>
      <c r="GJT560" s="11"/>
      <c r="GKI560" s="11"/>
      <c r="GKJ560" s="11"/>
      <c r="GKY560" s="11"/>
      <c r="GKZ560" s="11"/>
      <c r="GLO560" s="11"/>
      <c r="GLP560" s="11"/>
      <c r="GME560" s="11"/>
      <c r="GMF560" s="11"/>
      <c r="GMU560" s="11"/>
      <c r="GMV560" s="11"/>
      <c r="GNK560" s="11"/>
      <c r="GNL560" s="11"/>
      <c r="GOA560" s="11"/>
      <c r="GOB560" s="11"/>
      <c r="GOQ560" s="11"/>
      <c r="GOR560" s="11"/>
      <c r="GPG560" s="11"/>
      <c r="GPH560" s="11"/>
      <c r="GPW560" s="11"/>
      <c r="GPX560" s="11"/>
      <c r="GQM560" s="11"/>
      <c r="GQN560" s="11"/>
      <c r="GRC560" s="11"/>
      <c r="GRD560" s="11"/>
      <c r="GRS560" s="11"/>
      <c r="GRT560" s="11"/>
      <c r="GSI560" s="11"/>
      <c r="GSJ560" s="11"/>
      <c r="GSY560" s="11"/>
      <c r="GSZ560" s="11"/>
      <c r="GTO560" s="11"/>
      <c r="GTP560" s="11"/>
      <c r="GUE560" s="11"/>
      <c r="GUF560" s="11"/>
      <c r="GUU560" s="11"/>
      <c r="GUV560" s="11"/>
      <c r="GVK560" s="11"/>
      <c r="GVL560" s="11"/>
      <c r="GWA560" s="11"/>
      <c r="GWB560" s="11"/>
      <c r="GWQ560" s="11"/>
      <c r="GWR560" s="11"/>
      <c r="GXG560" s="11"/>
      <c r="GXH560" s="11"/>
      <c r="GXW560" s="11"/>
      <c r="GXX560" s="11"/>
      <c r="GYM560" s="11"/>
      <c r="GYN560" s="11"/>
      <c r="GZC560" s="11"/>
      <c r="GZD560" s="11"/>
      <c r="GZS560" s="11"/>
      <c r="GZT560" s="11"/>
      <c r="HAI560" s="11"/>
      <c r="HAJ560" s="11"/>
      <c r="HAY560" s="11"/>
      <c r="HAZ560" s="11"/>
      <c r="HBO560" s="11"/>
      <c r="HBP560" s="11"/>
      <c r="HCE560" s="11"/>
      <c r="HCF560" s="11"/>
      <c r="HCU560" s="11"/>
      <c r="HCV560" s="11"/>
      <c r="HDK560" s="11"/>
      <c r="HDL560" s="11"/>
      <c r="HEA560" s="11"/>
      <c r="HEB560" s="11"/>
      <c r="HEQ560" s="11"/>
      <c r="HER560" s="11"/>
      <c r="HFG560" s="11"/>
      <c r="HFH560" s="11"/>
      <c r="HFW560" s="11"/>
      <c r="HFX560" s="11"/>
      <c r="HGM560" s="11"/>
      <c r="HGN560" s="11"/>
      <c r="HHC560" s="11"/>
      <c r="HHD560" s="11"/>
      <c r="HHS560" s="11"/>
      <c r="HHT560" s="11"/>
      <c r="HII560" s="11"/>
      <c r="HIJ560" s="11"/>
      <c r="HIY560" s="11"/>
      <c r="HIZ560" s="11"/>
      <c r="HJO560" s="11"/>
      <c r="HJP560" s="11"/>
      <c r="HKE560" s="11"/>
      <c r="HKF560" s="11"/>
      <c r="HKU560" s="11"/>
      <c r="HKV560" s="11"/>
      <c r="HLK560" s="11"/>
      <c r="HLL560" s="11"/>
      <c r="HMA560" s="11"/>
      <c r="HMB560" s="11"/>
      <c r="HMQ560" s="11"/>
      <c r="HMR560" s="11"/>
      <c r="HNG560" s="11"/>
      <c r="HNH560" s="11"/>
      <c r="HNW560" s="11"/>
      <c r="HNX560" s="11"/>
      <c r="HOM560" s="11"/>
      <c r="HON560" s="11"/>
      <c r="HPC560" s="11"/>
      <c r="HPD560" s="11"/>
      <c r="HPS560" s="11"/>
      <c r="HPT560" s="11"/>
      <c r="HQI560" s="11"/>
      <c r="HQJ560" s="11"/>
      <c r="HQY560" s="11"/>
      <c r="HQZ560" s="11"/>
      <c r="HRO560" s="11"/>
      <c r="HRP560" s="11"/>
      <c r="HSE560" s="11"/>
      <c r="HSF560" s="11"/>
      <c r="HSU560" s="11"/>
      <c r="HSV560" s="11"/>
      <c r="HTK560" s="11"/>
      <c r="HTL560" s="11"/>
      <c r="HUA560" s="11"/>
      <c r="HUB560" s="11"/>
      <c r="HUQ560" s="11"/>
      <c r="HUR560" s="11"/>
      <c r="HVG560" s="11"/>
      <c r="HVH560" s="11"/>
      <c r="HVW560" s="11"/>
      <c r="HVX560" s="11"/>
      <c r="HWM560" s="11"/>
      <c r="HWN560" s="11"/>
      <c r="HXC560" s="11"/>
      <c r="HXD560" s="11"/>
      <c r="HXS560" s="11"/>
      <c r="HXT560" s="11"/>
      <c r="HYI560" s="11"/>
      <c r="HYJ560" s="11"/>
      <c r="HYY560" s="11"/>
      <c r="HYZ560" s="11"/>
      <c r="HZO560" s="11"/>
      <c r="HZP560" s="11"/>
      <c r="IAE560" s="11"/>
      <c r="IAF560" s="11"/>
      <c r="IAU560" s="11"/>
      <c r="IAV560" s="11"/>
      <c r="IBK560" s="11"/>
      <c r="IBL560" s="11"/>
      <c r="ICA560" s="11"/>
      <c r="ICB560" s="11"/>
      <c r="ICQ560" s="11"/>
      <c r="ICR560" s="11"/>
      <c r="IDG560" s="11"/>
      <c r="IDH560" s="11"/>
      <c r="IDW560" s="11"/>
      <c r="IDX560" s="11"/>
      <c r="IEM560" s="11"/>
      <c r="IEN560" s="11"/>
      <c r="IFC560" s="11"/>
      <c r="IFD560" s="11"/>
      <c r="IFS560" s="11"/>
      <c r="IFT560" s="11"/>
      <c r="IGI560" s="11"/>
      <c r="IGJ560" s="11"/>
      <c r="IGY560" s="11"/>
      <c r="IGZ560" s="11"/>
      <c r="IHO560" s="11"/>
      <c r="IHP560" s="11"/>
      <c r="IIE560" s="11"/>
      <c r="IIF560" s="11"/>
      <c r="IIU560" s="11"/>
      <c r="IIV560" s="11"/>
      <c r="IJK560" s="11"/>
      <c r="IJL560" s="11"/>
      <c r="IKA560" s="11"/>
      <c r="IKB560" s="11"/>
      <c r="IKQ560" s="11"/>
      <c r="IKR560" s="11"/>
      <c r="ILG560" s="11"/>
      <c r="ILH560" s="11"/>
      <c r="ILW560" s="11"/>
      <c r="ILX560" s="11"/>
      <c r="IMM560" s="11"/>
      <c r="IMN560" s="11"/>
      <c r="INC560" s="11"/>
      <c r="IND560" s="11"/>
      <c r="INS560" s="11"/>
      <c r="INT560" s="11"/>
      <c r="IOI560" s="11"/>
      <c r="IOJ560" s="11"/>
      <c r="IOY560" s="11"/>
      <c r="IOZ560" s="11"/>
      <c r="IPO560" s="11"/>
      <c r="IPP560" s="11"/>
      <c r="IQE560" s="11"/>
      <c r="IQF560" s="11"/>
      <c r="IQU560" s="11"/>
      <c r="IQV560" s="11"/>
      <c r="IRK560" s="11"/>
      <c r="IRL560" s="11"/>
      <c r="ISA560" s="11"/>
      <c r="ISB560" s="11"/>
      <c r="ISQ560" s="11"/>
      <c r="ISR560" s="11"/>
      <c r="ITG560" s="11"/>
      <c r="ITH560" s="11"/>
      <c r="ITW560" s="11"/>
      <c r="ITX560" s="11"/>
      <c r="IUM560" s="11"/>
      <c r="IUN560" s="11"/>
      <c r="IVC560" s="11"/>
      <c r="IVD560" s="11"/>
      <c r="IVS560" s="11"/>
      <c r="IVT560" s="11"/>
      <c r="IWI560" s="11"/>
      <c r="IWJ560" s="11"/>
      <c r="IWY560" s="11"/>
      <c r="IWZ560" s="11"/>
      <c r="IXO560" s="11"/>
      <c r="IXP560" s="11"/>
      <c r="IYE560" s="11"/>
      <c r="IYF560" s="11"/>
      <c r="IYU560" s="11"/>
      <c r="IYV560" s="11"/>
      <c r="IZK560" s="11"/>
      <c r="IZL560" s="11"/>
      <c r="JAA560" s="11"/>
      <c r="JAB560" s="11"/>
      <c r="JAQ560" s="11"/>
      <c r="JAR560" s="11"/>
      <c r="JBG560" s="11"/>
      <c r="JBH560" s="11"/>
      <c r="JBW560" s="11"/>
      <c r="JBX560" s="11"/>
      <c r="JCM560" s="11"/>
      <c r="JCN560" s="11"/>
      <c r="JDC560" s="11"/>
      <c r="JDD560" s="11"/>
      <c r="JDS560" s="11"/>
      <c r="JDT560" s="11"/>
      <c r="JEI560" s="11"/>
      <c r="JEJ560" s="11"/>
      <c r="JEY560" s="11"/>
      <c r="JEZ560" s="11"/>
      <c r="JFO560" s="11"/>
      <c r="JFP560" s="11"/>
      <c r="JGE560" s="11"/>
      <c r="JGF560" s="11"/>
      <c r="JGU560" s="11"/>
      <c r="JGV560" s="11"/>
      <c r="JHK560" s="11"/>
      <c r="JHL560" s="11"/>
      <c r="JIA560" s="11"/>
      <c r="JIB560" s="11"/>
      <c r="JIQ560" s="11"/>
      <c r="JIR560" s="11"/>
      <c r="JJG560" s="11"/>
      <c r="JJH560" s="11"/>
      <c r="JJW560" s="11"/>
      <c r="JJX560" s="11"/>
      <c r="JKM560" s="11"/>
      <c r="JKN560" s="11"/>
      <c r="JLC560" s="11"/>
      <c r="JLD560" s="11"/>
      <c r="JLS560" s="11"/>
      <c r="JLT560" s="11"/>
      <c r="JMI560" s="11"/>
      <c r="JMJ560" s="11"/>
      <c r="JMY560" s="11"/>
      <c r="JMZ560" s="11"/>
      <c r="JNO560" s="11"/>
      <c r="JNP560" s="11"/>
      <c r="JOE560" s="11"/>
      <c r="JOF560" s="11"/>
      <c r="JOU560" s="11"/>
      <c r="JOV560" s="11"/>
      <c r="JPK560" s="11"/>
      <c r="JPL560" s="11"/>
      <c r="JQA560" s="11"/>
      <c r="JQB560" s="11"/>
      <c r="JQQ560" s="11"/>
      <c r="JQR560" s="11"/>
      <c r="JRG560" s="11"/>
      <c r="JRH560" s="11"/>
      <c r="JRW560" s="11"/>
      <c r="JRX560" s="11"/>
      <c r="JSM560" s="11"/>
      <c r="JSN560" s="11"/>
      <c r="JTC560" s="11"/>
      <c r="JTD560" s="11"/>
      <c r="JTS560" s="11"/>
      <c r="JTT560" s="11"/>
      <c r="JUI560" s="11"/>
      <c r="JUJ560" s="11"/>
      <c r="JUY560" s="11"/>
      <c r="JUZ560" s="11"/>
      <c r="JVO560" s="11"/>
      <c r="JVP560" s="11"/>
      <c r="JWE560" s="11"/>
      <c r="JWF560" s="11"/>
      <c r="JWU560" s="11"/>
      <c r="JWV560" s="11"/>
      <c r="JXK560" s="11"/>
      <c r="JXL560" s="11"/>
      <c r="JYA560" s="11"/>
      <c r="JYB560" s="11"/>
      <c r="JYQ560" s="11"/>
      <c r="JYR560" s="11"/>
      <c r="JZG560" s="11"/>
      <c r="JZH560" s="11"/>
      <c r="JZW560" s="11"/>
      <c r="JZX560" s="11"/>
      <c r="KAM560" s="11"/>
      <c r="KAN560" s="11"/>
      <c r="KBC560" s="11"/>
      <c r="KBD560" s="11"/>
      <c r="KBS560" s="11"/>
      <c r="KBT560" s="11"/>
      <c r="KCI560" s="11"/>
      <c r="KCJ560" s="11"/>
      <c r="KCY560" s="11"/>
      <c r="KCZ560" s="11"/>
      <c r="KDO560" s="11"/>
      <c r="KDP560" s="11"/>
      <c r="KEE560" s="11"/>
      <c r="KEF560" s="11"/>
      <c r="KEU560" s="11"/>
      <c r="KEV560" s="11"/>
      <c r="KFK560" s="11"/>
      <c r="KFL560" s="11"/>
      <c r="KGA560" s="11"/>
      <c r="KGB560" s="11"/>
      <c r="KGQ560" s="11"/>
      <c r="KGR560" s="11"/>
      <c r="KHG560" s="11"/>
      <c r="KHH560" s="11"/>
      <c r="KHW560" s="11"/>
      <c r="KHX560" s="11"/>
      <c r="KIM560" s="11"/>
      <c r="KIN560" s="11"/>
      <c r="KJC560" s="11"/>
      <c r="KJD560" s="11"/>
      <c r="KJS560" s="11"/>
      <c r="KJT560" s="11"/>
      <c r="KKI560" s="11"/>
      <c r="KKJ560" s="11"/>
      <c r="KKY560" s="11"/>
      <c r="KKZ560" s="11"/>
      <c r="KLO560" s="11"/>
      <c r="KLP560" s="11"/>
      <c r="KME560" s="11"/>
      <c r="KMF560" s="11"/>
      <c r="KMU560" s="11"/>
      <c r="KMV560" s="11"/>
      <c r="KNK560" s="11"/>
      <c r="KNL560" s="11"/>
      <c r="KOA560" s="11"/>
      <c r="KOB560" s="11"/>
      <c r="KOQ560" s="11"/>
      <c r="KOR560" s="11"/>
      <c r="KPG560" s="11"/>
      <c r="KPH560" s="11"/>
      <c r="KPW560" s="11"/>
      <c r="KPX560" s="11"/>
      <c r="KQM560" s="11"/>
      <c r="KQN560" s="11"/>
      <c r="KRC560" s="11"/>
      <c r="KRD560" s="11"/>
      <c r="KRS560" s="11"/>
      <c r="KRT560" s="11"/>
      <c r="KSI560" s="11"/>
      <c r="KSJ560" s="11"/>
      <c r="KSY560" s="11"/>
      <c r="KSZ560" s="11"/>
      <c r="KTO560" s="11"/>
      <c r="KTP560" s="11"/>
      <c r="KUE560" s="11"/>
      <c r="KUF560" s="11"/>
      <c r="KUU560" s="11"/>
      <c r="KUV560" s="11"/>
      <c r="KVK560" s="11"/>
      <c r="KVL560" s="11"/>
      <c r="KWA560" s="11"/>
      <c r="KWB560" s="11"/>
      <c r="KWQ560" s="11"/>
      <c r="KWR560" s="11"/>
      <c r="KXG560" s="11"/>
      <c r="KXH560" s="11"/>
      <c r="KXW560" s="11"/>
      <c r="KXX560" s="11"/>
      <c r="KYM560" s="11"/>
      <c r="KYN560" s="11"/>
      <c r="KZC560" s="11"/>
      <c r="KZD560" s="11"/>
      <c r="KZS560" s="11"/>
      <c r="KZT560" s="11"/>
      <c r="LAI560" s="11"/>
      <c r="LAJ560" s="11"/>
      <c r="LAY560" s="11"/>
      <c r="LAZ560" s="11"/>
      <c r="LBO560" s="11"/>
      <c r="LBP560" s="11"/>
      <c r="LCE560" s="11"/>
      <c r="LCF560" s="11"/>
      <c r="LCU560" s="11"/>
      <c r="LCV560" s="11"/>
      <c r="LDK560" s="11"/>
      <c r="LDL560" s="11"/>
      <c r="LEA560" s="11"/>
      <c r="LEB560" s="11"/>
      <c r="LEQ560" s="11"/>
      <c r="LER560" s="11"/>
      <c r="LFG560" s="11"/>
      <c r="LFH560" s="11"/>
      <c r="LFW560" s="11"/>
      <c r="LFX560" s="11"/>
      <c r="LGM560" s="11"/>
      <c r="LGN560" s="11"/>
      <c r="LHC560" s="11"/>
      <c r="LHD560" s="11"/>
      <c r="LHS560" s="11"/>
      <c r="LHT560" s="11"/>
      <c r="LII560" s="11"/>
      <c r="LIJ560" s="11"/>
      <c r="LIY560" s="11"/>
      <c r="LIZ560" s="11"/>
      <c r="LJO560" s="11"/>
      <c r="LJP560" s="11"/>
      <c r="LKE560" s="11"/>
      <c r="LKF560" s="11"/>
      <c r="LKU560" s="11"/>
      <c r="LKV560" s="11"/>
      <c r="LLK560" s="11"/>
      <c r="LLL560" s="11"/>
      <c r="LMA560" s="11"/>
      <c r="LMB560" s="11"/>
      <c r="LMQ560" s="11"/>
      <c r="LMR560" s="11"/>
      <c r="LNG560" s="11"/>
      <c r="LNH560" s="11"/>
      <c r="LNW560" s="11"/>
      <c r="LNX560" s="11"/>
      <c r="LOM560" s="11"/>
      <c r="LON560" s="11"/>
      <c r="LPC560" s="11"/>
      <c r="LPD560" s="11"/>
      <c r="LPS560" s="11"/>
      <c r="LPT560" s="11"/>
      <c r="LQI560" s="11"/>
      <c r="LQJ560" s="11"/>
      <c r="LQY560" s="11"/>
      <c r="LQZ560" s="11"/>
      <c r="LRO560" s="11"/>
      <c r="LRP560" s="11"/>
      <c r="LSE560" s="11"/>
      <c r="LSF560" s="11"/>
      <c r="LSU560" s="11"/>
      <c r="LSV560" s="11"/>
      <c r="LTK560" s="11"/>
      <c r="LTL560" s="11"/>
      <c r="LUA560" s="11"/>
      <c r="LUB560" s="11"/>
      <c r="LUQ560" s="11"/>
      <c r="LUR560" s="11"/>
      <c r="LVG560" s="11"/>
      <c r="LVH560" s="11"/>
      <c r="LVW560" s="11"/>
      <c r="LVX560" s="11"/>
      <c r="LWM560" s="11"/>
      <c r="LWN560" s="11"/>
      <c r="LXC560" s="11"/>
      <c r="LXD560" s="11"/>
      <c r="LXS560" s="11"/>
      <c r="LXT560" s="11"/>
      <c r="LYI560" s="11"/>
      <c r="LYJ560" s="11"/>
      <c r="LYY560" s="11"/>
      <c r="LYZ560" s="11"/>
      <c r="LZO560" s="11"/>
      <c r="LZP560" s="11"/>
      <c r="MAE560" s="11"/>
      <c r="MAF560" s="11"/>
      <c r="MAU560" s="11"/>
      <c r="MAV560" s="11"/>
      <c r="MBK560" s="11"/>
      <c r="MBL560" s="11"/>
      <c r="MCA560" s="11"/>
      <c r="MCB560" s="11"/>
      <c r="MCQ560" s="11"/>
      <c r="MCR560" s="11"/>
      <c r="MDG560" s="11"/>
      <c r="MDH560" s="11"/>
      <c r="MDW560" s="11"/>
      <c r="MDX560" s="11"/>
      <c r="MEM560" s="11"/>
      <c r="MEN560" s="11"/>
      <c r="MFC560" s="11"/>
      <c r="MFD560" s="11"/>
      <c r="MFS560" s="11"/>
      <c r="MFT560" s="11"/>
      <c r="MGI560" s="11"/>
      <c r="MGJ560" s="11"/>
      <c r="MGY560" s="11"/>
      <c r="MGZ560" s="11"/>
      <c r="MHO560" s="11"/>
      <c r="MHP560" s="11"/>
      <c r="MIE560" s="11"/>
      <c r="MIF560" s="11"/>
      <c r="MIU560" s="11"/>
      <c r="MIV560" s="11"/>
      <c r="MJK560" s="11"/>
      <c r="MJL560" s="11"/>
      <c r="MKA560" s="11"/>
      <c r="MKB560" s="11"/>
      <c r="MKQ560" s="11"/>
      <c r="MKR560" s="11"/>
      <c r="MLG560" s="11"/>
      <c r="MLH560" s="11"/>
      <c r="MLW560" s="11"/>
      <c r="MLX560" s="11"/>
      <c r="MMM560" s="11"/>
      <c r="MMN560" s="11"/>
      <c r="MNC560" s="11"/>
      <c r="MND560" s="11"/>
      <c r="MNS560" s="11"/>
      <c r="MNT560" s="11"/>
      <c r="MOI560" s="11"/>
      <c r="MOJ560" s="11"/>
      <c r="MOY560" s="11"/>
      <c r="MOZ560" s="11"/>
      <c r="MPO560" s="11"/>
      <c r="MPP560" s="11"/>
      <c r="MQE560" s="11"/>
      <c r="MQF560" s="11"/>
      <c r="MQU560" s="11"/>
      <c r="MQV560" s="11"/>
      <c r="MRK560" s="11"/>
      <c r="MRL560" s="11"/>
      <c r="MSA560" s="11"/>
      <c r="MSB560" s="11"/>
      <c r="MSQ560" s="11"/>
      <c r="MSR560" s="11"/>
      <c r="MTG560" s="11"/>
      <c r="MTH560" s="11"/>
      <c r="MTW560" s="11"/>
      <c r="MTX560" s="11"/>
      <c r="MUM560" s="11"/>
      <c r="MUN560" s="11"/>
      <c r="MVC560" s="11"/>
      <c r="MVD560" s="11"/>
      <c r="MVS560" s="11"/>
      <c r="MVT560" s="11"/>
      <c r="MWI560" s="11"/>
      <c r="MWJ560" s="11"/>
      <c r="MWY560" s="11"/>
      <c r="MWZ560" s="11"/>
      <c r="MXO560" s="11"/>
      <c r="MXP560" s="11"/>
      <c r="MYE560" s="11"/>
      <c r="MYF560" s="11"/>
      <c r="MYU560" s="11"/>
      <c r="MYV560" s="11"/>
      <c r="MZK560" s="11"/>
      <c r="MZL560" s="11"/>
      <c r="NAA560" s="11"/>
      <c r="NAB560" s="11"/>
      <c r="NAQ560" s="11"/>
      <c r="NAR560" s="11"/>
      <c r="NBG560" s="11"/>
      <c r="NBH560" s="11"/>
      <c r="NBW560" s="11"/>
      <c r="NBX560" s="11"/>
      <c r="NCM560" s="11"/>
      <c r="NCN560" s="11"/>
      <c r="NDC560" s="11"/>
      <c r="NDD560" s="11"/>
      <c r="NDS560" s="11"/>
      <c r="NDT560" s="11"/>
      <c r="NEI560" s="11"/>
      <c r="NEJ560" s="11"/>
      <c r="NEY560" s="11"/>
      <c r="NEZ560" s="11"/>
      <c r="NFO560" s="11"/>
      <c r="NFP560" s="11"/>
      <c r="NGE560" s="11"/>
      <c r="NGF560" s="11"/>
      <c r="NGU560" s="11"/>
      <c r="NGV560" s="11"/>
      <c r="NHK560" s="11"/>
      <c r="NHL560" s="11"/>
      <c r="NIA560" s="11"/>
      <c r="NIB560" s="11"/>
      <c r="NIQ560" s="11"/>
      <c r="NIR560" s="11"/>
      <c r="NJG560" s="11"/>
      <c r="NJH560" s="11"/>
      <c r="NJW560" s="11"/>
      <c r="NJX560" s="11"/>
      <c r="NKM560" s="11"/>
      <c r="NKN560" s="11"/>
      <c r="NLC560" s="11"/>
      <c r="NLD560" s="11"/>
      <c r="NLS560" s="11"/>
      <c r="NLT560" s="11"/>
      <c r="NMI560" s="11"/>
      <c r="NMJ560" s="11"/>
      <c r="NMY560" s="11"/>
      <c r="NMZ560" s="11"/>
      <c r="NNO560" s="11"/>
      <c r="NNP560" s="11"/>
      <c r="NOE560" s="11"/>
      <c r="NOF560" s="11"/>
      <c r="NOU560" s="11"/>
      <c r="NOV560" s="11"/>
      <c r="NPK560" s="11"/>
      <c r="NPL560" s="11"/>
      <c r="NQA560" s="11"/>
      <c r="NQB560" s="11"/>
      <c r="NQQ560" s="11"/>
      <c r="NQR560" s="11"/>
      <c r="NRG560" s="11"/>
      <c r="NRH560" s="11"/>
      <c r="NRW560" s="11"/>
      <c r="NRX560" s="11"/>
      <c r="NSM560" s="11"/>
      <c r="NSN560" s="11"/>
      <c r="NTC560" s="11"/>
      <c r="NTD560" s="11"/>
      <c r="NTS560" s="11"/>
      <c r="NTT560" s="11"/>
      <c r="NUI560" s="11"/>
      <c r="NUJ560" s="11"/>
      <c r="NUY560" s="11"/>
      <c r="NUZ560" s="11"/>
      <c r="NVO560" s="11"/>
      <c r="NVP560" s="11"/>
      <c r="NWE560" s="11"/>
      <c r="NWF560" s="11"/>
      <c r="NWU560" s="11"/>
      <c r="NWV560" s="11"/>
      <c r="NXK560" s="11"/>
      <c r="NXL560" s="11"/>
      <c r="NYA560" s="11"/>
      <c r="NYB560" s="11"/>
      <c r="NYQ560" s="11"/>
      <c r="NYR560" s="11"/>
      <c r="NZG560" s="11"/>
      <c r="NZH560" s="11"/>
      <c r="NZW560" s="11"/>
      <c r="NZX560" s="11"/>
      <c r="OAM560" s="11"/>
      <c r="OAN560" s="11"/>
      <c r="OBC560" s="11"/>
      <c r="OBD560" s="11"/>
      <c r="OBS560" s="11"/>
      <c r="OBT560" s="11"/>
      <c r="OCI560" s="11"/>
      <c r="OCJ560" s="11"/>
      <c r="OCY560" s="11"/>
      <c r="OCZ560" s="11"/>
      <c r="ODO560" s="11"/>
      <c r="ODP560" s="11"/>
      <c r="OEE560" s="11"/>
      <c r="OEF560" s="11"/>
      <c r="OEU560" s="11"/>
      <c r="OEV560" s="11"/>
      <c r="OFK560" s="11"/>
      <c r="OFL560" s="11"/>
      <c r="OGA560" s="11"/>
      <c r="OGB560" s="11"/>
      <c r="OGQ560" s="11"/>
      <c r="OGR560" s="11"/>
      <c r="OHG560" s="11"/>
      <c r="OHH560" s="11"/>
      <c r="OHW560" s="11"/>
      <c r="OHX560" s="11"/>
      <c r="OIM560" s="11"/>
      <c r="OIN560" s="11"/>
      <c r="OJC560" s="11"/>
      <c r="OJD560" s="11"/>
      <c r="OJS560" s="11"/>
      <c r="OJT560" s="11"/>
      <c r="OKI560" s="11"/>
      <c r="OKJ560" s="11"/>
      <c r="OKY560" s="11"/>
      <c r="OKZ560" s="11"/>
      <c r="OLO560" s="11"/>
      <c r="OLP560" s="11"/>
      <c r="OME560" s="11"/>
      <c r="OMF560" s="11"/>
      <c r="OMU560" s="11"/>
      <c r="OMV560" s="11"/>
      <c r="ONK560" s="11"/>
      <c r="ONL560" s="11"/>
      <c r="OOA560" s="11"/>
      <c r="OOB560" s="11"/>
      <c r="OOQ560" s="11"/>
      <c r="OOR560" s="11"/>
      <c r="OPG560" s="11"/>
      <c r="OPH560" s="11"/>
      <c r="OPW560" s="11"/>
      <c r="OPX560" s="11"/>
      <c r="OQM560" s="11"/>
      <c r="OQN560" s="11"/>
      <c r="ORC560" s="11"/>
      <c r="ORD560" s="11"/>
      <c r="ORS560" s="11"/>
      <c r="ORT560" s="11"/>
      <c r="OSI560" s="11"/>
      <c r="OSJ560" s="11"/>
      <c r="OSY560" s="11"/>
      <c r="OSZ560" s="11"/>
      <c r="OTO560" s="11"/>
      <c r="OTP560" s="11"/>
      <c r="OUE560" s="11"/>
      <c r="OUF560" s="11"/>
      <c r="OUU560" s="11"/>
      <c r="OUV560" s="11"/>
      <c r="OVK560" s="11"/>
      <c r="OVL560" s="11"/>
      <c r="OWA560" s="11"/>
      <c r="OWB560" s="11"/>
      <c r="OWQ560" s="11"/>
      <c r="OWR560" s="11"/>
      <c r="OXG560" s="11"/>
      <c r="OXH560" s="11"/>
      <c r="OXW560" s="11"/>
      <c r="OXX560" s="11"/>
      <c r="OYM560" s="11"/>
      <c r="OYN560" s="11"/>
      <c r="OZC560" s="11"/>
      <c r="OZD560" s="11"/>
      <c r="OZS560" s="11"/>
      <c r="OZT560" s="11"/>
      <c r="PAI560" s="11"/>
      <c r="PAJ560" s="11"/>
      <c r="PAY560" s="11"/>
      <c r="PAZ560" s="11"/>
      <c r="PBO560" s="11"/>
      <c r="PBP560" s="11"/>
      <c r="PCE560" s="11"/>
      <c r="PCF560" s="11"/>
      <c r="PCU560" s="11"/>
      <c r="PCV560" s="11"/>
      <c r="PDK560" s="11"/>
      <c r="PDL560" s="11"/>
      <c r="PEA560" s="11"/>
      <c r="PEB560" s="11"/>
      <c r="PEQ560" s="11"/>
      <c r="PER560" s="11"/>
      <c r="PFG560" s="11"/>
      <c r="PFH560" s="11"/>
      <c r="PFW560" s="11"/>
      <c r="PFX560" s="11"/>
      <c r="PGM560" s="11"/>
      <c r="PGN560" s="11"/>
      <c r="PHC560" s="11"/>
      <c r="PHD560" s="11"/>
      <c r="PHS560" s="11"/>
      <c r="PHT560" s="11"/>
      <c r="PII560" s="11"/>
      <c r="PIJ560" s="11"/>
      <c r="PIY560" s="11"/>
      <c r="PIZ560" s="11"/>
      <c r="PJO560" s="11"/>
      <c r="PJP560" s="11"/>
      <c r="PKE560" s="11"/>
      <c r="PKF560" s="11"/>
      <c r="PKU560" s="11"/>
      <c r="PKV560" s="11"/>
      <c r="PLK560" s="11"/>
      <c r="PLL560" s="11"/>
      <c r="PMA560" s="11"/>
      <c r="PMB560" s="11"/>
      <c r="PMQ560" s="11"/>
      <c r="PMR560" s="11"/>
      <c r="PNG560" s="11"/>
      <c r="PNH560" s="11"/>
      <c r="PNW560" s="11"/>
      <c r="PNX560" s="11"/>
      <c r="POM560" s="11"/>
      <c r="PON560" s="11"/>
      <c r="PPC560" s="11"/>
      <c r="PPD560" s="11"/>
      <c r="PPS560" s="11"/>
      <c r="PPT560" s="11"/>
      <c r="PQI560" s="11"/>
      <c r="PQJ560" s="11"/>
      <c r="PQY560" s="11"/>
      <c r="PQZ560" s="11"/>
      <c r="PRO560" s="11"/>
      <c r="PRP560" s="11"/>
      <c r="PSE560" s="11"/>
      <c r="PSF560" s="11"/>
      <c r="PSU560" s="11"/>
      <c r="PSV560" s="11"/>
      <c r="PTK560" s="11"/>
      <c r="PTL560" s="11"/>
      <c r="PUA560" s="11"/>
      <c r="PUB560" s="11"/>
      <c r="PUQ560" s="11"/>
      <c r="PUR560" s="11"/>
      <c r="PVG560" s="11"/>
      <c r="PVH560" s="11"/>
      <c r="PVW560" s="11"/>
      <c r="PVX560" s="11"/>
      <c r="PWM560" s="11"/>
      <c r="PWN560" s="11"/>
      <c r="PXC560" s="11"/>
      <c r="PXD560" s="11"/>
      <c r="PXS560" s="11"/>
      <c r="PXT560" s="11"/>
      <c r="PYI560" s="11"/>
      <c r="PYJ560" s="11"/>
      <c r="PYY560" s="11"/>
      <c r="PYZ560" s="11"/>
      <c r="PZO560" s="11"/>
      <c r="PZP560" s="11"/>
      <c r="QAE560" s="11"/>
      <c r="QAF560" s="11"/>
      <c r="QAU560" s="11"/>
      <c r="QAV560" s="11"/>
      <c r="QBK560" s="11"/>
      <c r="QBL560" s="11"/>
      <c r="QCA560" s="11"/>
      <c r="QCB560" s="11"/>
      <c r="QCQ560" s="11"/>
      <c r="QCR560" s="11"/>
      <c r="QDG560" s="11"/>
      <c r="QDH560" s="11"/>
      <c r="QDW560" s="11"/>
      <c r="QDX560" s="11"/>
      <c r="QEM560" s="11"/>
      <c r="QEN560" s="11"/>
      <c r="QFC560" s="11"/>
      <c r="QFD560" s="11"/>
      <c r="QFS560" s="11"/>
      <c r="QFT560" s="11"/>
      <c r="QGI560" s="11"/>
      <c r="QGJ560" s="11"/>
      <c r="QGY560" s="11"/>
      <c r="QGZ560" s="11"/>
      <c r="QHO560" s="11"/>
      <c r="QHP560" s="11"/>
      <c r="QIE560" s="11"/>
      <c r="QIF560" s="11"/>
      <c r="QIU560" s="11"/>
      <c r="QIV560" s="11"/>
      <c r="QJK560" s="11"/>
      <c r="QJL560" s="11"/>
      <c r="QKA560" s="11"/>
      <c r="QKB560" s="11"/>
      <c r="QKQ560" s="11"/>
      <c r="QKR560" s="11"/>
      <c r="QLG560" s="11"/>
      <c r="QLH560" s="11"/>
      <c r="QLW560" s="11"/>
      <c r="QLX560" s="11"/>
      <c r="QMM560" s="11"/>
      <c r="QMN560" s="11"/>
      <c r="QNC560" s="11"/>
      <c r="QND560" s="11"/>
      <c r="QNS560" s="11"/>
      <c r="QNT560" s="11"/>
      <c r="QOI560" s="11"/>
      <c r="QOJ560" s="11"/>
      <c r="QOY560" s="11"/>
      <c r="QOZ560" s="11"/>
      <c r="QPO560" s="11"/>
      <c r="QPP560" s="11"/>
      <c r="QQE560" s="11"/>
      <c r="QQF560" s="11"/>
      <c r="QQU560" s="11"/>
      <c r="QQV560" s="11"/>
      <c r="QRK560" s="11"/>
      <c r="QRL560" s="11"/>
      <c r="QSA560" s="11"/>
      <c r="QSB560" s="11"/>
      <c r="QSQ560" s="11"/>
      <c r="QSR560" s="11"/>
      <c r="QTG560" s="11"/>
      <c r="QTH560" s="11"/>
      <c r="QTW560" s="11"/>
      <c r="QTX560" s="11"/>
      <c r="QUM560" s="11"/>
      <c r="QUN560" s="11"/>
      <c r="QVC560" s="11"/>
      <c r="QVD560" s="11"/>
      <c r="QVS560" s="11"/>
      <c r="QVT560" s="11"/>
      <c r="QWI560" s="11"/>
      <c r="QWJ560" s="11"/>
      <c r="QWY560" s="11"/>
      <c r="QWZ560" s="11"/>
      <c r="QXO560" s="11"/>
      <c r="QXP560" s="11"/>
      <c r="QYE560" s="11"/>
      <c r="QYF560" s="11"/>
      <c r="QYU560" s="11"/>
      <c r="QYV560" s="11"/>
      <c r="QZK560" s="11"/>
      <c r="QZL560" s="11"/>
      <c r="RAA560" s="11"/>
      <c r="RAB560" s="11"/>
      <c r="RAQ560" s="11"/>
      <c r="RAR560" s="11"/>
      <c r="RBG560" s="11"/>
      <c r="RBH560" s="11"/>
      <c r="RBW560" s="11"/>
      <c r="RBX560" s="11"/>
      <c r="RCM560" s="11"/>
      <c r="RCN560" s="11"/>
      <c r="RDC560" s="11"/>
      <c r="RDD560" s="11"/>
      <c r="RDS560" s="11"/>
      <c r="RDT560" s="11"/>
      <c r="REI560" s="11"/>
      <c r="REJ560" s="11"/>
      <c r="REY560" s="11"/>
      <c r="REZ560" s="11"/>
      <c r="RFO560" s="11"/>
      <c r="RFP560" s="11"/>
      <c r="RGE560" s="11"/>
      <c r="RGF560" s="11"/>
      <c r="RGU560" s="11"/>
      <c r="RGV560" s="11"/>
      <c r="RHK560" s="11"/>
      <c r="RHL560" s="11"/>
      <c r="RIA560" s="11"/>
      <c r="RIB560" s="11"/>
      <c r="RIQ560" s="11"/>
      <c r="RIR560" s="11"/>
      <c r="RJG560" s="11"/>
      <c r="RJH560" s="11"/>
      <c r="RJW560" s="11"/>
      <c r="RJX560" s="11"/>
      <c r="RKM560" s="11"/>
      <c r="RKN560" s="11"/>
      <c r="RLC560" s="11"/>
      <c r="RLD560" s="11"/>
      <c r="RLS560" s="11"/>
      <c r="RLT560" s="11"/>
      <c r="RMI560" s="11"/>
      <c r="RMJ560" s="11"/>
      <c r="RMY560" s="11"/>
      <c r="RMZ560" s="11"/>
      <c r="RNO560" s="11"/>
      <c r="RNP560" s="11"/>
      <c r="ROE560" s="11"/>
      <c r="ROF560" s="11"/>
      <c r="ROU560" s="11"/>
      <c r="ROV560" s="11"/>
      <c r="RPK560" s="11"/>
      <c r="RPL560" s="11"/>
      <c r="RQA560" s="11"/>
      <c r="RQB560" s="11"/>
      <c r="RQQ560" s="11"/>
      <c r="RQR560" s="11"/>
      <c r="RRG560" s="11"/>
      <c r="RRH560" s="11"/>
      <c r="RRW560" s="11"/>
      <c r="RRX560" s="11"/>
      <c r="RSM560" s="11"/>
      <c r="RSN560" s="11"/>
      <c r="RTC560" s="11"/>
      <c r="RTD560" s="11"/>
      <c r="RTS560" s="11"/>
      <c r="RTT560" s="11"/>
      <c r="RUI560" s="11"/>
      <c r="RUJ560" s="11"/>
      <c r="RUY560" s="11"/>
      <c r="RUZ560" s="11"/>
      <c r="RVO560" s="11"/>
      <c r="RVP560" s="11"/>
      <c r="RWE560" s="11"/>
      <c r="RWF560" s="11"/>
      <c r="RWU560" s="11"/>
      <c r="RWV560" s="11"/>
      <c r="RXK560" s="11"/>
      <c r="RXL560" s="11"/>
      <c r="RYA560" s="11"/>
      <c r="RYB560" s="11"/>
      <c r="RYQ560" s="11"/>
      <c r="RYR560" s="11"/>
      <c r="RZG560" s="11"/>
      <c r="RZH560" s="11"/>
      <c r="RZW560" s="11"/>
      <c r="RZX560" s="11"/>
      <c r="SAM560" s="11"/>
      <c r="SAN560" s="11"/>
      <c r="SBC560" s="11"/>
      <c r="SBD560" s="11"/>
      <c r="SBS560" s="11"/>
      <c r="SBT560" s="11"/>
      <c r="SCI560" s="11"/>
      <c r="SCJ560" s="11"/>
      <c r="SCY560" s="11"/>
      <c r="SCZ560" s="11"/>
      <c r="SDO560" s="11"/>
      <c r="SDP560" s="11"/>
      <c r="SEE560" s="11"/>
      <c r="SEF560" s="11"/>
      <c r="SEU560" s="11"/>
      <c r="SEV560" s="11"/>
      <c r="SFK560" s="11"/>
      <c r="SFL560" s="11"/>
      <c r="SGA560" s="11"/>
      <c r="SGB560" s="11"/>
      <c r="SGQ560" s="11"/>
      <c r="SGR560" s="11"/>
      <c r="SHG560" s="11"/>
      <c r="SHH560" s="11"/>
      <c r="SHW560" s="11"/>
      <c r="SHX560" s="11"/>
      <c r="SIM560" s="11"/>
      <c r="SIN560" s="11"/>
      <c r="SJC560" s="11"/>
      <c r="SJD560" s="11"/>
      <c r="SJS560" s="11"/>
      <c r="SJT560" s="11"/>
      <c r="SKI560" s="11"/>
      <c r="SKJ560" s="11"/>
      <c r="SKY560" s="11"/>
      <c r="SKZ560" s="11"/>
      <c r="SLO560" s="11"/>
      <c r="SLP560" s="11"/>
      <c r="SME560" s="11"/>
      <c r="SMF560" s="11"/>
      <c r="SMU560" s="11"/>
      <c r="SMV560" s="11"/>
      <c r="SNK560" s="11"/>
      <c r="SNL560" s="11"/>
      <c r="SOA560" s="11"/>
      <c r="SOB560" s="11"/>
      <c r="SOQ560" s="11"/>
      <c r="SOR560" s="11"/>
      <c r="SPG560" s="11"/>
      <c r="SPH560" s="11"/>
      <c r="SPW560" s="11"/>
      <c r="SPX560" s="11"/>
      <c r="SQM560" s="11"/>
      <c r="SQN560" s="11"/>
      <c r="SRC560" s="11"/>
      <c r="SRD560" s="11"/>
      <c r="SRS560" s="11"/>
      <c r="SRT560" s="11"/>
      <c r="SSI560" s="11"/>
      <c r="SSJ560" s="11"/>
      <c r="SSY560" s="11"/>
      <c r="SSZ560" s="11"/>
      <c r="STO560" s="11"/>
      <c r="STP560" s="11"/>
      <c r="SUE560" s="11"/>
      <c r="SUF560" s="11"/>
      <c r="SUU560" s="11"/>
      <c r="SUV560" s="11"/>
      <c r="SVK560" s="11"/>
      <c r="SVL560" s="11"/>
      <c r="SWA560" s="11"/>
      <c r="SWB560" s="11"/>
      <c r="SWQ560" s="11"/>
      <c r="SWR560" s="11"/>
      <c r="SXG560" s="11"/>
      <c r="SXH560" s="11"/>
      <c r="SXW560" s="11"/>
      <c r="SXX560" s="11"/>
      <c r="SYM560" s="11"/>
      <c r="SYN560" s="11"/>
      <c r="SZC560" s="11"/>
      <c r="SZD560" s="11"/>
      <c r="SZS560" s="11"/>
      <c r="SZT560" s="11"/>
      <c r="TAI560" s="11"/>
      <c r="TAJ560" s="11"/>
      <c r="TAY560" s="11"/>
      <c r="TAZ560" s="11"/>
      <c r="TBO560" s="11"/>
      <c r="TBP560" s="11"/>
      <c r="TCE560" s="11"/>
      <c r="TCF560" s="11"/>
      <c r="TCU560" s="11"/>
      <c r="TCV560" s="11"/>
      <c r="TDK560" s="11"/>
      <c r="TDL560" s="11"/>
      <c r="TEA560" s="11"/>
      <c r="TEB560" s="11"/>
      <c r="TEQ560" s="11"/>
      <c r="TER560" s="11"/>
      <c r="TFG560" s="11"/>
      <c r="TFH560" s="11"/>
      <c r="TFW560" s="11"/>
      <c r="TFX560" s="11"/>
      <c r="TGM560" s="11"/>
      <c r="TGN560" s="11"/>
      <c r="THC560" s="11"/>
      <c r="THD560" s="11"/>
      <c r="THS560" s="11"/>
      <c r="THT560" s="11"/>
      <c r="TII560" s="11"/>
      <c r="TIJ560" s="11"/>
      <c r="TIY560" s="11"/>
      <c r="TIZ560" s="11"/>
      <c r="TJO560" s="11"/>
      <c r="TJP560" s="11"/>
      <c r="TKE560" s="11"/>
      <c r="TKF560" s="11"/>
      <c r="TKU560" s="11"/>
      <c r="TKV560" s="11"/>
      <c r="TLK560" s="11"/>
      <c r="TLL560" s="11"/>
      <c r="TMA560" s="11"/>
      <c r="TMB560" s="11"/>
      <c r="TMQ560" s="11"/>
      <c r="TMR560" s="11"/>
      <c r="TNG560" s="11"/>
      <c r="TNH560" s="11"/>
      <c r="TNW560" s="11"/>
      <c r="TNX560" s="11"/>
      <c r="TOM560" s="11"/>
      <c r="TON560" s="11"/>
      <c r="TPC560" s="11"/>
      <c r="TPD560" s="11"/>
      <c r="TPS560" s="11"/>
      <c r="TPT560" s="11"/>
      <c r="TQI560" s="11"/>
      <c r="TQJ560" s="11"/>
      <c r="TQY560" s="11"/>
      <c r="TQZ560" s="11"/>
      <c r="TRO560" s="11"/>
      <c r="TRP560" s="11"/>
      <c r="TSE560" s="11"/>
      <c r="TSF560" s="11"/>
      <c r="TSU560" s="11"/>
      <c r="TSV560" s="11"/>
      <c r="TTK560" s="11"/>
      <c r="TTL560" s="11"/>
      <c r="TUA560" s="11"/>
      <c r="TUB560" s="11"/>
      <c r="TUQ560" s="11"/>
      <c r="TUR560" s="11"/>
      <c r="TVG560" s="11"/>
      <c r="TVH560" s="11"/>
      <c r="TVW560" s="11"/>
      <c r="TVX560" s="11"/>
      <c r="TWM560" s="11"/>
      <c r="TWN560" s="11"/>
      <c r="TXC560" s="11"/>
      <c r="TXD560" s="11"/>
      <c r="TXS560" s="11"/>
      <c r="TXT560" s="11"/>
      <c r="TYI560" s="11"/>
      <c r="TYJ560" s="11"/>
      <c r="TYY560" s="11"/>
      <c r="TYZ560" s="11"/>
      <c r="TZO560" s="11"/>
      <c r="TZP560" s="11"/>
      <c r="UAE560" s="11"/>
      <c r="UAF560" s="11"/>
      <c r="UAU560" s="11"/>
      <c r="UAV560" s="11"/>
      <c r="UBK560" s="11"/>
      <c r="UBL560" s="11"/>
      <c r="UCA560" s="11"/>
      <c r="UCB560" s="11"/>
      <c r="UCQ560" s="11"/>
      <c r="UCR560" s="11"/>
      <c r="UDG560" s="11"/>
      <c r="UDH560" s="11"/>
      <c r="UDW560" s="11"/>
      <c r="UDX560" s="11"/>
      <c r="UEM560" s="11"/>
      <c r="UEN560" s="11"/>
      <c r="UFC560" s="11"/>
      <c r="UFD560" s="11"/>
      <c r="UFS560" s="11"/>
      <c r="UFT560" s="11"/>
      <c r="UGI560" s="11"/>
      <c r="UGJ560" s="11"/>
      <c r="UGY560" s="11"/>
      <c r="UGZ560" s="11"/>
      <c r="UHO560" s="11"/>
      <c r="UHP560" s="11"/>
      <c r="UIE560" s="11"/>
      <c r="UIF560" s="11"/>
      <c r="UIU560" s="11"/>
      <c r="UIV560" s="11"/>
      <c r="UJK560" s="11"/>
      <c r="UJL560" s="11"/>
      <c r="UKA560" s="11"/>
      <c r="UKB560" s="11"/>
      <c r="UKQ560" s="11"/>
      <c r="UKR560" s="11"/>
      <c r="ULG560" s="11"/>
      <c r="ULH560" s="11"/>
      <c r="ULW560" s="11"/>
      <c r="ULX560" s="11"/>
      <c r="UMM560" s="11"/>
      <c r="UMN560" s="11"/>
      <c r="UNC560" s="11"/>
      <c r="UND560" s="11"/>
      <c r="UNS560" s="11"/>
      <c r="UNT560" s="11"/>
      <c r="UOI560" s="11"/>
      <c r="UOJ560" s="11"/>
      <c r="UOY560" s="11"/>
      <c r="UOZ560" s="11"/>
      <c r="UPO560" s="11"/>
      <c r="UPP560" s="11"/>
      <c r="UQE560" s="11"/>
      <c r="UQF560" s="11"/>
      <c r="UQU560" s="11"/>
      <c r="UQV560" s="11"/>
      <c r="URK560" s="11"/>
      <c r="URL560" s="11"/>
      <c r="USA560" s="11"/>
      <c r="USB560" s="11"/>
      <c r="USQ560" s="11"/>
      <c r="USR560" s="11"/>
      <c r="UTG560" s="11"/>
      <c r="UTH560" s="11"/>
      <c r="UTW560" s="11"/>
      <c r="UTX560" s="11"/>
      <c r="UUM560" s="11"/>
      <c r="UUN560" s="11"/>
      <c r="UVC560" s="11"/>
      <c r="UVD560" s="11"/>
      <c r="UVS560" s="11"/>
      <c r="UVT560" s="11"/>
      <c r="UWI560" s="11"/>
      <c r="UWJ560" s="11"/>
      <c r="UWY560" s="11"/>
      <c r="UWZ560" s="11"/>
      <c r="UXO560" s="11"/>
      <c r="UXP560" s="11"/>
      <c r="UYE560" s="11"/>
      <c r="UYF560" s="11"/>
      <c r="UYU560" s="11"/>
      <c r="UYV560" s="11"/>
      <c r="UZK560" s="11"/>
      <c r="UZL560" s="11"/>
      <c r="VAA560" s="11"/>
      <c r="VAB560" s="11"/>
      <c r="VAQ560" s="11"/>
      <c r="VAR560" s="11"/>
      <c r="VBG560" s="11"/>
      <c r="VBH560" s="11"/>
      <c r="VBW560" s="11"/>
      <c r="VBX560" s="11"/>
      <c r="VCM560" s="11"/>
      <c r="VCN560" s="11"/>
      <c r="VDC560" s="11"/>
      <c r="VDD560" s="11"/>
      <c r="VDS560" s="11"/>
      <c r="VDT560" s="11"/>
      <c r="VEI560" s="11"/>
      <c r="VEJ560" s="11"/>
      <c r="VEY560" s="11"/>
      <c r="VEZ560" s="11"/>
      <c r="VFO560" s="11"/>
      <c r="VFP560" s="11"/>
      <c r="VGE560" s="11"/>
      <c r="VGF560" s="11"/>
      <c r="VGU560" s="11"/>
      <c r="VGV560" s="11"/>
      <c r="VHK560" s="11"/>
      <c r="VHL560" s="11"/>
      <c r="VIA560" s="11"/>
      <c r="VIB560" s="11"/>
      <c r="VIQ560" s="11"/>
      <c r="VIR560" s="11"/>
      <c r="VJG560" s="11"/>
      <c r="VJH560" s="11"/>
      <c r="VJW560" s="11"/>
      <c r="VJX560" s="11"/>
      <c r="VKM560" s="11"/>
      <c r="VKN560" s="11"/>
      <c r="VLC560" s="11"/>
      <c r="VLD560" s="11"/>
      <c r="VLS560" s="11"/>
      <c r="VLT560" s="11"/>
      <c r="VMI560" s="11"/>
      <c r="VMJ560" s="11"/>
      <c r="VMY560" s="11"/>
      <c r="VMZ560" s="11"/>
      <c r="VNO560" s="11"/>
      <c r="VNP560" s="11"/>
      <c r="VOE560" s="11"/>
      <c r="VOF560" s="11"/>
      <c r="VOU560" s="11"/>
      <c r="VOV560" s="11"/>
      <c r="VPK560" s="11"/>
      <c r="VPL560" s="11"/>
      <c r="VQA560" s="11"/>
      <c r="VQB560" s="11"/>
      <c r="VQQ560" s="11"/>
      <c r="VQR560" s="11"/>
      <c r="VRG560" s="11"/>
      <c r="VRH560" s="11"/>
      <c r="VRW560" s="11"/>
      <c r="VRX560" s="11"/>
      <c r="VSM560" s="11"/>
      <c r="VSN560" s="11"/>
      <c r="VTC560" s="11"/>
      <c r="VTD560" s="11"/>
      <c r="VTS560" s="11"/>
      <c r="VTT560" s="11"/>
      <c r="VUI560" s="11"/>
      <c r="VUJ560" s="11"/>
      <c r="VUY560" s="11"/>
      <c r="VUZ560" s="11"/>
      <c r="VVO560" s="11"/>
      <c r="VVP560" s="11"/>
      <c r="VWE560" s="11"/>
      <c r="VWF560" s="11"/>
      <c r="VWU560" s="11"/>
      <c r="VWV560" s="11"/>
      <c r="VXK560" s="11"/>
      <c r="VXL560" s="11"/>
      <c r="VYA560" s="11"/>
      <c r="VYB560" s="11"/>
      <c r="VYQ560" s="11"/>
      <c r="VYR560" s="11"/>
      <c r="VZG560" s="11"/>
      <c r="VZH560" s="11"/>
      <c r="VZW560" s="11"/>
      <c r="VZX560" s="11"/>
      <c r="WAM560" s="11"/>
      <c r="WAN560" s="11"/>
      <c r="WBC560" s="11"/>
      <c r="WBD560" s="11"/>
      <c r="WBS560" s="11"/>
      <c r="WBT560" s="11"/>
      <c r="WCI560" s="11"/>
      <c r="WCJ560" s="11"/>
      <c r="WCY560" s="11"/>
      <c r="WCZ560" s="11"/>
      <c r="WDO560" s="11"/>
      <c r="WDP560" s="11"/>
      <c r="WEE560" s="11"/>
      <c r="WEF560" s="11"/>
      <c r="WEU560" s="11"/>
      <c r="WEV560" s="11"/>
      <c r="WFK560" s="11"/>
      <c r="WFL560" s="11"/>
      <c r="WGA560" s="11"/>
      <c r="WGB560" s="11"/>
      <c r="WGQ560" s="11"/>
      <c r="WGR560" s="11"/>
      <c r="WHG560" s="11"/>
      <c r="WHH560" s="11"/>
      <c r="WHW560" s="11"/>
      <c r="WHX560" s="11"/>
      <c r="WIM560" s="11"/>
      <c r="WIN560" s="11"/>
      <c r="WJC560" s="11"/>
      <c r="WJD560" s="11"/>
      <c r="WJS560" s="11"/>
      <c r="WJT560" s="11"/>
      <c r="WKI560" s="11"/>
      <c r="WKJ560" s="11"/>
      <c r="WKY560" s="11"/>
      <c r="WKZ560" s="11"/>
      <c r="WLO560" s="11"/>
      <c r="WLP560" s="11"/>
      <c r="WME560" s="11"/>
      <c r="WMF560" s="11"/>
      <c r="WMU560" s="11"/>
      <c r="WMV560" s="11"/>
      <c r="WNK560" s="11"/>
      <c r="WNL560" s="11"/>
      <c r="WOA560" s="11"/>
      <c r="WOB560" s="11"/>
      <c r="WOQ560" s="11"/>
      <c r="WOR560" s="11"/>
      <c r="WPG560" s="11"/>
      <c r="WPH560" s="11"/>
      <c r="WPW560" s="11"/>
      <c r="WPX560" s="11"/>
      <c r="WQM560" s="11"/>
      <c r="WQN560" s="11"/>
      <c r="WRC560" s="11"/>
      <c r="WRD560" s="11"/>
      <c r="WRS560" s="11"/>
      <c r="WRT560" s="11"/>
      <c r="WSI560" s="11"/>
      <c r="WSJ560" s="11"/>
      <c r="WSY560" s="11"/>
      <c r="WSZ560" s="11"/>
      <c r="WTO560" s="11"/>
      <c r="WTP560" s="11"/>
      <c r="WUE560" s="11"/>
      <c r="WUF560" s="11"/>
      <c r="WUU560" s="11"/>
      <c r="WUV560" s="11"/>
      <c r="WVK560" s="11"/>
      <c r="WVL560" s="11"/>
      <c r="WWA560" s="11"/>
      <c r="WWB560" s="11"/>
      <c r="WWQ560" s="11"/>
      <c r="WWR560" s="11"/>
      <c r="WXG560" s="11"/>
      <c r="WXH560" s="11"/>
      <c r="WXW560" s="11"/>
      <c r="WXX560" s="11"/>
      <c r="WYM560" s="11"/>
      <c r="WYN560" s="11"/>
      <c r="WZC560" s="11"/>
      <c r="WZD560" s="11"/>
      <c r="WZS560" s="11"/>
      <c r="WZT560" s="11"/>
      <c r="XAI560" s="11"/>
      <c r="XAJ560" s="11"/>
      <c r="XAY560" s="11"/>
      <c r="XAZ560" s="11"/>
      <c r="XBO560" s="11"/>
      <c r="XBP560" s="11"/>
      <c r="XCE560" s="11"/>
      <c r="XCF560" s="11"/>
      <c r="XCU560" s="11"/>
      <c r="XCV560" s="11"/>
      <c r="XDK560" s="11"/>
      <c r="XDL560" s="11"/>
      <c r="XEA560" s="11"/>
      <c r="XEB560" s="11"/>
      <c r="XEQ560" s="11"/>
      <c r="XER560" s="11"/>
    </row>
    <row r="561" spans="2:18" ht="15.75" thickBot="1" x14ac:dyDescent="0.3">
      <c r="B561" s="247"/>
      <c r="C561" s="248"/>
      <c r="D561" s="248"/>
      <c r="E561" s="248"/>
      <c r="F561" s="248"/>
      <c r="G561" s="248"/>
      <c r="H561" s="439"/>
      <c r="I561" s="440"/>
      <c r="J561" s="248"/>
      <c r="K561" s="248"/>
      <c r="L561" s="248"/>
      <c r="M561" s="441"/>
      <c r="N561" s="251"/>
      <c r="O561" s="131"/>
      <c r="Q561" s="349"/>
      <c r="R561" s="349"/>
    </row>
    <row r="562" spans="2:18" ht="22.5" customHeight="1" thickTop="1" thickBot="1" x14ac:dyDescent="0.3">
      <c r="B562" s="422" t="s">
        <v>121</v>
      </c>
      <c r="C562" s="417"/>
      <c r="D562" s="415"/>
      <c r="E562" s="415"/>
      <c r="F562" s="417"/>
      <c r="G562" s="417"/>
      <c r="H562" s="417"/>
      <c r="I562" s="417"/>
      <c r="J562" s="419"/>
      <c r="K562" s="417"/>
      <c r="L562" s="417"/>
      <c r="M562" s="420"/>
      <c r="N562" s="421"/>
      <c r="Q562" s="349"/>
      <c r="R562" s="349"/>
    </row>
    <row r="563" spans="2:18" ht="15.75" thickTop="1" x14ac:dyDescent="0.25">
      <c r="B563" s="86"/>
      <c r="D563"/>
      <c r="E563"/>
      <c r="H563" s="55"/>
      <c r="I563" s="55"/>
      <c r="J563" s="170"/>
      <c r="M563" s="170"/>
      <c r="N563" s="87"/>
      <c r="O563" s="131"/>
      <c r="Q563" s="349"/>
      <c r="R563" s="349"/>
    </row>
    <row r="564" spans="2:18" x14ac:dyDescent="0.25">
      <c r="B564" s="402" t="s">
        <v>477</v>
      </c>
      <c r="D564"/>
      <c r="E564"/>
      <c r="H564" s="55"/>
      <c r="I564" s="55"/>
      <c r="J564" s="170"/>
      <c r="M564" s="170"/>
      <c r="N564" s="87"/>
      <c r="O564" s="131"/>
      <c r="Q564" s="349"/>
      <c r="R564" s="349"/>
    </row>
    <row r="565" spans="2:18" x14ac:dyDescent="0.25">
      <c r="B565" s="86"/>
      <c r="D565"/>
      <c r="E565"/>
      <c r="H565" s="55"/>
      <c r="I565" s="55"/>
      <c r="J565" s="170"/>
      <c r="M565" s="170"/>
      <c r="N565" s="87"/>
      <c r="O565" s="131"/>
      <c r="Q565" s="349"/>
      <c r="R565" s="349"/>
    </row>
    <row r="566" spans="2:18" x14ac:dyDescent="0.25">
      <c r="B566" s="86" t="s">
        <v>95</v>
      </c>
      <c r="C566" s="538" t="s">
        <v>162</v>
      </c>
      <c r="H566" s="52"/>
      <c r="I566" s="82"/>
      <c r="J566" s="170"/>
      <c r="L566" s="52"/>
      <c r="M566" s="84"/>
      <c r="N566" s="167"/>
      <c r="Q566" s="349"/>
      <c r="R566" s="349"/>
    </row>
    <row r="567" spans="2:18" outlineLevel="1" x14ac:dyDescent="0.25">
      <c r="B567" s="175"/>
      <c r="C567" s="168" t="s">
        <v>23</v>
      </c>
      <c r="D567" s="11" t="s">
        <v>46</v>
      </c>
      <c r="E567" s="11" t="s">
        <v>46</v>
      </c>
      <c r="G567" s="169">
        <f t="shared" ref="G567:G575" si="323">G250</f>
        <v>181.50000000000003</v>
      </c>
      <c r="H567" s="52" cm="1">
        <f t="array" ref="H567">IFERROR(INDEX(Table3[Labor rate], MATCH(1, (Table3[Material]='Fixture+Pipe Qty'!$C$566) * (Table3[Size]='Fixture+Pipe Qty'!$C567), 0)),0)</f>
        <v>3.7999999999999999E-2</v>
      </c>
      <c r="I567" s="82">
        <f t="shared" ref="I567" si="324">(F567+G567)*H567</f>
        <v>6.8970000000000011</v>
      </c>
      <c r="J567" s="170">
        <f>I567*Summary!$H$4</f>
        <v>1189.7325000000003</v>
      </c>
      <c r="K567" s="52"/>
      <c r="L567" s="56">
        <v>0</v>
      </c>
      <c r="M567" s="84">
        <f t="shared" ref="M567" si="325">((F567+G567)*K567)+((F567+G567)*L567)</f>
        <v>0</v>
      </c>
      <c r="N567" s="88">
        <f t="shared" ref="N567" si="326">M567+J567</f>
        <v>1189.7325000000003</v>
      </c>
      <c r="Q567" s="349"/>
      <c r="R567" s="349"/>
    </row>
    <row r="568" spans="2:18" outlineLevel="1" x14ac:dyDescent="0.25">
      <c r="B568" s="175"/>
      <c r="C568" s="10" t="s">
        <v>24</v>
      </c>
      <c r="D568" s="11" t="s">
        <v>46</v>
      </c>
      <c r="E568" s="11" t="s">
        <v>46</v>
      </c>
      <c r="G568" s="169">
        <f t="shared" si="323"/>
        <v>71.83</v>
      </c>
      <c r="H568" s="52" cm="1">
        <f t="array" ref="H568">IFERROR(INDEX(Table3[Labor rate], MATCH(1, (Table3[Material]='Fixture+Pipe Qty'!$C$566) * (Table3[Size]='Fixture+Pipe Qty'!$C568), 0)),0)</f>
        <v>3.7999999999999999E-2</v>
      </c>
      <c r="I568" s="82">
        <f t="shared" ref="I568:I575" si="327">(F568+G568)*H568</f>
        <v>2.7295400000000001</v>
      </c>
      <c r="J568" s="170">
        <f>I568*Summary!$H$4</f>
        <v>470.84565000000003</v>
      </c>
      <c r="K568" s="52"/>
      <c r="L568" s="56">
        <v>0</v>
      </c>
      <c r="M568" s="84">
        <f t="shared" ref="M568:M575" si="328">((F568+G568)*K568)+((F568+G568)*L568)</f>
        <v>0</v>
      </c>
      <c r="N568" s="88">
        <f t="shared" ref="N568:N575" si="329">M568+J568</f>
        <v>470.84565000000003</v>
      </c>
      <c r="Q568" s="349"/>
      <c r="R568" s="349"/>
    </row>
    <row r="569" spans="2:18" outlineLevel="1" x14ac:dyDescent="0.25">
      <c r="B569" s="86"/>
      <c r="C569" s="10" t="s">
        <v>25</v>
      </c>
      <c r="D569" s="11" t="s">
        <v>46</v>
      </c>
      <c r="E569" s="11" t="s">
        <v>46</v>
      </c>
      <c r="G569" s="169">
        <f t="shared" si="323"/>
        <v>60.610000000000007</v>
      </c>
      <c r="H569" s="52" cm="1">
        <f t="array" ref="H569">IFERROR(INDEX(Table3[Labor rate], MATCH(1, (Table3[Material]='Fixture+Pipe Qty'!$C$566) * (Table3[Size]='Fixture+Pipe Qty'!$C569), 0)),0)</f>
        <v>0.04</v>
      </c>
      <c r="I569" s="82">
        <f t="shared" si="327"/>
        <v>2.4244000000000003</v>
      </c>
      <c r="J569" s="170">
        <f>I569*Summary!$H$4</f>
        <v>418.20900000000006</v>
      </c>
      <c r="K569" s="52"/>
      <c r="L569" s="56">
        <v>0</v>
      </c>
      <c r="M569" s="84">
        <f t="shared" si="328"/>
        <v>0</v>
      </c>
      <c r="N569" s="88">
        <f t="shared" si="329"/>
        <v>418.20900000000006</v>
      </c>
      <c r="Q569" s="349"/>
      <c r="R569" s="349"/>
    </row>
    <row r="570" spans="2:18" outlineLevel="1" x14ac:dyDescent="0.25">
      <c r="B570" s="86"/>
      <c r="C570" s="10" t="s">
        <v>151</v>
      </c>
      <c r="D570" s="11" t="s">
        <v>46</v>
      </c>
      <c r="E570" s="11" t="s">
        <v>46</v>
      </c>
      <c r="G570" s="169">
        <f t="shared" si="323"/>
        <v>13.200000000000001</v>
      </c>
      <c r="H570" s="52" cm="1">
        <f t="array" ref="H570">IFERROR(INDEX(Table3[Labor rate], MATCH(1, (Table3[Material]='Fixture+Pipe Qty'!$C$566) * (Table3[Size]='Fixture+Pipe Qty'!$C570), 0)),0)</f>
        <v>0.04</v>
      </c>
      <c r="I570" s="82">
        <f t="shared" ref="I570" si="330">(F570+G570)*H570</f>
        <v>0.52800000000000002</v>
      </c>
      <c r="J570" s="170">
        <f>I570*Summary!$H$4</f>
        <v>91.08</v>
      </c>
      <c r="K570" s="52"/>
      <c r="L570" s="56">
        <v>0</v>
      </c>
      <c r="M570" s="84">
        <f t="shared" ref="M570" si="331">((F570+G570)*K570)+((F570+G570)*L570)</f>
        <v>0</v>
      </c>
      <c r="N570" s="88">
        <f t="shared" ref="N570" si="332">M570+J570</f>
        <v>91.08</v>
      </c>
      <c r="Q570" s="349"/>
      <c r="R570" s="349"/>
    </row>
    <row r="571" spans="2:18" outlineLevel="1" x14ac:dyDescent="0.25">
      <c r="B571" s="86"/>
      <c r="C571" s="10" t="s">
        <v>38</v>
      </c>
      <c r="D571" s="11" t="s">
        <v>46</v>
      </c>
      <c r="E571" s="11" t="s">
        <v>46</v>
      </c>
      <c r="G571" s="169">
        <f t="shared" si="323"/>
        <v>26.730000000000004</v>
      </c>
      <c r="H571" s="52" cm="1">
        <f t="array" ref="H571">IFERROR(INDEX(Table3[Labor rate], MATCH(1, (Table3[Material]='Fixture+Pipe Qty'!$C$566) * (Table3[Size]='Fixture+Pipe Qty'!$C571), 0)),0)</f>
        <v>4.2000000000000003E-2</v>
      </c>
      <c r="I571" s="82">
        <f t="shared" si="327"/>
        <v>1.1226600000000002</v>
      </c>
      <c r="J571" s="170">
        <f>I571*Summary!$H$4</f>
        <v>193.65885000000003</v>
      </c>
      <c r="K571" s="52"/>
      <c r="L571" s="56">
        <v>0</v>
      </c>
      <c r="M571" s="84">
        <f t="shared" si="328"/>
        <v>0</v>
      </c>
      <c r="N571" s="88">
        <f t="shared" si="329"/>
        <v>193.65885000000003</v>
      </c>
      <c r="Q571" s="349"/>
      <c r="R571" s="349"/>
    </row>
    <row r="572" spans="2:18" outlineLevel="1" x14ac:dyDescent="0.25">
      <c r="B572" s="86"/>
      <c r="C572" s="10" t="s">
        <v>26</v>
      </c>
      <c r="D572" s="11" t="s">
        <v>46</v>
      </c>
      <c r="E572" s="11" t="s">
        <v>46</v>
      </c>
      <c r="G572" s="169">
        <f t="shared" si="323"/>
        <v>44.99</v>
      </c>
      <c r="H572" s="52" cm="1">
        <f t="array" ref="H572">IFERROR(INDEX(Table3[Labor rate], MATCH(1, (Table3[Material]='Fixture+Pipe Qty'!$C$566) * (Table3[Size]='Fixture+Pipe Qty'!$C572), 0)),0)</f>
        <v>4.3999999999999997E-2</v>
      </c>
      <c r="I572" s="82">
        <f t="shared" si="327"/>
        <v>1.97956</v>
      </c>
      <c r="J572" s="170">
        <f>I572*Summary!$H$4</f>
        <v>341.47410000000002</v>
      </c>
      <c r="K572" s="52"/>
      <c r="L572" s="56">
        <v>0</v>
      </c>
      <c r="M572" s="84">
        <f t="shared" si="328"/>
        <v>0</v>
      </c>
      <c r="N572" s="88">
        <f t="shared" si="329"/>
        <v>341.47410000000002</v>
      </c>
      <c r="Q572" s="349"/>
      <c r="R572" s="349"/>
    </row>
    <row r="573" spans="2:18" hidden="1" outlineLevel="1" x14ac:dyDescent="0.25">
      <c r="B573" s="86"/>
      <c r="C573" s="10" t="s">
        <v>152</v>
      </c>
      <c r="D573" s="11" t="s">
        <v>46</v>
      </c>
      <c r="E573" s="11" t="s">
        <v>46</v>
      </c>
      <c r="G573" s="169">
        <f t="shared" si="323"/>
        <v>0</v>
      </c>
      <c r="H573" s="52" cm="1">
        <f t="array" ref="H573">IFERROR(INDEX(Table3[Labor rate], MATCH(1, (Table3[Material]='Fixture+Pipe Qty'!$C$566) * (Table3[Size]='Fixture+Pipe Qty'!$C573), 0)),0)</f>
        <v>4.7E-2</v>
      </c>
      <c r="I573" s="82">
        <f t="shared" si="327"/>
        <v>0</v>
      </c>
      <c r="J573" s="170">
        <f>I573*Summary!$H$4</f>
        <v>0</v>
      </c>
      <c r="K573" s="52"/>
      <c r="L573" s="56">
        <v>0</v>
      </c>
      <c r="M573" s="84">
        <f t="shared" si="328"/>
        <v>0</v>
      </c>
      <c r="N573" s="88">
        <f t="shared" si="329"/>
        <v>0</v>
      </c>
      <c r="Q573" s="349"/>
      <c r="R573" s="349"/>
    </row>
    <row r="574" spans="2:18" hidden="1" outlineLevel="1" x14ac:dyDescent="0.25">
      <c r="B574" s="86"/>
      <c r="C574" s="10" t="s">
        <v>129</v>
      </c>
      <c r="D574" s="11" t="s">
        <v>46</v>
      </c>
      <c r="E574" s="11" t="s">
        <v>46</v>
      </c>
      <c r="G574" s="169">
        <f t="shared" si="323"/>
        <v>0</v>
      </c>
      <c r="H574" s="52" cm="1">
        <f t="array" ref="H574">IFERROR(INDEX(Table3[Labor rate], MATCH(1, (Table3[Material]='Fixture+Pipe Qty'!$C$566) * (Table3[Size]='Fixture+Pipe Qty'!$C574), 0)),0)</f>
        <v>5.0999999999999997E-2</v>
      </c>
      <c r="I574" s="82">
        <f t="shared" si="327"/>
        <v>0</v>
      </c>
      <c r="J574" s="170">
        <f>I574*Summary!$H$4</f>
        <v>0</v>
      </c>
      <c r="K574" s="52"/>
      <c r="L574" s="56">
        <v>0</v>
      </c>
      <c r="M574" s="84">
        <f t="shared" si="328"/>
        <v>0</v>
      </c>
      <c r="N574" s="88">
        <f t="shared" si="329"/>
        <v>0</v>
      </c>
      <c r="Q574" s="349"/>
      <c r="R574" s="349"/>
    </row>
    <row r="575" spans="2:18" hidden="1" outlineLevel="1" x14ac:dyDescent="0.25">
      <c r="B575" s="86"/>
      <c r="C575" s="10" t="s">
        <v>27</v>
      </c>
      <c r="D575" s="11" t="s">
        <v>46</v>
      </c>
      <c r="E575" s="11" t="s">
        <v>46</v>
      </c>
      <c r="G575" s="169">
        <f t="shared" si="323"/>
        <v>0</v>
      </c>
      <c r="H575" s="52" cm="1">
        <f t="array" ref="H575">IFERROR(INDEX(Table3[Labor rate], MATCH(1, (Table3[Material]='Fixture+Pipe Qty'!$C$566) * (Table3[Size]='Fixture+Pipe Qty'!$C575), 0)),0)</f>
        <v>6.3E-2</v>
      </c>
      <c r="I575" s="82">
        <f t="shared" si="327"/>
        <v>0</v>
      </c>
      <c r="J575" s="170">
        <f>I575*Summary!$H$4</f>
        <v>0</v>
      </c>
      <c r="K575" s="52"/>
      <c r="L575" s="56">
        <v>0</v>
      </c>
      <c r="M575" s="84">
        <f t="shared" si="328"/>
        <v>0</v>
      </c>
      <c r="N575" s="88">
        <f t="shared" si="329"/>
        <v>0</v>
      </c>
      <c r="Q575" s="349"/>
      <c r="R575" s="349"/>
    </row>
    <row r="576" spans="2:18" x14ac:dyDescent="0.25">
      <c r="B576" s="86"/>
      <c r="C576" s="10"/>
      <c r="G576" s="176"/>
      <c r="H576" s="52"/>
      <c r="I576" s="82"/>
      <c r="J576" s="170"/>
      <c r="K576" s="132"/>
      <c r="L576" s="132"/>
      <c r="M576" s="84"/>
      <c r="N576" s="167"/>
      <c r="Q576" s="349"/>
      <c r="R576" s="349"/>
    </row>
    <row r="577" spans="2:18" x14ac:dyDescent="0.25">
      <c r="B577" s="86" t="s">
        <v>96</v>
      </c>
      <c r="C577" s="538" t="s">
        <v>163</v>
      </c>
      <c r="G577" s="176"/>
      <c r="H577" s="52"/>
      <c r="I577" s="82"/>
      <c r="J577" s="170"/>
      <c r="K577" s="132"/>
      <c r="L577" s="132"/>
      <c r="M577" s="84"/>
      <c r="N577" s="167"/>
      <c r="Q577" s="349"/>
      <c r="R577" s="349"/>
    </row>
    <row r="578" spans="2:18" outlineLevel="1" x14ac:dyDescent="0.25">
      <c r="B578" s="175"/>
      <c r="C578" s="168" t="s">
        <v>23</v>
      </c>
      <c r="D578" s="11" t="s">
        <v>46</v>
      </c>
      <c r="E578" s="11" t="s">
        <v>46</v>
      </c>
      <c r="G578" s="169">
        <f t="shared" ref="G578:G586" si="333">G261</f>
        <v>133.10000000000002</v>
      </c>
      <c r="H578" s="52" cm="1">
        <f t="array" ref="H578">IFERROR(INDEX(Table3[Labor rate], MATCH(1, (Table3[Material]='Fixture+Pipe Qty'!$C$577) * (Table3[Size]='Fixture+Pipe Qty'!$C578), 0)),0)</f>
        <v>3.7999999999999999E-2</v>
      </c>
      <c r="I578" s="82">
        <f t="shared" ref="I578" si="334">(F578+G578)*H578</f>
        <v>5.0578000000000003</v>
      </c>
      <c r="J578" s="170">
        <f>I578*Summary!$H$4</f>
        <v>872.47050000000002</v>
      </c>
      <c r="K578" s="52"/>
      <c r="L578" s="56">
        <v>0</v>
      </c>
      <c r="M578" s="84">
        <f t="shared" ref="M578" si="335">((F578+G578)*K578)+((F578+G578)*L578)</f>
        <v>0</v>
      </c>
      <c r="N578" s="88">
        <f t="shared" ref="N578" si="336">M578+J578</f>
        <v>872.47050000000002</v>
      </c>
      <c r="Q578" s="349"/>
      <c r="R578" s="349"/>
    </row>
    <row r="579" spans="2:18" outlineLevel="1" x14ac:dyDescent="0.25">
      <c r="B579" s="86"/>
      <c r="C579" s="10" t="s">
        <v>24</v>
      </c>
      <c r="D579" s="11" t="s">
        <v>46</v>
      </c>
      <c r="E579" s="11" t="s">
        <v>46</v>
      </c>
      <c r="G579" s="169">
        <f t="shared" si="333"/>
        <v>39.160000000000004</v>
      </c>
      <c r="H579" s="52" cm="1">
        <f t="array" ref="H579">IFERROR(INDEX(Table3[Labor rate], MATCH(1, (Table3[Material]='Fixture+Pipe Qty'!$C$577) * (Table3[Size]='Fixture+Pipe Qty'!$C579), 0)),0)</f>
        <v>3.7999999999999999E-2</v>
      </c>
      <c r="I579" s="82">
        <f t="shared" ref="I579:I586" si="337">(F579+G579)*H579</f>
        <v>1.4880800000000001</v>
      </c>
      <c r="J579" s="170">
        <f>I579*Summary!$H$4</f>
        <v>256.69380000000001</v>
      </c>
      <c r="K579" s="52"/>
      <c r="L579" s="56">
        <v>0</v>
      </c>
      <c r="M579" s="84">
        <f t="shared" ref="M579:M586" si="338">((F579+G579)*K579)+((F579+G579)*L579)</f>
        <v>0</v>
      </c>
      <c r="N579" s="88">
        <f t="shared" ref="N579:N586" si="339">M579+J579</f>
        <v>256.69380000000001</v>
      </c>
      <c r="Q579" s="349"/>
      <c r="R579" s="349"/>
    </row>
    <row r="580" spans="2:18" outlineLevel="1" x14ac:dyDescent="0.25">
      <c r="B580" s="86"/>
      <c r="C580" s="10" t="s">
        <v>25</v>
      </c>
      <c r="D580" s="11" t="s">
        <v>46</v>
      </c>
      <c r="E580" s="11" t="s">
        <v>46</v>
      </c>
      <c r="G580" s="169">
        <f t="shared" si="333"/>
        <v>22.880000000000003</v>
      </c>
      <c r="H580" s="52" cm="1">
        <f t="array" ref="H580">IFERROR(INDEX(Table3[Labor rate], MATCH(1, (Table3[Material]='Fixture+Pipe Qty'!$C$577) * (Table3[Size]='Fixture+Pipe Qty'!$C580), 0)),0)</f>
        <v>0.04</v>
      </c>
      <c r="I580" s="82">
        <f t="shared" si="337"/>
        <v>0.91520000000000012</v>
      </c>
      <c r="J580" s="170">
        <f>I580*Summary!$H$4</f>
        <v>157.87200000000001</v>
      </c>
      <c r="K580" s="52"/>
      <c r="L580" s="56">
        <v>0</v>
      </c>
      <c r="M580" s="84">
        <f t="shared" si="338"/>
        <v>0</v>
      </c>
      <c r="N580" s="88">
        <f t="shared" si="339"/>
        <v>157.87200000000001</v>
      </c>
      <c r="Q580" s="349"/>
      <c r="R580" s="349"/>
    </row>
    <row r="581" spans="2:18" outlineLevel="1" x14ac:dyDescent="0.25">
      <c r="B581" s="86"/>
      <c r="C581" s="10" t="s">
        <v>151</v>
      </c>
      <c r="D581" s="11" t="s">
        <v>46</v>
      </c>
      <c r="E581" s="11" t="s">
        <v>46</v>
      </c>
      <c r="G581" s="169">
        <f t="shared" si="333"/>
        <v>100.87</v>
      </c>
      <c r="H581" s="52" cm="1">
        <f t="array" ref="H581">IFERROR(INDEX(Table3[Labor rate], MATCH(1, (Table3[Material]='Fixture+Pipe Qty'!$C$577) * (Table3[Size]='Fixture+Pipe Qty'!$C581), 0)),0)</f>
        <v>0.04</v>
      </c>
      <c r="I581" s="82">
        <f t="shared" si="337"/>
        <v>4.0348000000000006</v>
      </c>
      <c r="J581" s="170">
        <f>I581*Summary!$H$4</f>
        <v>696.00300000000016</v>
      </c>
      <c r="K581" s="52"/>
      <c r="L581" s="56">
        <v>0</v>
      </c>
      <c r="M581" s="84">
        <f t="shared" ref="M581" si="340">((F581+G581)*K581)+((F581+G581)*L581)</f>
        <v>0</v>
      </c>
      <c r="N581" s="88">
        <f t="shared" ref="N581" si="341">M581+J581</f>
        <v>696.00300000000016</v>
      </c>
      <c r="Q581" s="349"/>
      <c r="R581" s="349"/>
    </row>
    <row r="582" spans="2:18" hidden="1" outlineLevel="1" x14ac:dyDescent="0.25">
      <c r="B582" s="86"/>
      <c r="C582" s="10" t="s">
        <v>38</v>
      </c>
      <c r="D582" s="11" t="s">
        <v>46</v>
      </c>
      <c r="E582" s="11" t="s">
        <v>46</v>
      </c>
      <c r="G582" s="169">
        <f t="shared" si="333"/>
        <v>0</v>
      </c>
      <c r="H582" s="52" cm="1">
        <f t="array" ref="H582">IFERROR(INDEX(Table3[Labor rate], MATCH(1, (Table3[Material]='Fixture+Pipe Qty'!$C$577) * (Table3[Size]='Fixture+Pipe Qty'!$C582), 0)),0)</f>
        <v>4.2000000000000003E-2</v>
      </c>
      <c r="I582" s="82">
        <f t="shared" si="337"/>
        <v>0</v>
      </c>
      <c r="J582" s="170">
        <f>I582*Summary!$H$4</f>
        <v>0</v>
      </c>
      <c r="K582" s="52"/>
      <c r="L582" s="56">
        <v>0</v>
      </c>
      <c r="M582" s="84">
        <f t="shared" si="338"/>
        <v>0</v>
      </c>
      <c r="N582" s="88">
        <f t="shared" si="339"/>
        <v>0</v>
      </c>
      <c r="Q582" s="349"/>
      <c r="R582" s="349"/>
    </row>
    <row r="583" spans="2:18" hidden="1" outlineLevel="1" x14ac:dyDescent="0.25">
      <c r="B583" s="86"/>
      <c r="C583" s="10" t="s">
        <v>26</v>
      </c>
      <c r="D583" s="11" t="s">
        <v>46</v>
      </c>
      <c r="E583" s="11" t="s">
        <v>46</v>
      </c>
      <c r="G583" s="169">
        <f t="shared" si="333"/>
        <v>0</v>
      </c>
      <c r="H583" s="52" cm="1">
        <f t="array" ref="H583">IFERROR(INDEX(Table3[Labor rate], MATCH(1, (Table3[Material]='Fixture+Pipe Qty'!$C$577) * (Table3[Size]='Fixture+Pipe Qty'!$C583), 0)),0)</f>
        <v>4.3999999999999997E-2</v>
      </c>
      <c r="I583" s="82">
        <f t="shared" si="337"/>
        <v>0</v>
      </c>
      <c r="J583" s="170">
        <f>I583*Summary!$H$4</f>
        <v>0</v>
      </c>
      <c r="K583" s="52"/>
      <c r="L583" s="56">
        <v>0</v>
      </c>
      <c r="M583" s="84">
        <f t="shared" si="338"/>
        <v>0</v>
      </c>
      <c r="N583" s="88">
        <f t="shared" si="339"/>
        <v>0</v>
      </c>
      <c r="Q583" s="349"/>
      <c r="R583" s="349"/>
    </row>
    <row r="584" spans="2:18" hidden="1" outlineLevel="1" x14ac:dyDescent="0.25">
      <c r="B584" s="86"/>
      <c r="C584" s="10" t="s">
        <v>152</v>
      </c>
      <c r="D584" s="11" t="s">
        <v>46</v>
      </c>
      <c r="E584" s="11" t="s">
        <v>46</v>
      </c>
      <c r="G584" s="169">
        <f t="shared" si="333"/>
        <v>0</v>
      </c>
      <c r="H584" s="52" cm="1">
        <f t="array" ref="H584">IFERROR(INDEX(Table3[Labor rate], MATCH(1, (Table3[Material]='Fixture+Pipe Qty'!$C$577) * (Table3[Size]='Fixture+Pipe Qty'!$C584), 0)),0)</f>
        <v>4.8000000000000001E-2</v>
      </c>
      <c r="I584" s="82">
        <f t="shared" si="337"/>
        <v>0</v>
      </c>
      <c r="J584" s="170">
        <f>I584*Summary!$H$4</f>
        <v>0</v>
      </c>
      <c r="K584" s="52"/>
      <c r="L584" s="56">
        <v>0</v>
      </c>
      <c r="M584" s="84">
        <f t="shared" si="338"/>
        <v>0</v>
      </c>
      <c r="N584" s="88">
        <f t="shared" si="339"/>
        <v>0</v>
      </c>
      <c r="Q584" s="349"/>
      <c r="R584" s="349"/>
    </row>
    <row r="585" spans="2:18" hidden="1" outlineLevel="1" x14ac:dyDescent="0.25">
      <c r="B585" s="86"/>
      <c r="C585" s="10" t="s">
        <v>129</v>
      </c>
      <c r="D585" s="11" t="s">
        <v>46</v>
      </c>
      <c r="E585" s="11" t="s">
        <v>46</v>
      </c>
      <c r="G585" s="169">
        <f t="shared" si="333"/>
        <v>0</v>
      </c>
      <c r="H585" s="52" cm="1">
        <f t="array" ref="H585">IFERROR(INDEX(Table3[Labor rate], MATCH(1, (Table3[Material]='Fixture+Pipe Qty'!$C$577) * (Table3[Size]='Fixture+Pipe Qty'!$C585), 0)),0)</f>
        <v>5.3999999999999999E-2</v>
      </c>
      <c r="I585" s="82">
        <f t="shared" si="337"/>
        <v>0</v>
      </c>
      <c r="J585" s="170">
        <f>I585*Summary!$H$4</f>
        <v>0</v>
      </c>
      <c r="K585" s="52"/>
      <c r="L585" s="56">
        <v>0</v>
      </c>
      <c r="M585" s="84">
        <f t="shared" si="338"/>
        <v>0</v>
      </c>
      <c r="N585" s="88">
        <f t="shared" si="339"/>
        <v>0</v>
      </c>
      <c r="Q585" s="349"/>
      <c r="R585" s="349"/>
    </row>
    <row r="586" spans="2:18" hidden="1" outlineLevel="1" x14ac:dyDescent="0.25">
      <c r="B586" s="86"/>
      <c r="C586" s="10" t="s">
        <v>27</v>
      </c>
      <c r="D586" s="11" t="s">
        <v>46</v>
      </c>
      <c r="E586" s="11" t="s">
        <v>46</v>
      </c>
      <c r="G586" s="169">
        <f t="shared" si="333"/>
        <v>0</v>
      </c>
      <c r="H586" s="52" cm="1">
        <f t="array" ref="H586">IFERROR(INDEX(Table3[Labor rate], MATCH(1, (Table3[Material]='Fixture+Pipe Qty'!$C$577) * (Table3[Size]='Fixture+Pipe Qty'!$C586), 0)),0)</f>
        <v>6.6000000000000003E-2</v>
      </c>
      <c r="I586" s="82">
        <f t="shared" si="337"/>
        <v>0</v>
      </c>
      <c r="J586" s="170">
        <f>I586*Summary!$H$4</f>
        <v>0</v>
      </c>
      <c r="K586" s="52"/>
      <c r="L586" s="56">
        <v>0</v>
      </c>
      <c r="M586" s="84">
        <f t="shared" si="338"/>
        <v>0</v>
      </c>
      <c r="N586" s="88">
        <f t="shared" si="339"/>
        <v>0</v>
      </c>
      <c r="Q586" s="349"/>
      <c r="R586" s="349"/>
    </row>
    <row r="587" spans="2:18" x14ac:dyDescent="0.25">
      <c r="B587" s="86"/>
      <c r="C587" s="10"/>
      <c r="G587" s="176"/>
      <c r="H587" s="52"/>
      <c r="I587" s="82"/>
      <c r="J587" s="170"/>
      <c r="K587" s="132"/>
      <c r="L587" s="132"/>
      <c r="M587" s="84"/>
      <c r="N587" s="167"/>
      <c r="Q587" s="349"/>
      <c r="R587" s="349"/>
    </row>
    <row r="588" spans="2:18" x14ac:dyDescent="0.25">
      <c r="B588" s="86" t="s">
        <v>666</v>
      </c>
      <c r="C588" s="538" t="s">
        <v>162</v>
      </c>
      <c r="G588" s="176"/>
      <c r="H588" s="52"/>
      <c r="I588" s="82"/>
      <c r="J588" s="170"/>
      <c r="K588" s="132"/>
      <c r="L588" s="132"/>
      <c r="M588" s="84"/>
      <c r="N588" s="167"/>
      <c r="Q588" s="349"/>
      <c r="R588" s="349"/>
    </row>
    <row r="589" spans="2:18" outlineLevel="1" x14ac:dyDescent="0.25">
      <c r="B589" s="175"/>
      <c r="C589" s="168" t="s">
        <v>23</v>
      </c>
      <c r="D589" s="11" t="s">
        <v>46</v>
      </c>
      <c r="E589" s="11" t="s">
        <v>46</v>
      </c>
      <c r="G589" s="169">
        <f t="shared" ref="G589:G597" si="342">G272</f>
        <v>121.00000000000001</v>
      </c>
      <c r="H589" s="52" cm="1">
        <f t="array" ref="H589">IFERROR(INDEX(Table3[Labor rate], MATCH(1, (Table3[Material]='Fixture+Pipe Qty'!$C$588) * (Table3[Size]='Fixture+Pipe Qty'!$C589), 0)),0)</f>
        <v>3.7999999999999999E-2</v>
      </c>
      <c r="I589" s="82">
        <f t="shared" ref="I589" si="343">(F589+G589)*H589</f>
        <v>4.5980000000000008</v>
      </c>
      <c r="J589" s="170">
        <f>I589*Summary!$H$4</f>
        <v>793.15500000000009</v>
      </c>
      <c r="K589" s="52"/>
      <c r="L589" s="56">
        <v>0</v>
      </c>
      <c r="M589" s="84">
        <f t="shared" ref="M589:M597" si="344">((F589+G589)*K589)+((F589+G589)*L589)</f>
        <v>0</v>
      </c>
      <c r="N589" s="88">
        <f t="shared" ref="N589:N597" si="345">M589+J589</f>
        <v>793.15500000000009</v>
      </c>
      <c r="Q589" s="349"/>
      <c r="R589" s="349"/>
    </row>
    <row r="590" spans="2:18" outlineLevel="1" x14ac:dyDescent="0.25">
      <c r="B590" s="86"/>
      <c r="C590" s="10" t="s">
        <v>24</v>
      </c>
      <c r="D590" s="11" t="s">
        <v>46</v>
      </c>
      <c r="E590" s="11" t="s">
        <v>46</v>
      </c>
      <c r="G590" s="169">
        <f t="shared" si="342"/>
        <v>49.28</v>
      </c>
      <c r="H590" s="52" cm="1">
        <f t="array" ref="H590">IFERROR(INDEX(Table3[Labor rate], MATCH(1, (Table3[Material]='Fixture+Pipe Qty'!$C$588) * (Table3[Size]='Fixture+Pipe Qty'!$C590), 0)),0)</f>
        <v>3.7999999999999999E-2</v>
      </c>
      <c r="I590" s="82">
        <f t="shared" ref="I590:I597" si="346">(F590+G590)*H590</f>
        <v>1.8726400000000001</v>
      </c>
      <c r="J590" s="170">
        <f>I590*Summary!$H$4</f>
        <v>323.03039999999999</v>
      </c>
      <c r="K590" s="52"/>
      <c r="L590" s="56">
        <v>0</v>
      </c>
      <c r="M590" s="84">
        <f t="shared" si="344"/>
        <v>0</v>
      </c>
      <c r="N590" s="88">
        <f t="shared" si="345"/>
        <v>323.03039999999999</v>
      </c>
      <c r="Q590" s="349"/>
      <c r="R590" s="349"/>
    </row>
    <row r="591" spans="2:18" outlineLevel="1" x14ac:dyDescent="0.25">
      <c r="B591" s="86"/>
      <c r="C591" s="10" t="s">
        <v>25</v>
      </c>
      <c r="D591" s="11" t="s">
        <v>46</v>
      </c>
      <c r="E591" s="11" t="s">
        <v>46</v>
      </c>
      <c r="G591" s="169">
        <f t="shared" si="342"/>
        <v>27.060000000000002</v>
      </c>
      <c r="H591" s="52" cm="1">
        <f t="array" ref="H591">IFERROR(INDEX(Table3[Labor rate], MATCH(1, (Table3[Material]='Fixture+Pipe Qty'!$C$588) * (Table3[Size]='Fixture+Pipe Qty'!$C591), 0)),0)</f>
        <v>0.04</v>
      </c>
      <c r="I591" s="82">
        <f t="shared" si="346"/>
        <v>1.0824</v>
      </c>
      <c r="J591" s="170">
        <f>I591*Summary!$H$4</f>
        <v>186.714</v>
      </c>
      <c r="K591" s="52"/>
      <c r="L591" s="56">
        <v>0</v>
      </c>
      <c r="M591" s="84">
        <f t="shared" si="344"/>
        <v>0</v>
      </c>
      <c r="N591" s="88">
        <f t="shared" si="345"/>
        <v>186.714</v>
      </c>
      <c r="Q591" s="349"/>
      <c r="R591" s="349"/>
    </row>
    <row r="592" spans="2:18" hidden="1" outlineLevel="1" x14ac:dyDescent="0.25">
      <c r="B592" s="86"/>
      <c r="C592" s="10" t="s">
        <v>151</v>
      </c>
      <c r="D592" s="11" t="s">
        <v>46</v>
      </c>
      <c r="E592" s="11" t="s">
        <v>46</v>
      </c>
      <c r="G592" s="169">
        <f t="shared" si="342"/>
        <v>0</v>
      </c>
      <c r="H592" s="52"/>
      <c r="I592" s="82">
        <f t="shared" si="346"/>
        <v>0</v>
      </c>
      <c r="J592" s="170">
        <f>I592*Summary!$H$4</f>
        <v>0</v>
      </c>
      <c r="K592" s="52"/>
      <c r="L592" s="56">
        <v>0</v>
      </c>
      <c r="M592" s="84">
        <f t="shared" si="344"/>
        <v>0</v>
      </c>
      <c r="N592" s="88">
        <f t="shared" si="345"/>
        <v>0</v>
      </c>
      <c r="Q592" s="349"/>
      <c r="R592" s="349"/>
    </row>
    <row r="593" spans="2:18" hidden="1" outlineLevel="1" x14ac:dyDescent="0.25">
      <c r="B593" s="86"/>
      <c r="C593" s="10" t="s">
        <v>38</v>
      </c>
      <c r="D593" s="11" t="s">
        <v>46</v>
      </c>
      <c r="E593" s="11" t="s">
        <v>46</v>
      </c>
      <c r="G593" s="169">
        <f t="shared" si="342"/>
        <v>0</v>
      </c>
      <c r="H593" s="52"/>
      <c r="I593" s="82">
        <f t="shared" si="346"/>
        <v>0</v>
      </c>
      <c r="J593" s="170">
        <f>I593*Summary!$H$4</f>
        <v>0</v>
      </c>
      <c r="K593" s="52"/>
      <c r="L593" s="56">
        <v>0</v>
      </c>
      <c r="M593" s="84">
        <f t="shared" si="344"/>
        <v>0</v>
      </c>
      <c r="N593" s="88">
        <f t="shared" si="345"/>
        <v>0</v>
      </c>
      <c r="Q593" s="349"/>
      <c r="R593" s="349"/>
    </row>
    <row r="594" spans="2:18" hidden="1" outlineLevel="1" x14ac:dyDescent="0.25">
      <c r="B594" s="86"/>
      <c r="C594" s="10" t="s">
        <v>26</v>
      </c>
      <c r="D594" s="11" t="s">
        <v>46</v>
      </c>
      <c r="E594" s="11" t="s">
        <v>46</v>
      </c>
      <c r="G594" s="169">
        <f t="shared" si="342"/>
        <v>0</v>
      </c>
      <c r="H594" s="52"/>
      <c r="I594" s="82">
        <f t="shared" si="346"/>
        <v>0</v>
      </c>
      <c r="J594" s="170">
        <f>I594*Summary!$H$4</f>
        <v>0</v>
      </c>
      <c r="K594" s="52"/>
      <c r="L594" s="56">
        <v>0</v>
      </c>
      <c r="M594" s="84">
        <f t="shared" si="344"/>
        <v>0</v>
      </c>
      <c r="N594" s="88">
        <f t="shared" si="345"/>
        <v>0</v>
      </c>
      <c r="Q594" s="349"/>
      <c r="R594" s="349"/>
    </row>
    <row r="595" spans="2:18" hidden="1" outlineLevel="1" x14ac:dyDescent="0.25">
      <c r="B595" s="86"/>
      <c r="C595" s="10" t="s">
        <v>152</v>
      </c>
      <c r="D595" s="11" t="s">
        <v>46</v>
      </c>
      <c r="E595" s="11" t="s">
        <v>46</v>
      </c>
      <c r="G595" s="169">
        <f t="shared" si="342"/>
        <v>0</v>
      </c>
      <c r="H595" s="52"/>
      <c r="I595" s="82">
        <f t="shared" si="346"/>
        <v>0</v>
      </c>
      <c r="J595" s="170">
        <f>I595*Summary!$H$4</f>
        <v>0</v>
      </c>
      <c r="K595" s="52"/>
      <c r="L595" s="56">
        <v>0</v>
      </c>
      <c r="M595" s="84">
        <f t="shared" si="344"/>
        <v>0</v>
      </c>
      <c r="N595" s="88">
        <f t="shared" si="345"/>
        <v>0</v>
      </c>
      <c r="Q595" s="349"/>
      <c r="R595" s="349"/>
    </row>
    <row r="596" spans="2:18" hidden="1" outlineLevel="1" x14ac:dyDescent="0.25">
      <c r="B596" s="86"/>
      <c r="C596" s="10" t="s">
        <v>129</v>
      </c>
      <c r="D596" s="11" t="s">
        <v>46</v>
      </c>
      <c r="E596" s="11" t="s">
        <v>46</v>
      </c>
      <c r="G596" s="169">
        <f t="shared" si="342"/>
        <v>0</v>
      </c>
      <c r="H596" s="52"/>
      <c r="I596" s="82">
        <f t="shared" si="346"/>
        <v>0</v>
      </c>
      <c r="J596" s="170">
        <f>I596*Summary!$H$4</f>
        <v>0</v>
      </c>
      <c r="K596" s="52"/>
      <c r="L596" s="56">
        <v>0</v>
      </c>
      <c r="M596" s="84">
        <f t="shared" si="344"/>
        <v>0</v>
      </c>
      <c r="N596" s="88">
        <f t="shared" si="345"/>
        <v>0</v>
      </c>
      <c r="Q596" s="349"/>
      <c r="R596" s="349"/>
    </row>
    <row r="597" spans="2:18" hidden="1" outlineLevel="1" x14ac:dyDescent="0.25">
      <c r="B597" s="86"/>
      <c r="C597" s="10" t="s">
        <v>27</v>
      </c>
      <c r="D597" s="11" t="s">
        <v>46</v>
      </c>
      <c r="E597" s="11" t="s">
        <v>46</v>
      </c>
      <c r="G597" s="169">
        <f t="shared" si="342"/>
        <v>0</v>
      </c>
      <c r="H597" s="52"/>
      <c r="I597" s="82">
        <f t="shared" si="346"/>
        <v>0</v>
      </c>
      <c r="J597" s="170">
        <f>I597*Summary!$H$4</f>
        <v>0</v>
      </c>
      <c r="K597" s="52"/>
      <c r="L597" s="56">
        <v>0</v>
      </c>
      <c r="M597" s="84">
        <f t="shared" si="344"/>
        <v>0</v>
      </c>
      <c r="N597" s="88">
        <f t="shared" si="345"/>
        <v>0</v>
      </c>
      <c r="Q597" s="349"/>
      <c r="R597" s="349"/>
    </row>
    <row r="598" spans="2:18" x14ac:dyDescent="0.25">
      <c r="B598" s="86"/>
      <c r="C598" s="10"/>
      <c r="G598" s="176"/>
      <c r="H598" s="52"/>
      <c r="I598" s="82"/>
      <c r="J598" s="170"/>
      <c r="K598" s="132"/>
      <c r="L598" s="132"/>
      <c r="M598" s="84"/>
      <c r="N598" s="167"/>
      <c r="Q598" s="349"/>
      <c r="R598" s="349"/>
    </row>
    <row r="599" spans="2:18" x14ac:dyDescent="0.25">
      <c r="B599" s="86" t="s">
        <v>855</v>
      </c>
      <c r="C599" s="538" t="s">
        <v>162</v>
      </c>
      <c r="G599" s="176"/>
      <c r="H599" s="52"/>
      <c r="I599" s="82"/>
      <c r="J599" s="170"/>
      <c r="K599" s="132"/>
      <c r="L599" s="132"/>
      <c r="M599" s="84"/>
      <c r="N599" s="167"/>
      <c r="Q599" s="349"/>
      <c r="R599" s="349"/>
    </row>
    <row r="600" spans="2:18" outlineLevel="1" x14ac:dyDescent="0.25">
      <c r="B600" s="175"/>
      <c r="C600" s="168" t="s">
        <v>24</v>
      </c>
      <c r="D600" s="11" t="s">
        <v>46</v>
      </c>
      <c r="E600" s="11" t="s">
        <v>46</v>
      </c>
      <c r="G600" s="169">
        <f>G283</f>
        <v>12.100000000000001</v>
      </c>
      <c r="H600" s="52" cm="1">
        <f t="array" ref="H600">IFERROR(INDEX(Table3[Labor rate], MATCH(1, (Table3[Material]='Fixture+Pipe Qty'!$C$599) * (Table3[Size]='Fixture+Pipe Qty'!$C600), 0)),0)</f>
        <v>3.7999999999999999E-2</v>
      </c>
      <c r="I600" s="82">
        <f t="shared" ref="I600:I601" si="347">(F600+G600)*H600</f>
        <v>0.45980000000000004</v>
      </c>
      <c r="J600" s="170">
        <f>I600*Summary!$H$4</f>
        <v>79.315500000000014</v>
      </c>
      <c r="K600" s="52"/>
      <c r="L600" s="56">
        <v>0</v>
      </c>
      <c r="M600" s="84">
        <f t="shared" ref="M600:M601" si="348">((F600+G600)*K600)+((F600+G600)*L600)</f>
        <v>0</v>
      </c>
      <c r="N600" s="88">
        <f t="shared" ref="N600:N601" si="349">M600+J600</f>
        <v>79.315500000000014</v>
      </c>
      <c r="Q600" s="349"/>
      <c r="R600" s="349"/>
    </row>
    <row r="601" spans="2:18" outlineLevel="1" x14ac:dyDescent="0.25">
      <c r="B601" s="86"/>
      <c r="C601" s="10" t="s">
        <v>25</v>
      </c>
      <c r="D601" s="11" t="s">
        <v>46</v>
      </c>
      <c r="E601" s="11" t="s">
        <v>46</v>
      </c>
      <c r="G601" s="169">
        <f>G284</f>
        <v>38.610000000000007</v>
      </c>
      <c r="H601" s="52" cm="1">
        <f t="array" ref="H601">IFERROR(INDEX(Table3[Labor rate], MATCH(1, (Table3[Material]='Fixture+Pipe Qty'!$C$599) * (Table3[Size]='Fixture+Pipe Qty'!$C601), 0)),0)</f>
        <v>0.04</v>
      </c>
      <c r="I601" s="82">
        <f t="shared" si="347"/>
        <v>1.5444000000000002</v>
      </c>
      <c r="J601" s="170">
        <f>I601*Summary!$H$4</f>
        <v>266.40900000000005</v>
      </c>
      <c r="K601" s="52"/>
      <c r="L601" s="56">
        <v>0</v>
      </c>
      <c r="M601" s="84">
        <f t="shared" si="348"/>
        <v>0</v>
      </c>
      <c r="N601" s="88">
        <f t="shared" si="349"/>
        <v>266.40900000000005</v>
      </c>
      <c r="Q601" s="349"/>
      <c r="R601" s="349"/>
    </row>
    <row r="602" spans="2:18" outlineLevel="1" x14ac:dyDescent="0.25">
      <c r="B602" s="86"/>
      <c r="C602" s="10"/>
      <c r="G602" s="169"/>
      <c r="H602" s="52"/>
      <c r="I602" s="82"/>
      <c r="J602" s="170"/>
      <c r="K602" s="52"/>
      <c r="L602" s="56"/>
      <c r="M602" s="84"/>
      <c r="N602" s="88"/>
      <c r="Q602" s="349"/>
      <c r="R602" s="349"/>
    </row>
    <row r="603" spans="2:18" outlineLevel="1" x14ac:dyDescent="0.25">
      <c r="B603" s="86"/>
      <c r="C603" s="10"/>
      <c r="G603" s="169"/>
      <c r="H603" s="52"/>
      <c r="I603" s="82"/>
      <c r="J603" s="170"/>
      <c r="K603" s="52"/>
      <c r="L603" s="56"/>
      <c r="M603" s="84"/>
      <c r="N603" s="88"/>
      <c r="Q603" s="349"/>
      <c r="R603" s="349"/>
    </row>
    <row r="604" spans="2:18" outlineLevel="1" x14ac:dyDescent="0.25">
      <c r="B604" s="86"/>
      <c r="C604" s="10"/>
      <c r="G604" s="169"/>
      <c r="H604" s="52"/>
      <c r="I604" s="82"/>
      <c r="J604" s="170"/>
      <c r="K604" s="52"/>
      <c r="L604" s="56"/>
      <c r="M604" s="84"/>
      <c r="N604" s="88"/>
      <c r="Q604" s="349"/>
      <c r="R604" s="349"/>
    </row>
    <row r="605" spans="2:18" s="43" customFormat="1" ht="15" customHeight="1" thickBot="1" x14ac:dyDescent="0.3">
      <c r="B605" s="133"/>
      <c r="C605" s="49"/>
      <c r="D605" s="11"/>
      <c r="E605" s="11"/>
      <c r="F605" s="110"/>
      <c r="H605" s="110"/>
      <c r="I605" s="159"/>
      <c r="J605" s="160"/>
      <c r="K605" s="161"/>
      <c r="L605" s="110"/>
      <c r="M605" s="162"/>
      <c r="N605" s="163"/>
      <c r="Q605" s="349"/>
      <c r="R605" s="349"/>
    </row>
    <row r="606" spans="2:18" x14ac:dyDescent="0.25">
      <c r="B606" s="405"/>
      <c r="C606" s="406" t="s">
        <v>478</v>
      </c>
      <c r="D606" s="407"/>
      <c r="E606" s="407"/>
      <c r="F606" s="408"/>
      <c r="G606" s="408">
        <f>SUM(G564:G605)</f>
        <v>942.92000000000007</v>
      </c>
      <c r="H606" s="408"/>
      <c r="I606" s="408">
        <f>SUM(I564:I605)</f>
        <v>36.734280000000005</v>
      </c>
      <c r="J606" s="409">
        <f>SUM(J564:J605)</f>
        <v>6336.6632999999983</v>
      </c>
      <c r="K606" s="408"/>
      <c r="L606" s="408"/>
      <c r="M606" s="409">
        <f>SUM(M564:M605)</f>
        <v>0</v>
      </c>
      <c r="N606" s="410"/>
      <c r="Q606" s="349"/>
      <c r="R606" s="349"/>
    </row>
    <row r="607" spans="2:18" x14ac:dyDescent="0.25">
      <c r="B607" s="86"/>
      <c r="C607" s="10"/>
      <c r="G607" s="169"/>
      <c r="H607" s="52"/>
      <c r="I607" s="82"/>
      <c r="J607" s="170"/>
      <c r="K607" s="132"/>
      <c r="L607" s="56"/>
      <c r="M607" s="84"/>
      <c r="N607" s="167"/>
      <c r="Q607" s="349"/>
      <c r="R607" s="349"/>
    </row>
    <row r="608" spans="2:18" x14ac:dyDescent="0.25">
      <c r="B608" s="402" t="s">
        <v>480</v>
      </c>
      <c r="C608" s="10"/>
      <c r="G608" s="169"/>
      <c r="H608" s="52"/>
      <c r="I608" s="82"/>
      <c r="J608" s="170"/>
      <c r="K608" s="132"/>
      <c r="L608" s="56"/>
      <c r="M608" s="84"/>
      <c r="N608" s="167"/>
      <c r="Q608" s="349"/>
      <c r="R608" s="349"/>
    </row>
    <row r="609" spans="2:18" x14ac:dyDescent="0.25">
      <c r="B609" s="86"/>
      <c r="C609" s="10"/>
      <c r="G609" s="169"/>
      <c r="H609" s="52"/>
      <c r="I609" s="82"/>
      <c r="J609" s="170"/>
      <c r="K609" s="132"/>
      <c r="L609" s="56"/>
      <c r="M609" s="84"/>
      <c r="N609" s="167"/>
      <c r="Q609" s="349"/>
      <c r="R609" s="349"/>
    </row>
    <row r="610" spans="2:18" x14ac:dyDescent="0.25">
      <c r="B610" s="86" t="s">
        <v>480</v>
      </c>
      <c r="C610" s="538"/>
      <c r="G610" s="176"/>
      <c r="H610" s="52"/>
      <c r="I610" s="82"/>
      <c r="J610" s="170"/>
      <c r="K610" s="132"/>
      <c r="L610" s="132"/>
      <c r="M610" s="84"/>
      <c r="N610" s="167"/>
      <c r="Q610" s="349"/>
      <c r="R610" s="349"/>
    </row>
    <row r="611" spans="2:18" hidden="1" outlineLevel="1" x14ac:dyDescent="0.25">
      <c r="B611" s="175"/>
      <c r="C611" s="168" t="str">
        <f t="shared" ref="C611:C616" si="350">C480</f>
        <v>1-1/2"</v>
      </c>
      <c r="D611" s="11" t="s">
        <v>46</v>
      </c>
      <c r="E611" s="11" t="s">
        <v>46</v>
      </c>
      <c r="G611" s="169">
        <f t="shared" ref="G611:G616" si="351">G480</f>
        <v>0</v>
      </c>
      <c r="H611" s="52" cm="1">
        <f t="array" ref="H611">IFERROR(INDEX(Table3[Labor rate], MATCH(1, (Table3[Material]='Fixture+Pipe Qty'!$C$610) * (Table3[Size]='Fixture+Pipe Qty'!$C611), 0)),0)</f>
        <v>0</v>
      </c>
      <c r="I611" s="82">
        <f t="shared" ref="I611" si="352">(F611+G611)*H611</f>
        <v>0</v>
      </c>
      <c r="J611" s="170">
        <f>I611*Summary!$H$4</f>
        <v>0</v>
      </c>
      <c r="K611" s="52" cm="1">
        <f t="array" ref="K611">IFERROR(INDEX(Table3[Material Cost], MATCH(1, (Table3[Material]='Fixture+Pipe Qty'!$C$610) * (Table3[Size]='Fixture+Pipe Qty'!$C611), 0)),0)</f>
        <v>0</v>
      </c>
      <c r="L611" s="56">
        <v>0</v>
      </c>
      <c r="M611" s="84">
        <f t="shared" ref="M611" si="353">((F611+G611)*K611)+((F611+G611)*L611)</f>
        <v>0</v>
      </c>
      <c r="N611" s="88">
        <f t="shared" ref="N611" si="354">M611+J611</f>
        <v>0</v>
      </c>
      <c r="Q611" s="349"/>
      <c r="R611" s="349"/>
    </row>
    <row r="612" spans="2:18" hidden="1" outlineLevel="1" x14ac:dyDescent="0.25">
      <c r="B612" s="86"/>
      <c r="C612" s="168" t="str">
        <f t="shared" si="350"/>
        <v>2"</v>
      </c>
      <c r="D612" s="11" t="s">
        <v>46</v>
      </c>
      <c r="E612" s="11" t="s">
        <v>46</v>
      </c>
      <c r="G612" s="169">
        <f t="shared" si="351"/>
        <v>0</v>
      </c>
      <c r="H612" s="52" cm="1">
        <f t="array" ref="H612">IFERROR(INDEX(Table3[Labor rate], MATCH(1, (Table3[Material]='Fixture+Pipe Qty'!$C$610) * (Table3[Size]='Fixture+Pipe Qty'!$C612), 0)),0)</f>
        <v>0</v>
      </c>
      <c r="I612" s="82">
        <f t="shared" ref="I612:I616" si="355">(F612+G612)*H612</f>
        <v>0</v>
      </c>
      <c r="J612" s="170">
        <f>I612*Summary!$H$4</f>
        <v>0</v>
      </c>
      <c r="K612" s="52" cm="1">
        <f t="array" ref="K612">IFERROR(INDEX(Table3[Material Cost], MATCH(1, (Table3[Material]='Fixture+Pipe Qty'!$C$610) * (Table3[Size]='Fixture+Pipe Qty'!$C612), 0)),0)</f>
        <v>0</v>
      </c>
      <c r="L612" s="56">
        <v>0</v>
      </c>
      <c r="M612" s="84">
        <f t="shared" ref="M612:M616" si="356">((F612+G612)*K612)+((F612+G612)*L612)</f>
        <v>0</v>
      </c>
      <c r="N612" s="88">
        <f t="shared" ref="N612:N616" si="357">M612+J612</f>
        <v>0</v>
      </c>
      <c r="Q612" s="349"/>
      <c r="R612" s="349"/>
    </row>
    <row r="613" spans="2:18" hidden="1" outlineLevel="1" x14ac:dyDescent="0.25">
      <c r="B613" s="86"/>
      <c r="C613" s="168" t="str">
        <f t="shared" si="350"/>
        <v>3"</v>
      </c>
      <c r="D613" s="11" t="s">
        <v>46</v>
      </c>
      <c r="E613" s="11" t="s">
        <v>46</v>
      </c>
      <c r="G613" s="169">
        <f t="shared" si="351"/>
        <v>0</v>
      </c>
      <c r="H613" s="52" cm="1">
        <f t="array" ref="H613">IFERROR(INDEX(Table3[Labor rate], MATCH(1, (Table3[Material]='Fixture+Pipe Qty'!$C$610) * (Table3[Size]='Fixture+Pipe Qty'!$C613), 0)),0)</f>
        <v>0</v>
      </c>
      <c r="I613" s="82">
        <f t="shared" si="355"/>
        <v>0</v>
      </c>
      <c r="J613" s="170">
        <f>I613*Summary!$H$4</f>
        <v>0</v>
      </c>
      <c r="K613" s="52" cm="1">
        <f t="array" ref="K613">IFERROR(INDEX(Table3[Material Cost], MATCH(1, (Table3[Material]='Fixture+Pipe Qty'!$C$610) * (Table3[Size]='Fixture+Pipe Qty'!$C613), 0)),0)</f>
        <v>0</v>
      </c>
      <c r="L613" s="56">
        <v>0</v>
      </c>
      <c r="M613" s="84">
        <f t="shared" si="356"/>
        <v>0</v>
      </c>
      <c r="N613" s="88">
        <f t="shared" si="357"/>
        <v>0</v>
      </c>
      <c r="Q613" s="349"/>
      <c r="R613" s="349"/>
    </row>
    <row r="614" spans="2:18" hidden="1" outlineLevel="1" x14ac:dyDescent="0.25">
      <c r="B614" s="86"/>
      <c r="C614" s="168" t="str">
        <f t="shared" si="350"/>
        <v>4"</v>
      </c>
      <c r="D614" s="11" t="s">
        <v>46</v>
      </c>
      <c r="E614" s="11" t="s">
        <v>46</v>
      </c>
      <c r="G614" s="169">
        <f t="shared" si="351"/>
        <v>0</v>
      </c>
      <c r="H614" s="52" cm="1">
        <f t="array" ref="H614">IFERROR(INDEX(Table3[Labor rate], MATCH(1, (Table3[Material]='Fixture+Pipe Qty'!$C$610) * (Table3[Size]='Fixture+Pipe Qty'!$C614), 0)),0)</f>
        <v>0</v>
      </c>
      <c r="I614" s="82">
        <f t="shared" si="355"/>
        <v>0</v>
      </c>
      <c r="J614" s="170">
        <f>I614*Summary!$H$4</f>
        <v>0</v>
      </c>
      <c r="K614" s="52" cm="1">
        <f t="array" ref="K614">IFERROR(INDEX(Table3[Material Cost], MATCH(1, (Table3[Material]='Fixture+Pipe Qty'!$C$610) * (Table3[Size]='Fixture+Pipe Qty'!$C614), 0)),0)</f>
        <v>0</v>
      </c>
      <c r="L614" s="56">
        <v>0</v>
      </c>
      <c r="M614" s="84">
        <f t="shared" si="356"/>
        <v>0</v>
      </c>
      <c r="N614" s="88">
        <f t="shared" si="357"/>
        <v>0</v>
      </c>
      <c r="Q614" s="349"/>
      <c r="R614" s="349"/>
    </row>
    <row r="615" spans="2:18" hidden="1" outlineLevel="1" x14ac:dyDescent="0.25">
      <c r="B615" s="86"/>
      <c r="C615" s="168" t="str">
        <f t="shared" si="350"/>
        <v>6"</v>
      </c>
      <c r="D615" s="11" t="s">
        <v>46</v>
      </c>
      <c r="E615" s="11" t="s">
        <v>46</v>
      </c>
      <c r="G615" s="169">
        <f t="shared" si="351"/>
        <v>0</v>
      </c>
      <c r="H615" s="52" cm="1">
        <f t="array" ref="H615">IFERROR(INDEX(Table3[Labor rate], MATCH(1, (Table3[Material]='Fixture+Pipe Qty'!$C$610) * (Table3[Size]='Fixture+Pipe Qty'!$C615), 0)),0)</f>
        <v>0</v>
      </c>
      <c r="I615" s="82">
        <f t="shared" si="355"/>
        <v>0</v>
      </c>
      <c r="J615" s="170">
        <f>I615*Summary!$H$4</f>
        <v>0</v>
      </c>
      <c r="K615" s="52" cm="1">
        <f t="array" ref="K615">IFERROR(INDEX(Table3[Material Cost], MATCH(1, (Table3[Material]='Fixture+Pipe Qty'!$C$610) * (Table3[Size]='Fixture+Pipe Qty'!$C615), 0)),0)</f>
        <v>0</v>
      </c>
      <c r="L615" s="56">
        <v>0</v>
      </c>
      <c r="M615" s="84">
        <f t="shared" si="356"/>
        <v>0</v>
      </c>
      <c r="N615" s="88">
        <f t="shared" si="357"/>
        <v>0</v>
      </c>
      <c r="Q615" s="349"/>
      <c r="R615" s="349"/>
    </row>
    <row r="616" spans="2:18" hidden="1" outlineLevel="1" x14ac:dyDescent="0.25">
      <c r="B616" s="86"/>
      <c r="C616" s="168" t="str">
        <f t="shared" si="350"/>
        <v>8"</v>
      </c>
      <c r="D616" s="11" t="s">
        <v>46</v>
      </c>
      <c r="E616" s="11" t="s">
        <v>46</v>
      </c>
      <c r="G616" s="169">
        <f t="shared" si="351"/>
        <v>0</v>
      </c>
      <c r="H616" s="52" cm="1">
        <f t="array" ref="H616">IFERROR(INDEX(Table3[Labor rate], MATCH(1, (Table3[Material]='Fixture+Pipe Qty'!$C$610) * (Table3[Size]='Fixture+Pipe Qty'!$C616), 0)),0)</f>
        <v>0</v>
      </c>
      <c r="I616" s="82">
        <f t="shared" si="355"/>
        <v>0</v>
      </c>
      <c r="J616" s="170">
        <f>I616*Summary!$H$4</f>
        <v>0</v>
      </c>
      <c r="K616" s="52" cm="1">
        <f t="array" ref="K616">IFERROR(INDEX(Table3[Material Cost], MATCH(1, (Table3[Material]='Fixture+Pipe Qty'!$C$610) * (Table3[Size]='Fixture+Pipe Qty'!$C616), 0)),0)</f>
        <v>0</v>
      </c>
      <c r="L616" s="56">
        <v>0</v>
      </c>
      <c r="M616" s="84">
        <f t="shared" si="356"/>
        <v>0</v>
      </c>
      <c r="N616" s="88">
        <f t="shared" si="357"/>
        <v>0</v>
      </c>
      <c r="Q616" s="349"/>
      <c r="R616" s="349"/>
    </row>
    <row r="617" spans="2:18" ht="15.75" collapsed="1" thickBot="1" x14ac:dyDescent="0.3">
      <c r="B617" s="86"/>
      <c r="C617" s="168"/>
      <c r="G617" s="169"/>
      <c r="H617" s="52"/>
      <c r="I617" s="82"/>
      <c r="J617" s="170"/>
      <c r="K617" s="52"/>
      <c r="L617" s="56"/>
      <c r="M617" s="84"/>
      <c r="N617" s="88"/>
      <c r="Q617" s="349"/>
      <c r="R617" s="349"/>
    </row>
    <row r="618" spans="2:18" x14ac:dyDescent="0.25">
      <c r="B618" s="405"/>
      <c r="C618" s="406" t="s">
        <v>517</v>
      </c>
      <c r="D618" s="407"/>
      <c r="E618" s="407"/>
      <c r="F618" s="408"/>
      <c r="G618" s="408">
        <f>SUM(G607:G617)</f>
        <v>0</v>
      </c>
      <c r="H618" s="408"/>
      <c r="I618" s="408">
        <f>SUM(I607:I617)</f>
        <v>0</v>
      </c>
      <c r="J618" s="409">
        <f>SUM(J607:J617)</f>
        <v>0</v>
      </c>
      <c r="K618" s="408"/>
      <c r="L618" s="408"/>
      <c r="M618" s="409">
        <f>SUM(M607:M617)</f>
        <v>0</v>
      </c>
      <c r="N618" s="410"/>
      <c r="Q618" s="349"/>
      <c r="R618" s="349"/>
    </row>
    <row r="619" spans="2:18" x14ac:dyDescent="0.25">
      <c r="B619" s="86"/>
      <c r="C619" s="10"/>
      <c r="G619" s="169"/>
      <c r="H619" s="52"/>
      <c r="I619" s="82"/>
      <c r="J619" s="170"/>
      <c r="K619" s="132"/>
      <c r="L619" s="56"/>
      <c r="M619" s="84"/>
      <c r="N619" s="167"/>
      <c r="Q619" s="349"/>
      <c r="R619" s="349"/>
    </row>
    <row r="620" spans="2:18" x14ac:dyDescent="0.25">
      <c r="B620" s="402" t="s">
        <v>565</v>
      </c>
      <c r="C620" s="10"/>
      <c r="G620" s="169"/>
      <c r="H620" s="52"/>
      <c r="I620" s="82"/>
      <c r="J620" s="170"/>
      <c r="K620" s="132"/>
      <c r="L620" s="56"/>
      <c r="M620" s="84"/>
      <c r="N620" s="167"/>
      <c r="Q620" s="349"/>
      <c r="R620" s="349"/>
    </row>
    <row r="621" spans="2:18" x14ac:dyDescent="0.25">
      <c r="B621" s="86"/>
      <c r="C621" s="10"/>
      <c r="G621" s="169"/>
      <c r="H621" s="52"/>
      <c r="I621" s="82"/>
      <c r="J621" s="170"/>
      <c r="K621" s="132"/>
      <c r="L621" s="56"/>
      <c r="M621" s="84"/>
      <c r="N621" s="167"/>
      <c r="Q621" s="349"/>
      <c r="R621" s="349"/>
    </row>
    <row r="622" spans="2:18" x14ac:dyDescent="0.25">
      <c r="B622" s="86" t="s">
        <v>565</v>
      </c>
      <c r="C622" s="538"/>
      <c r="G622" s="176"/>
      <c r="H622" s="52"/>
      <c r="I622" s="82"/>
      <c r="J622" s="170"/>
      <c r="K622" s="132"/>
      <c r="L622" s="132"/>
      <c r="M622" s="84"/>
      <c r="N622" s="167"/>
      <c r="Q622" s="349"/>
      <c r="R622" s="349"/>
    </row>
    <row r="623" spans="2:18" hidden="1" outlineLevel="1" x14ac:dyDescent="0.25">
      <c r="B623" s="175"/>
      <c r="C623" s="168" t="str">
        <f t="shared" ref="C623:C628" si="358">C493</f>
        <v>5/8"</v>
      </c>
      <c r="D623" s="11" t="s">
        <v>46</v>
      </c>
      <c r="E623" s="11" t="s">
        <v>46</v>
      </c>
      <c r="G623" s="169"/>
      <c r="H623" s="52"/>
      <c r="I623" s="82">
        <f t="shared" ref="I623:I628" si="359">(F623+G623)*H623</f>
        <v>0</v>
      </c>
      <c r="J623" s="170">
        <f>I623*Summary!$H$4</f>
        <v>0</v>
      </c>
      <c r="K623" s="52"/>
      <c r="L623" s="56">
        <v>0</v>
      </c>
      <c r="M623" s="84">
        <f t="shared" ref="M623:M628" si="360">((F623+G623)*K623)+((F623+G623)*L623)</f>
        <v>0</v>
      </c>
      <c r="N623" s="88">
        <f t="shared" ref="N623:N628" si="361">M623+J623</f>
        <v>0</v>
      </c>
      <c r="Q623" s="349"/>
      <c r="R623" s="349"/>
    </row>
    <row r="624" spans="2:18" hidden="1" outlineLevel="1" x14ac:dyDescent="0.25">
      <c r="B624" s="86"/>
      <c r="C624" s="168" t="str">
        <f t="shared" si="358"/>
        <v>3/4"</v>
      </c>
      <c r="D624" s="11" t="s">
        <v>46</v>
      </c>
      <c r="E624" s="11" t="s">
        <v>46</v>
      </c>
      <c r="G624" s="169"/>
      <c r="H624" s="52"/>
      <c r="I624" s="82">
        <f t="shared" ref="I624:I627" si="362">(F624+G624)*H624</f>
        <v>0</v>
      </c>
      <c r="J624" s="170">
        <f>I624*Summary!$H$4</f>
        <v>0</v>
      </c>
      <c r="K624" s="52"/>
      <c r="L624" s="56">
        <v>0</v>
      </c>
      <c r="M624" s="84">
        <f t="shared" si="360"/>
        <v>0</v>
      </c>
      <c r="N624" s="88">
        <f t="shared" si="361"/>
        <v>0</v>
      </c>
      <c r="Q624" s="349"/>
      <c r="R624" s="349"/>
    </row>
    <row r="625" spans="2:18" hidden="1" outlineLevel="1" x14ac:dyDescent="0.25">
      <c r="B625" s="86"/>
      <c r="C625" s="168" t="str">
        <f t="shared" si="358"/>
        <v>1"</v>
      </c>
      <c r="D625" s="11" t="s">
        <v>46</v>
      </c>
      <c r="E625" s="11" t="s">
        <v>46</v>
      </c>
      <c r="G625" s="169"/>
      <c r="H625" s="52"/>
      <c r="I625" s="82">
        <f t="shared" si="362"/>
        <v>0</v>
      </c>
      <c r="J625" s="170">
        <f>I625*Summary!$H$4</f>
        <v>0</v>
      </c>
      <c r="K625" s="52"/>
      <c r="L625" s="56">
        <v>0</v>
      </c>
      <c r="M625" s="84">
        <f t="shared" si="360"/>
        <v>0</v>
      </c>
      <c r="N625" s="88">
        <f t="shared" si="361"/>
        <v>0</v>
      </c>
      <c r="Q625" s="349"/>
      <c r="R625" s="349"/>
    </row>
    <row r="626" spans="2:18" hidden="1" outlineLevel="1" x14ac:dyDescent="0.25">
      <c r="B626" s="86"/>
      <c r="C626" s="168" t="str">
        <f t="shared" si="358"/>
        <v>1-1/2"</v>
      </c>
      <c r="D626" s="11" t="s">
        <v>46</v>
      </c>
      <c r="E626" s="11" t="s">
        <v>46</v>
      </c>
      <c r="G626" s="169"/>
      <c r="H626" s="52"/>
      <c r="I626" s="82">
        <f t="shared" si="362"/>
        <v>0</v>
      </c>
      <c r="J626" s="170">
        <f>I626*Summary!$H$4</f>
        <v>0</v>
      </c>
      <c r="K626" s="52"/>
      <c r="L626" s="56">
        <v>0</v>
      </c>
      <c r="M626" s="84">
        <f t="shared" si="360"/>
        <v>0</v>
      </c>
      <c r="N626" s="88">
        <f t="shared" si="361"/>
        <v>0</v>
      </c>
      <c r="Q626" s="349"/>
      <c r="R626" s="349"/>
    </row>
    <row r="627" spans="2:18" hidden="1" outlineLevel="1" x14ac:dyDescent="0.25">
      <c r="B627" s="86"/>
      <c r="C627" s="168" t="str">
        <f t="shared" si="358"/>
        <v>2"</v>
      </c>
      <c r="D627" s="11" t="s">
        <v>46</v>
      </c>
      <c r="E627" s="11" t="s">
        <v>46</v>
      </c>
      <c r="G627" s="169">
        <f>G497</f>
        <v>0</v>
      </c>
      <c r="H627" s="52" cm="1">
        <f t="array" ref="H627">IFERROR(INDEX(Table3[Labor rate], MATCH(1, (Table3[Material]='Fixture+Pipe Qty'!$C$622) * (Table3[Size]='Fixture+Pipe Qty'!$C627), 0)),0)</f>
        <v>0</v>
      </c>
      <c r="I627" s="82">
        <f t="shared" si="362"/>
        <v>0</v>
      </c>
      <c r="J627" s="170">
        <f>I627*Summary!$H$4</f>
        <v>0</v>
      </c>
      <c r="K627" s="52"/>
      <c r="L627" s="56">
        <v>0</v>
      </c>
      <c r="M627" s="84">
        <f t="shared" si="360"/>
        <v>0</v>
      </c>
      <c r="N627" s="88">
        <f t="shared" si="361"/>
        <v>0</v>
      </c>
      <c r="Q627" s="349"/>
      <c r="R627" s="349"/>
    </row>
    <row r="628" spans="2:18" hidden="1" outlineLevel="1" x14ac:dyDescent="0.25">
      <c r="B628" s="86"/>
      <c r="C628" s="168" t="str">
        <f t="shared" si="358"/>
        <v>3"</v>
      </c>
      <c r="D628" s="11" t="s">
        <v>46</v>
      </c>
      <c r="E628" s="11" t="s">
        <v>46</v>
      </c>
      <c r="G628" s="169">
        <f>G498</f>
        <v>0</v>
      </c>
      <c r="H628" s="52" cm="1">
        <f t="array" ref="H628">IFERROR(INDEX(Table3[Labor rate], MATCH(1, (Table3[Material]='Fixture+Pipe Qty'!$C$610) * (Table3[Size]='Fixture+Pipe Qty'!$C628), 0)),0)</f>
        <v>0</v>
      </c>
      <c r="I628" s="82">
        <f t="shared" si="359"/>
        <v>0</v>
      </c>
      <c r="J628" s="170">
        <f>I628*Summary!$H$4</f>
        <v>0</v>
      </c>
      <c r="K628" s="52"/>
      <c r="L628" s="56">
        <v>0</v>
      </c>
      <c r="M628" s="84">
        <f t="shared" si="360"/>
        <v>0</v>
      </c>
      <c r="N628" s="88">
        <f t="shared" si="361"/>
        <v>0</v>
      </c>
      <c r="Q628" s="349"/>
      <c r="R628" s="349"/>
    </row>
    <row r="629" spans="2:18" ht="15.75" collapsed="1" thickBot="1" x14ac:dyDescent="0.3">
      <c r="B629" s="86"/>
      <c r="C629" s="168"/>
      <c r="G629" s="169"/>
      <c r="H629" s="52"/>
      <c r="I629" s="82"/>
      <c r="J629" s="170"/>
      <c r="K629" s="52"/>
      <c r="L629" s="56"/>
      <c r="M629" s="84"/>
      <c r="N629" s="88"/>
      <c r="Q629" s="349"/>
      <c r="R629" s="349"/>
    </row>
    <row r="630" spans="2:18" x14ac:dyDescent="0.25">
      <c r="B630" s="405"/>
      <c r="C630" s="406" t="s">
        <v>566</v>
      </c>
      <c r="D630" s="407"/>
      <c r="E630" s="407"/>
      <c r="F630" s="408"/>
      <c r="G630" s="408">
        <f>SUM(G619:G629)</f>
        <v>0</v>
      </c>
      <c r="H630" s="408"/>
      <c r="I630" s="408">
        <f>SUM(I619:I629)</f>
        <v>0</v>
      </c>
      <c r="J630" s="409">
        <f>SUM(J619:J629)</f>
        <v>0</v>
      </c>
      <c r="K630" s="408"/>
      <c r="L630" s="408"/>
      <c r="M630" s="409">
        <f>SUM(M619:M629)</f>
        <v>0</v>
      </c>
      <c r="N630" s="410"/>
      <c r="Q630" s="349"/>
      <c r="R630" s="349"/>
    </row>
    <row r="631" spans="2:18" x14ac:dyDescent="0.25">
      <c r="B631" s="86"/>
      <c r="C631" s="10"/>
      <c r="G631" s="169"/>
      <c r="I631" s="82"/>
      <c r="J631" s="170"/>
      <c r="K631" s="56"/>
      <c r="L631" s="56"/>
      <c r="M631" s="84"/>
      <c r="N631" s="167"/>
      <c r="Q631" s="349"/>
      <c r="R631" s="349"/>
    </row>
    <row r="632" spans="2:18" x14ac:dyDescent="0.25">
      <c r="B632" s="86"/>
      <c r="C632" s="10"/>
      <c r="G632" s="169"/>
      <c r="I632" s="82"/>
      <c r="J632" s="170"/>
      <c r="K632" s="56"/>
      <c r="L632" s="56"/>
      <c r="M632" s="84"/>
      <c r="N632" s="167"/>
      <c r="Q632" s="349"/>
      <c r="R632" s="349"/>
    </row>
    <row r="633" spans="2:18" ht="15.75" thickBot="1" x14ac:dyDescent="0.3">
      <c r="B633" s="86"/>
      <c r="C633" s="10"/>
      <c r="G633" s="169"/>
      <c r="I633" s="82"/>
      <c r="J633" s="170"/>
      <c r="K633" s="56"/>
      <c r="L633" s="56"/>
      <c r="M633" s="84"/>
      <c r="N633" s="167"/>
      <c r="Q633" s="349"/>
      <c r="R633" s="349"/>
    </row>
    <row r="634" spans="2:18" s="1" customFormat="1" ht="15.75" thickBot="1" x14ac:dyDescent="0.3">
      <c r="B634" s="179"/>
      <c r="C634" s="180" t="s">
        <v>518</v>
      </c>
      <c r="D634" s="191"/>
      <c r="E634" s="191"/>
      <c r="F634" s="204"/>
      <c r="G634" s="205">
        <f>G618+G606+G630</f>
        <v>942.92000000000007</v>
      </c>
      <c r="H634" s="191"/>
      <c r="I634" s="205">
        <f>I618+I606+I630</f>
        <v>36.734280000000005</v>
      </c>
      <c r="J634" s="206">
        <f>J618+J606+J630</f>
        <v>6336.6632999999983</v>
      </c>
      <c r="K634" s="181"/>
      <c r="L634" s="180"/>
      <c r="M634" s="206">
        <f>M618+M606+M630</f>
        <v>0</v>
      </c>
      <c r="N634" s="178"/>
      <c r="O634" s="139">
        <f>SUM(N563:N633)</f>
        <v>6336.6632999999983</v>
      </c>
      <c r="P634" s="481" t="str">
        <f>IF(O634=(M634+J634), "GOOD", "ERROR RECHECK")</f>
        <v>GOOD</v>
      </c>
      <c r="Q634" s="349"/>
      <c r="R634" s="349"/>
    </row>
    <row r="635" spans="2:18" x14ac:dyDescent="0.25">
      <c r="D635"/>
      <c r="E635"/>
      <c r="F635" s="152"/>
      <c r="G635" s="55"/>
      <c r="H635" s="55"/>
      <c r="I635" s="55"/>
      <c r="J635" s="55"/>
      <c r="K635" s="55"/>
      <c r="L635" s="55"/>
      <c r="M635" s="55"/>
      <c r="O635" s="151"/>
      <c r="Q635" s="349"/>
      <c r="R635" s="349"/>
    </row>
    <row r="636" spans="2:18" x14ac:dyDescent="0.25">
      <c r="D636"/>
      <c r="E636"/>
      <c r="F636" s="152"/>
      <c r="G636" s="55"/>
      <c r="H636" s="55"/>
      <c r="I636" s="55"/>
      <c r="J636" s="55"/>
      <c r="K636" s="55"/>
      <c r="L636" s="55"/>
      <c r="M636" s="55"/>
      <c r="O636" s="151"/>
      <c r="Q636" s="349"/>
      <c r="R636" s="349"/>
    </row>
    <row r="637" spans="2:18" ht="15.75" thickBot="1" x14ac:dyDescent="0.3">
      <c r="B637" s="135"/>
      <c r="C637" s="135"/>
      <c r="D637" s="135"/>
      <c r="E637" s="135"/>
      <c r="F637" s="482"/>
      <c r="G637" s="483"/>
      <c r="H637" s="483"/>
      <c r="I637" s="483"/>
      <c r="J637" s="483"/>
      <c r="K637" s="483"/>
      <c r="L637" s="483"/>
      <c r="M637" s="483"/>
      <c r="N637" s="135"/>
      <c r="O637" s="151"/>
      <c r="Q637" s="349"/>
      <c r="R637" s="349"/>
    </row>
    <row r="638" spans="2:18" x14ac:dyDescent="0.25">
      <c r="B638" s="86"/>
      <c r="D638"/>
      <c r="E638"/>
      <c r="F638" s="152"/>
      <c r="G638" s="55"/>
      <c r="H638" s="55"/>
      <c r="I638" s="55"/>
      <c r="J638" s="55"/>
      <c r="K638" s="55"/>
      <c r="L638" s="55"/>
      <c r="M638" s="55"/>
      <c r="N638" s="87"/>
      <c r="O638" s="151"/>
      <c r="Q638" s="349"/>
      <c r="R638" s="349"/>
    </row>
    <row r="639" spans="2:18" ht="21" x14ac:dyDescent="0.25">
      <c r="B639" s="144" t="s">
        <v>107</v>
      </c>
      <c r="F639" s="11"/>
      <c r="G639" s="143"/>
      <c r="H639" s="147"/>
      <c r="I639" s="82"/>
      <c r="J639" s="51"/>
      <c r="K639" s="148"/>
      <c r="L639" s="56"/>
      <c r="M639" s="84"/>
      <c r="N639" s="88"/>
      <c r="Q639" s="349"/>
      <c r="R639" s="349"/>
    </row>
    <row r="640" spans="2:18" x14ac:dyDescent="0.25">
      <c r="B640" s="86" t="s">
        <v>110</v>
      </c>
      <c r="C640" t="s">
        <v>115</v>
      </c>
      <c r="E640" s="11" t="s">
        <v>46</v>
      </c>
      <c r="F640" s="11"/>
      <c r="G640" s="143"/>
      <c r="H640" s="147"/>
      <c r="I640" s="82"/>
      <c r="J640" s="51">
        <f>I640*Summary!$H$4</f>
        <v>0</v>
      </c>
      <c r="K640" s="53">
        <v>0</v>
      </c>
      <c r="L640" s="56">
        <v>0</v>
      </c>
      <c r="M640" s="84">
        <f>((F640+G640)*K640)+((F640+G640)*L640)</f>
        <v>0</v>
      </c>
      <c r="N640" s="88">
        <f>M640+J640</f>
        <v>0</v>
      </c>
      <c r="Q640" s="349"/>
      <c r="R640" s="349"/>
    </row>
    <row r="641" spans="2:18" ht="15.75" thickBot="1" x14ac:dyDescent="0.3">
      <c r="B641" s="86"/>
      <c r="F641" s="11"/>
      <c r="G641" s="143"/>
      <c r="H641" s="147"/>
      <c r="I641" s="82"/>
      <c r="J641" s="51"/>
      <c r="K641" s="53"/>
      <c r="L641" s="56"/>
      <c r="M641" s="84"/>
      <c r="N641" s="88"/>
      <c r="Q641" s="349"/>
      <c r="R641" s="349"/>
    </row>
    <row r="642" spans="2:18" ht="15.75" thickBot="1" x14ac:dyDescent="0.3">
      <c r="B642" s="179"/>
      <c r="C642" s="180"/>
      <c r="D642" s="182"/>
      <c r="E642" s="182"/>
      <c r="F642" s="182"/>
      <c r="G642" s="183"/>
      <c r="H642" s="182"/>
      <c r="I642" s="184">
        <f>SUM(I640:I641)</f>
        <v>0</v>
      </c>
      <c r="J642" s="141">
        <f>SUM(J640:J641)</f>
        <v>0</v>
      </c>
      <c r="K642" s="182"/>
      <c r="L642" s="182"/>
      <c r="M642" s="141">
        <f>SUM(M640:M641)</f>
        <v>0</v>
      </c>
      <c r="N642" s="140"/>
      <c r="O642" s="139">
        <f>SUM(N640:N641)</f>
        <v>0</v>
      </c>
      <c r="P642" s="481" t="str">
        <f>IF(O642=(M642+J642), "GOOD", "ERROR RECHECK")</f>
        <v>GOOD</v>
      </c>
      <c r="Q642" s="10"/>
      <c r="R642" s="349"/>
    </row>
    <row r="643" spans="2:18" x14ac:dyDescent="0.25">
      <c r="O643" s="14">
        <f>SUM(O8:O642)</f>
        <v>57518.953724999999</v>
      </c>
      <c r="Q643" s="10"/>
      <c r="R643" s="349"/>
    </row>
    <row r="644" spans="2:18" x14ac:dyDescent="0.25">
      <c r="Q644" s="10"/>
      <c r="R644" s="348"/>
    </row>
    <row r="645" spans="2:18" x14ac:dyDescent="0.25">
      <c r="H645" t="s">
        <v>116</v>
      </c>
      <c r="I645" s="108">
        <f>(G558/10)</f>
        <v>142.18600000000001</v>
      </c>
    </row>
    <row r="646" spans="2:18" x14ac:dyDescent="0.25">
      <c r="H646" t="s">
        <v>118</v>
      </c>
      <c r="I646" s="108">
        <f>I640/8</f>
        <v>0</v>
      </c>
    </row>
    <row r="647" spans="2:18" x14ac:dyDescent="0.25">
      <c r="H647" t="s">
        <v>117</v>
      </c>
      <c r="I647" t="e">
        <f>I645/I646</f>
        <v>#DIV/0!</v>
      </c>
    </row>
    <row r="650" spans="2:18" ht="21" x14ac:dyDescent="0.35">
      <c r="J650" s="108">
        <f>SUM(J13:J642)-J76-J141-J159-J172-J199-J209-J242-J288-J387-J443-J488-J558-J606-J618-J634-J642-J630-J545-J501-J358-J427-J475-J515-J530-J553-J219-J229-J239</f>
        <v>59019.703724999941</v>
      </c>
      <c r="M650" s="108">
        <f>SUM(M13:M642)-M76-M141-M159-M172-M199-M209-M242-M288-M387-M443-M488-M558-M606-M618-M634-M642-M630-M545-M501-M219-M229-M239-M358-M427-M475-M515-M530-M553</f>
        <v>0</v>
      </c>
      <c r="Q650" s="356" t="str">
        <f>IF(O643=(J650+M650), "GOOD", "ERROR")</f>
        <v>ERROR</v>
      </c>
    </row>
  </sheetData>
  <phoneticPr fontId="43" type="noConversion"/>
  <dataValidations count="2">
    <dataValidation type="list" allowBlank="1" showInputMessage="1" showErrorMessage="1" sqref="C610" xr:uid="{00000000-0002-0000-0500-000001000000}">
      <formula1>$B$371:$B$378</formula1>
    </dataValidation>
    <dataValidation type="list" allowBlank="1" showInputMessage="1" showErrorMessage="1" sqref="C519 C479" xr:uid="{00000000-0002-0000-0500-000000000000}">
      <formula1>$B$266:$B$366</formula1>
    </dataValidation>
  </dataValidations>
  <hyperlinks>
    <hyperlink ref="S64" r:id="rId1" xr:uid="{6721CE80-649A-4512-ABB6-864528E98B9F}"/>
  </hyperlinks>
  <pageMargins left="0.7" right="0.7" top="0.75" bottom="0.75" header="0.3" footer="0.3"/>
  <pageSetup scale="25" orientation="portrait" horizontalDpi="1200" verticalDpi="1200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2000000}">
          <x14:formula1>
            <xm:f>'Fixtures + Piping computation'!$B$310:$B$337</xm:f>
          </x14:formula1>
          <xm:sqref>C249 C431 C378 C370 C362 C271 C260 C282 C534 C492 C541 C392 C420 C448</xm:sqref>
        </x14:dataValidation>
        <x14:dataValidation type="list" allowBlank="1" showInputMessage="1" showErrorMessage="1" xr:uid="{00000000-0002-0000-0500-000003000000}">
          <x14:formula1>
            <xm:f>'Fixtures + Piping computation'!$B$342:$B$349</xm:f>
          </x14:formula1>
          <xm:sqref>C566 C588 C577 C599 C622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B2:DC349"/>
  <sheetViews>
    <sheetView topLeftCell="A7" zoomScaleNormal="100" workbookViewId="0">
      <selection activeCell="T33" sqref="T33"/>
    </sheetView>
  </sheetViews>
  <sheetFormatPr defaultRowHeight="15" outlineLevelRow="1" outlineLevelCol="1" x14ac:dyDescent="0.25"/>
  <cols>
    <col min="1" max="1" width="5.42578125" customWidth="1"/>
    <col min="2" max="2" width="40.85546875" customWidth="1"/>
    <col min="3" max="3" width="42" customWidth="1"/>
    <col min="4" max="4" width="12" style="10" customWidth="1"/>
    <col min="5" max="5" width="10.7109375" style="10" customWidth="1"/>
    <col min="6" max="18" width="10.7109375" style="10" hidden="1" customWidth="1"/>
    <col min="19" max="19" width="10.28515625" customWidth="1"/>
    <col min="20" max="20" width="14" customWidth="1"/>
    <col min="21" max="26" width="10.28515625" customWidth="1"/>
    <col min="27" max="27" width="14.42578125" customWidth="1"/>
    <col min="28" max="28" width="10" customWidth="1"/>
    <col min="29" max="29" width="9.42578125" customWidth="1"/>
    <col min="30" max="30" width="9.5703125" customWidth="1"/>
    <col min="31" max="31" width="9.140625" style="145" customWidth="1"/>
    <col min="32" max="36" width="9.140625" customWidth="1"/>
    <col min="37" max="38" width="8.85546875"/>
    <col min="39" max="39" width="10" customWidth="1" outlineLevel="1"/>
    <col min="40" max="40" width="9.42578125" customWidth="1" outlineLevel="1"/>
    <col min="41" max="41" width="9.5703125" customWidth="1" outlineLevel="1"/>
    <col min="42" max="42" width="9.140625" style="145" customWidth="1" outlineLevel="1"/>
    <col min="43" max="47" width="9.140625" customWidth="1" outlineLevel="1"/>
    <col min="48" max="49" width="9.140625" customWidth="1"/>
    <col min="50" max="50" width="15" customWidth="1"/>
    <col min="51" max="51" width="14.42578125" customWidth="1"/>
    <col min="52" max="53" width="9.140625" customWidth="1"/>
    <col min="54" max="55" width="9.140625" customWidth="1" outlineLevel="1"/>
    <col min="56" max="56" width="15" customWidth="1" outlineLevel="1"/>
    <col min="57" max="57" width="14.42578125" customWidth="1" outlineLevel="1"/>
    <col min="58" max="59" width="9.140625" customWidth="1" outlineLevel="1"/>
    <col min="60" max="71" width="9.140625" customWidth="1"/>
    <col min="75" max="83" width="9.140625" hidden="1" customWidth="1" outlineLevel="1"/>
    <col min="84" max="84" width="8.85546875" hidden="1" customWidth="1" collapsed="1"/>
    <col min="85" max="89" width="8.85546875" hidden="1" customWidth="1"/>
    <col min="90" max="90" width="8.85546875" customWidth="1" collapsed="1"/>
    <col min="91" max="95" width="8.85546875" customWidth="1"/>
    <col min="102" max="102" width="8.85546875"/>
  </cols>
  <sheetData>
    <row r="2" spans="2:42" x14ac:dyDescent="0.25">
      <c r="B2" s="1" t="s">
        <v>15</v>
      </c>
      <c r="C2" t="str">
        <f>Summary!C2</f>
        <v>University Park Village Starbucks</v>
      </c>
      <c r="D2" s="9"/>
      <c r="E2" s="9"/>
    </row>
    <row r="3" spans="2:42" x14ac:dyDescent="0.25">
      <c r="B3" s="1" t="s">
        <v>16</v>
      </c>
      <c r="C3" t="str">
        <f>Summary!C3</f>
        <v>1620 S University DR, Fort Worth, TX 76107</v>
      </c>
      <c r="D3" s="9"/>
      <c r="E3" s="9"/>
    </row>
    <row r="4" spans="2:42" x14ac:dyDescent="0.25">
      <c r="B4" s="1" t="s">
        <v>17</v>
      </c>
      <c r="C4" t="str">
        <f>Summary!C4</f>
        <v>June 17, 2025</v>
      </c>
      <c r="D4" s="9"/>
      <c r="E4" s="9"/>
      <c r="F4"/>
      <c r="G4"/>
      <c r="H4"/>
      <c r="I4"/>
      <c r="J4"/>
      <c r="K4"/>
      <c r="L4"/>
      <c r="M4"/>
      <c r="N4"/>
      <c r="O4"/>
      <c r="P4"/>
      <c r="Q4"/>
      <c r="R4"/>
      <c r="AE4"/>
      <c r="AP4"/>
    </row>
    <row r="5" spans="2:42" x14ac:dyDescent="0.25">
      <c r="F5"/>
      <c r="G5"/>
      <c r="H5"/>
      <c r="I5"/>
      <c r="J5"/>
      <c r="K5"/>
      <c r="L5"/>
      <c r="M5"/>
      <c r="N5"/>
      <c r="O5"/>
      <c r="P5"/>
      <c r="Q5"/>
      <c r="R5"/>
      <c r="AE5"/>
      <c r="AP5"/>
    </row>
    <row r="6" spans="2:42" x14ac:dyDescent="0.25">
      <c r="B6" s="64" t="s">
        <v>82</v>
      </c>
      <c r="D6" s="68" t="s">
        <v>133</v>
      </c>
      <c r="E6" s="68" t="s">
        <v>37</v>
      </c>
      <c r="F6"/>
      <c r="G6"/>
      <c r="H6"/>
      <c r="I6"/>
      <c r="J6"/>
      <c r="K6"/>
      <c r="L6"/>
      <c r="M6"/>
      <c r="N6"/>
      <c r="O6"/>
      <c r="P6"/>
      <c r="Q6"/>
      <c r="R6"/>
      <c r="AE6"/>
      <c r="AP6"/>
    </row>
    <row r="7" spans="2:42" x14ac:dyDescent="0.25">
      <c r="B7" s="15" t="s">
        <v>667</v>
      </c>
      <c r="C7" s="567">
        <v>22558</v>
      </c>
      <c r="D7" s="36">
        <v>2</v>
      </c>
      <c r="E7" s="38">
        <f>D7</f>
        <v>2</v>
      </c>
      <c r="F7"/>
      <c r="G7"/>
      <c r="H7"/>
      <c r="I7"/>
      <c r="J7"/>
      <c r="K7"/>
      <c r="L7"/>
      <c r="M7"/>
      <c r="N7"/>
      <c r="O7"/>
      <c r="P7"/>
      <c r="Q7"/>
      <c r="R7"/>
      <c r="AE7"/>
      <c r="AP7"/>
    </row>
    <row r="8" spans="2:42" x14ac:dyDescent="0.25">
      <c r="B8" s="15" t="s">
        <v>718</v>
      </c>
      <c r="C8" s="567" t="s">
        <v>747</v>
      </c>
      <c r="D8" s="36">
        <v>1</v>
      </c>
      <c r="E8" s="38">
        <f t="shared" ref="E8:E19" si="0">D8</f>
        <v>1</v>
      </c>
      <c r="F8"/>
      <c r="G8"/>
      <c r="H8"/>
      <c r="I8"/>
      <c r="J8"/>
      <c r="K8"/>
      <c r="L8"/>
      <c r="M8"/>
      <c r="N8"/>
      <c r="O8"/>
      <c r="P8"/>
      <c r="Q8"/>
      <c r="R8"/>
      <c r="AE8"/>
      <c r="AP8"/>
    </row>
    <row r="9" spans="2:42" x14ac:dyDescent="0.25">
      <c r="B9" s="15" t="s">
        <v>719</v>
      </c>
      <c r="C9" s="567" t="s">
        <v>748</v>
      </c>
      <c r="D9" s="36">
        <v>2</v>
      </c>
      <c r="E9" s="38">
        <f t="shared" si="0"/>
        <v>2</v>
      </c>
      <c r="F9"/>
      <c r="G9"/>
      <c r="H9"/>
      <c r="I9"/>
      <c r="J9"/>
      <c r="K9"/>
      <c r="L9"/>
      <c r="M9"/>
      <c r="N9"/>
      <c r="O9"/>
      <c r="P9"/>
      <c r="Q9"/>
      <c r="R9"/>
      <c r="AE9"/>
      <c r="AP9"/>
    </row>
    <row r="10" spans="2:42" x14ac:dyDescent="0.25">
      <c r="B10" s="577" t="s">
        <v>752</v>
      </c>
      <c r="C10" s="567" t="s">
        <v>721</v>
      </c>
      <c r="D10" s="36">
        <v>2</v>
      </c>
      <c r="E10" s="38">
        <f t="shared" si="0"/>
        <v>2</v>
      </c>
      <c r="F10"/>
      <c r="G10"/>
      <c r="H10"/>
      <c r="I10"/>
      <c r="J10"/>
      <c r="K10"/>
      <c r="L10"/>
      <c r="M10"/>
      <c r="N10"/>
      <c r="O10"/>
      <c r="P10"/>
      <c r="Q10"/>
      <c r="R10"/>
      <c r="AE10"/>
      <c r="AP10"/>
    </row>
    <row r="11" spans="2:42" x14ac:dyDescent="0.25">
      <c r="B11" s="578" t="s">
        <v>756</v>
      </c>
      <c r="C11" s="567" t="s">
        <v>749</v>
      </c>
      <c r="D11" s="36">
        <f>D10</f>
        <v>2</v>
      </c>
      <c r="E11" s="38">
        <f t="shared" si="0"/>
        <v>2</v>
      </c>
      <c r="F11"/>
      <c r="G11"/>
      <c r="H11"/>
      <c r="I11"/>
      <c r="J11"/>
      <c r="K11"/>
      <c r="L11"/>
      <c r="M11"/>
      <c r="N11"/>
      <c r="O11"/>
      <c r="P11"/>
      <c r="Q11"/>
      <c r="R11"/>
      <c r="AE11"/>
      <c r="AP11"/>
    </row>
    <row r="12" spans="2:42" x14ac:dyDescent="0.25">
      <c r="B12" s="578" t="s">
        <v>757</v>
      </c>
      <c r="C12" s="567" t="s">
        <v>750</v>
      </c>
      <c r="D12" s="36">
        <f>D10</f>
        <v>2</v>
      </c>
      <c r="E12" s="38">
        <f t="shared" si="0"/>
        <v>2</v>
      </c>
      <c r="F12"/>
      <c r="G12"/>
      <c r="H12"/>
      <c r="I12"/>
      <c r="J12"/>
      <c r="K12"/>
      <c r="L12"/>
      <c r="M12"/>
      <c r="N12"/>
      <c r="O12"/>
      <c r="P12"/>
      <c r="Q12"/>
      <c r="R12"/>
      <c r="AE12"/>
      <c r="AP12"/>
    </row>
    <row r="13" spans="2:42" x14ac:dyDescent="0.25">
      <c r="B13" s="578" t="s">
        <v>758</v>
      </c>
      <c r="C13" s="567" t="s">
        <v>751</v>
      </c>
      <c r="D13" s="36">
        <f>D10</f>
        <v>2</v>
      </c>
      <c r="E13" s="38">
        <f t="shared" si="0"/>
        <v>2</v>
      </c>
      <c r="F13"/>
      <c r="G13"/>
      <c r="H13"/>
      <c r="I13"/>
      <c r="J13"/>
      <c r="K13"/>
      <c r="L13"/>
      <c r="M13"/>
      <c r="N13"/>
      <c r="O13"/>
      <c r="P13"/>
      <c r="Q13"/>
      <c r="R13"/>
      <c r="AE13"/>
      <c r="AP13"/>
    </row>
    <row r="14" spans="2:42" x14ac:dyDescent="0.25">
      <c r="B14" s="15" t="s">
        <v>720</v>
      </c>
      <c r="C14" s="567" t="s">
        <v>753</v>
      </c>
      <c r="D14" s="36">
        <v>1</v>
      </c>
      <c r="E14" s="38">
        <f t="shared" si="0"/>
        <v>1</v>
      </c>
      <c r="F14"/>
      <c r="G14"/>
      <c r="H14"/>
      <c r="I14"/>
      <c r="J14"/>
      <c r="K14"/>
      <c r="L14"/>
      <c r="M14"/>
      <c r="N14"/>
      <c r="O14"/>
      <c r="P14"/>
      <c r="Q14"/>
      <c r="R14"/>
      <c r="AE14"/>
      <c r="AP14"/>
    </row>
    <row r="15" spans="2:42" x14ac:dyDescent="0.25">
      <c r="B15" s="577" t="s">
        <v>723</v>
      </c>
      <c r="C15" s="567" t="s">
        <v>722</v>
      </c>
      <c r="D15" s="36">
        <v>1</v>
      </c>
      <c r="E15" s="38">
        <f t="shared" si="0"/>
        <v>1</v>
      </c>
      <c r="F15"/>
      <c r="G15"/>
      <c r="H15"/>
      <c r="I15"/>
      <c r="J15"/>
      <c r="K15"/>
      <c r="L15"/>
      <c r="M15"/>
      <c r="N15"/>
      <c r="O15"/>
      <c r="P15"/>
      <c r="Q15"/>
      <c r="R15"/>
      <c r="AE15"/>
      <c r="AP15"/>
    </row>
    <row r="16" spans="2:42" x14ac:dyDescent="0.25">
      <c r="B16" s="578" t="s">
        <v>759</v>
      </c>
      <c r="C16" s="567" t="s">
        <v>754</v>
      </c>
      <c r="D16" s="36">
        <f>D15</f>
        <v>1</v>
      </c>
      <c r="E16" s="38">
        <f t="shared" si="0"/>
        <v>1</v>
      </c>
      <c r="F16"/>
      <c r="G16"/>
      <c r="H16"/>
      <c r="I16"/>
      <c r="J16"/>
      <c r="K16"/>
      <c r="L16"/>
      <c r="M16"/>
      <c r="N16"/>
      <c r="O16"/>
      <c r="P16"/>
      <c r="Q16"/>
      <c r="R16"/>
      <c r="AE16"/>
      <c r="AP16"/>
    </row>
    <row r="17" spans="2:42" x14ac:dyDescent="0.25">
      <c r="B17" s="578" t="s">
        <v>760</v>
      </c>
      <c r="C17" s="567" t="s">
        <v>755</v>
      </c>
      <c r="D17" s="36">
        <f>D15</f>
        <v>1</v>
      </c>
      <c r="E17" s="38">
        <f t="shared" si="0"/>
        <v>1</v>
      </c>
      <c r="F17"/>
      <c r="G17"/>
      <c r="H17"/>
      <c r="I17"/>
      <c r="J17"/>
      <c r="K17"/>
      <c r="L17"/>
      <c r="M17"/>
      <c r="N17"/>
      <c r="O17"/>
      <c r="P17"/>
      <c r="Q17"/>
      <c r="R17"/>
      <c r="AE17"/>
      <c r="AP17"/>
    </row>
    <row r="18" spans="2:42" x14ac:dyDescent="0.25">
      <c r="B18" s="15" t="s">
        <v>724</v>
      </c>
      <c r="C18" s="567" t="s">
        <v>761</v>
      </c>
      <c r="D18" s="36">
        <v>1</v>
      </c>
      <c r="E18" s="38">
        <f t="shared" si="0"/>
        <v>1</v>
      </c>
      <c r="F18"/>
      <c r="G18"/>
      <c r="H18"/>
      <c r="I18"/>
      <c r="J18"/>
      <c r="K18"/>
      <c r="L18"/>
      <c r="M18"/>
      <c r="N18"/>
      <c r="O18"/>
      <c r="P18"/>
      <c r="Q18"/>
      <c r="R18"/>
      <c r="AE18"/>
      <c r="AP18"/>
    </row>
    <row r="19" spans="2:42" x14ac:dyDescent="0.25">
      <c r="B19" s="577" t="s">
        <v>763</v>
      </c>
      <c r="C19" s="567" t="s">
        <v>762</v>
      </c>
      <c r="D19" s="36">
        <f>1</f>
        <v>1</v>
      </c>
      <c r="E19" s="38">
        <f t="shared" si="0"/>
        <v>1</v>
      </c>
      <c r="F19"/>
      <c r="G19"/>
      <c r="H19"/>
      <c r="I19"/>
      <c r="J19"/>
      <c r="K19"/>
      <c r="L19"/>
      <c r="M19"/>
      <c r="N19"/>
      <c r="O19"/>
      <c r="P19"/>
      <c r="Q19"/>
      <c r="R19"/>
      <c r="AE19"/>
      <c r="AP19"/>
    </row>
    <row r="20" spans="2:42" x14ac:dyDescent="0.25">
      <c r="B20" s="578" t="s">
        <v>764</v>
      </c>
      <c r="C20" s="567" t="s">
        <v>749</v>
      </c>
      <c r="D20" s="36">
        <f>D19</f>
        <v>1</v>
      </c>
      <c r="E20" s="38">
        <f t="shared" ref="E20:E21" si="1">D20</f>
        <v>1</v>
      </c>
      <c r="F20"/>
      <c r="G20"/>
      <c r="H20"/>
      <c r="I20"/>
      <c r="J20"/>
      <c r="K20"/>
      <c r="L20"/>
      <c r="M20"/>
      <c r="N20"/>
      <c r="O20"/>
      <c r="P20"/>
      <c r="Q20"/>
      <c r="R20"/>
      <c r="AE20"/>
      <c r="AP20"/>
    </row>
    <row r="21" spans="2:42" x14ac:dyDescent="0.25">
      <c r="B21" s="578" t="s">
        <v>766</v>
      </c>
      <c r="C21" s="567" t="s">
        <v>765</v>
      </c>
      <c r="D21" s="36">
        <f>D19</f>
        <v>1</v>
      </c>
      <c r="E21" s="38">
        <f t="shared" si="1"/>
        <v>1</v>
      </c>
      <c r="F21"/>
      <c r="G21"/>
      <c r="H21"/>
      <c r="I21"/>
      <c r="J21"/>
      <c r="K21"/>
      <c r="L21"/>
      <c r="M21"/>
      <c r="N21"/>
      <c r="O21"/>
      <c r="P21"/>
      <c r="Q21"/>
      <c r="R21"/>
      <c r="AE21"/>
      <c r="AP21"/>
    </row>
    <row r="22" spans="2:42" x14ac:dyDescent="0.25">
      <c r="B22" s="578" t="s">
        <v>767</v>
      </c>
      <c r="C22" s="567" t="s">
        <v>751</v>
      </c>
      <c r="D22" s="36">
        <f>D21</f>
        <v>1</v>
      </c>
      <c r="E22" s="38">
        <f t="shared" ref="E22:E25" si="2">D22</f>
        <v>1</v>
      </c>
      <c r="F22"/>
      <c r="G22"/>
      <c r="H22"/>
      <c r="I22"/>
      <c r="J22"/>
      <c r="K22"/>
      <c r="L22"/>
      <c r="M22"/>
      <c r="N22"/>
      <c r="O22"/>
      <c r="P22"/>
      <c r="Q22"/>
      <c r="R22"/>
      <c r="AE22"/>
      <c r="AP22"/>
    </row>
    <row r="23" spans="2:42" x14ac:dyDescent="0.25">
      <c r="B23" s="577" t="s">
        <v>768</v>
      </c>
      <c r="C23" s="567" t="s">
        <v>769</v>
      </c>
      <c r="D23" s="36">
        <f>1</f>
        <v>1</v>
      </c>
      <c r="E23" s="38">
        <f t="shared" si="2"/>
        <v>1</v>
      </c>
      <c r="F23"/>
      <c r="G23"/>
      <c r="H23"/>
      <c r="I23"/>
      <c r="J23"/>
      <c r="K23"/>
      <c r="L23"/>
      <c r="M23"/>
      <c r="N23"/>
      <c r="O23"/>
      <c r="P23"/>
      <c r="Q23"/>
      <c r="R23"/>
      <c r="AE23"/>
      <c r="AP23"/>
    </row>
    <row r="24" spans="2:42" x14ac:dyDescent="0.25">
      <c r="B24" s="578" t="s">
        <v>770</v>
      </c>
      <c r="C24" s="567" t="s">
        <v>749</v>
      </c>
      <c r="D24" s="36">
        <f>D23</f>
        <v>1</v>
      </c>
      <c r="E24" s="38">
        <f t="shared" si="2"/>
        <v>1</v>
      </c>
      <c r="F24"/>
      <c r="G24"/>
      <c r="H24"/>
      <c r="I24"/>
      <c r="J24"/>
      <c r="K24"/>
      <c r="L24"/>
      <c r="M24"/>
      <c r="N24"/>
      <c r="O24"/>
      <c r="P24"/>
      <c r="Q24"/>
      <c r="R24"/>
      <c r="AE24"/>
      <c r="AP24"/>
    </row>
    <row r="25" spans="2:42" x14ac:dyDescent="0.25">
      <c r="B25" s="578" t="s">
        <v>772</v>
      </c>
      <c r="C25" s="567" t="s">
        <v>771</v>
      </c>
      <c r="D25" s="36">
        <f>D23</f>
        <v>1</v>
      </c>
      <c r="E25" s="38">
        <f t="shared" si="2"/>
        <v>1</v>
      </c>
      <c r="F25"/>
      <c r="G25"/>
      <c r="H25"/>
      <c r="I25"/>
      <c r="J25"/>
      <c r="K25"/>
      <c r="L25"/>
      <c r="M25"/>
      <c r="N25"/>
      <c r="O25"/>
      <c r="P25"/>
      <c r="Q25"/>
      <c r="R25"/>
      <c r="AE25"/>
      <c r="AP25"/>
    </row>
    <row r="26" spans="2:42" x14ac:dyDescent="0.25">
      <c r="B26" s="15" t="s">
        <v>774</v>
      </c>
      <c r="C26" s="567" t="s">
        <v>773</v>
      </c>
      <c r="D26" s="36">
        <v>2</v>
      </c>
      <c r="E26" s="38">
        <f t="shared" ref="E26" si="3">D26</f>
        <v>2</v>
      </c>
      <c r="F26"/>
      <c r="G26"/>
      <c r="H26"/>
      <c r="I26"/>
      <c r="J26"/>
      <c r="K26"/>
      <c r="L26"/>
      <c r="M26"/>
      <c r="N26"/>
      <c r="O26"/>
      <c r="P26"/>
      <c r="Q26"/>
      <c r="R26"/>
      <c r="AE26"/>
      <c r="AP26"/>
    </row>
    <row r="27" spans="2:42" x14ac:dyDescent="0.25">
      <c r="B27" s="15"/>
      <c r="C27" s="117"/>
      <c r="D27" s="75"/>
      <c r="E27" s="68"/>
      <c r="F27"/>
      <c r="G27"/>
      <c r="H27"/>
      <c r="I27"/>
      <c r="J27"/>
      <c r="K27"/>
      <c r="L27"/>
      <c r="M27"/>
      <c r="N27"/>
      <c r="O27"/>
      <c r="P27"/>
      <c r="Q27"/>
      <c r="R27"/>
      <c r="AE27"/>
      <c r="AP27"/>
    </row>
    <row r="28" spans="2:42" ht="15.75" thickBot="1" x14ac:dyDescent="0.3">
      <c r="B28" s="76" t="s">
        <v>68</v>
      </c>
      <c r="C28" s="77"/>
      <c r="D28" s="78">
        <f>SUM(D7:D27)</f>
        <v>27</v>
      </c>
      <c r="E28" s="78">
        <f>SUM(E7:E27)</f>
        <v>27</v>
      </c>
      <c r="F28"/>
      <c r="G28"/>
      <c r="H28"/>
      <c r="I28"/>
      <c r="J28"/>
      <c r="K28"/>
      <c r="L28"/>
      <c r="M28"/>
      <c r="N28"/>
      <c r="O28"/>
      <c r="P28"/>
      <c r="Q28"/>
      <c r="R28"/>
      <c r="AE28"/>
      <c r="AP28"/>
    </row>
    <row r="29" spans="2:42" x14ac:dyDescent="0.25">
      <c r="B29" s="15"/>
      <c r="C29" s="117"/>
      <c r="D29" s="36"/>
      <c r="E29" s="68"/>
      <c r="F29"/>
      <c r="G29"/>
      <c r="H29"/>
      <c r="I29"/>
      <c r="J29"/>
      <c r="K29"/>
      <c r="L29"/>
      <c r="M29"/>
      <c r="N29"/>
      <c r="O29"/>
      <c r="P29"/>
      <c r="Q29"/>
      <c r="R29"/>
      <c r="AE29"/>
      <c r="AP29"/>
    </row>
    <row r="30" spans="2:42" x14ac:dyDescent="0.25">
      <c r="B30" s="64" t="s">
        <v>81</v>
      </c>
      <c r="C30" s="117"/>
      <c r="D30" s="36"/>
      <c r="E30" s="68"/>
      <c r="F30"/>
      <c r="G30"/>
      <c r="H30"/>
      <c r="I30"/>
      <c r="J30"/>
      <c r="K30"/>
      <c r="L30"/>
      <c r="M30"/>
      <c r="N30"/>
      <c r="O30"/>
      <c r="P30"/>
      <c r="Q30"/>
      <c r="R30"/>
      <c r="AE30"/>
      <c r="AP30"/>
    </row>
    <row r="31" spans="2:42" x14ac:dyDescent="0.25">
      <c r="B31" s="15" t="s">
        <v>738</v>
      </c>
      <c r="C31" s="567">
        <v>22232</v>
      </c>
      <c r="D31" s="36">
        <v>1</v>
      </c>
      <c r="E31" s="38">
        <f>D31</f>
        <v>1</v>
      </c>
      <c r="F31"/>
      <c r="G31"/>
      <c r="H31"/>
      <c r="I31"/>
      <c r="J31"/>
      <c r="K31"/>
      <c r="L31"/>
      <c r="M31"/>
      <c r="N31"/>
      <c r="O31"/>
      <c r="P31"/>
      <c r="Q31"/>
      <c r="R31"/>
      <c r="AE31"/>
      <c r="AP31"/>
    </row>
    <row r="32" spans="2:42" x14ac:dyDescent="0.25">
      <c r="B32" s="15" t="s">
        <v>739</v>
      </c>
      <c r="C32" s="117" t="s">
        <v>737</v>
      </c>
      <c r="D32" s="75">
        <v>1</v>
      </c>
      <c r="E32" s="38">
        <f t="shared" ref="E32:E40" si="4">D32</f>
        <v>1</v>
      </c>
      <c r="F32"/>
      <c r="G32"/>
      <c r="H32"/>
      <c r="I32"/>
      <c r="J32"/>
      <c r="K32"/>
      <c r="L32"/>
      <c r="M32"/>
      <c r="N32"/>
      <c r="O32"/>
      <c r="P32"/>
      <c r="Q32"/>
      <c r="R32"/>
      <c r="AE32"/>
      <c r="AP32"/>
    </row>
    <row r="33" spans="2:42" x14ac:dyDescent="0.25">
      <c r="B33" s="15" t="s">
        <v>740</v>
      </c>
      <c r="C33" s="567" t="s">
        <v>775</v>
      </c>
      <c r="D33" s="75">
        <v>1</v>
      </c>
      <c r="E33" s="38">
        <f t="shared" si="4"/>
        <v>1</v>
      </c>
      <c r="F33"/>
      <c r="G33"/>
      <c r="H33"/>
      <c r="I33"/>
      <c r="J33"/>
      <c r="K33"/>
      <c r="L33"/>
      <c r="M33"/>
      <c r="N33"/>
      <c r="O33"/>
      <c r="P33"/>
      <c r="Q33"/>
      <c r="R33"/>
      <c r="AE33"/>
      <c r="AP33"/>
    </row>
    <row r="34" spans="2:42" x14ac:dyDescent="0.25">
      <c r="B34" s="15" t="s">
        <v>741</v>
      </c>
      <c r="C34" s="567" t="s">
        <v>776</v>
      </c>
      <c r="D34" s="75">
        <v>1</v>
      </c>
      <c r="E34" s="38">
        <f t="shared" si="4"/>
        <v>1</v>
      </c>
      <c r="F34"/>
      <c r="G34"/>
      <c r="H34"/>
      <c r="I34"/>
      <c r="J34"/>
      <c r="K34"/>
      <c r="L34"/>
      <c r="M34"/>
      <c r="N34"/>
      <c r="O34"/>
      <c r="P34"/>
      <c r="Q34"/>
      <c r="R34"/>
      <c r="AE34"/>
      <c r="AP34"/>
    </row>
    <row r="35" spans="2:42" x14ac:dyDescent="0.25">
      <c r="B35" s="15" t="s">
        <v>742</v>
      </c>
      <c r="C35" s="567" t="s">
        <v>777</v>
      </c>
      <c r="D35" s="75">
        <v>1</v>
      </c>
      <c r="E35" s="38">
        <f t="shared" si="4"/>
        <v>1</v>
      </c>
      <c r="F35"/>
      <c r="G35"/>
      <c r="H35"/>
      <c r="I35"/>
      <c r="J35"/>
      <c r="K35"/>
      <c r="L35"/>
      <c r="M35"/>
      <c r="N35"/>
      <c r="O35"/>
      <c r="P35"/>
      <c r="Q35"/>
      <c r="R35"/>
      <c r="AE35"/>
      <c r="AP35"/>
    </row>
    <row r="36" spans="2:42" x14ac:dyDescent="0.25">
      <c r="B36" s="15" t="s">
        <v>743</v>
      </c>
      <c r="C36" s="567" t="s">
        <v>778</v>
      </c>
      <c r="D36" s="75">
        <v>1</v>
      </c>
      <c r="E36" s="38">
        <f t="shared" si="4"/>
        <v>1</v>
      </c>
      <c r="F36"/>
      <c r="G36"/>
      <c r="H36"/>
      <c r="I36"/>
      <c r="J36"/>
      <c r="K36"/>
      <c r="L36"/>
      <c r="M36"/>
      <c r="N36"/>
      <c r="O36"/>
      <c r="P36"/>
      <c r="Q36"/>
      <c r="R36"/>
      <c r="AE36"/>
      <c r="AP36"/>
    </row>
    <row r="37" spans="2:42" x14ac:dyDescent="0.25">
      <c r="B37" s="15" t="s">
        <v>744</v>
      </c>
      <c r="C37" s="567" t="s">
        <v>779</v>
      </c>
      <c r="D37" s="75">
        <v>2</v>
      </c>
      <c r="E37" s="38">
        <f t="shared" si="4"/>
        <v>2</v>
      </c>
      <c r="F37"/>
      <c r="G37"/>
      <c r="H37"/>
      <c r="I37"/>
      <c r="J37"/>
      <c r="K37"/>
      <c r="L37"/>
      <c r="M37"/>
      <c r="N37"/>
      <c r="O37"/>
      <c r="P37"/>
      <c r="Q37"/>
      <c r="R37"/>
      <c r="AE37"/>
      <c r="AP37"/>
    </row>
    <row r="38" spans="2:42" x14ac:dyDescent="0.25">
      <c r="B38" s="15" t="s">
        <v>745</v>
      </c>
      <c r="C38" s="567" t="s">
        <v>780</v>
      </c>
      <c r="D38" s="75">
        <v>1</v>
      </c>
      <c r="E38" s="38">
        <f t="shared" si="4"/>
        <v>1</v>
      </c>
      <c r="F38"/>
      <c r="G38"/>
      <c r="H38"/>
      <c r="I38"/>
      <c r="J38"/>
      <c r="K38"/>
      <c r="L38"/>
      <c r="M38"/>
      <c r="N38"/>
      <c r="O38"/>
      <c r="P38"/>
      <c r="Q38"/>
      <c r="R38"/>
      <c r="AE38"/>
      <c r="AP38"/>
    </row>
    <row r="39" spans="2:42" x14ac:dyDescent="0.25">
      <c r="B39" s="15" t="s">
        <v>746</v>
      </c>
      <c r="C39" s="567" t="s">
        <v>781</v>
      </c>
      <c r="D39" s="75">
        <v>1</v>
      </c>
      <c r="E39" s="38">
        <f t="shared" si="4"/>
        <v>1</v>
      </c>
      <c r="F39"/>
      <c r="G39"/>
      <c r="H39"/>
      <c r="I39"/>
      <c r="J39"/>
      <c r="K39"/>
      <c r="L39"/>
      <c r="M39"/>
      <c r="N39"/>
      <c r="O39"/>
      <c r="P39"/>
      <c r="Q39"/>
      <c r="R39"/>
      <c r="AE39"/>
      <c r="AP39"/>
    </row>
    <row r="40" spans="2:42" x14ac:dyDescent="0.25">
      <c r="B40" s="15" t="s">
        <v>819</v>
      </c>
      <c r="C40" s="567" t="s">
        <v>820</v>
      </c>
      <c r="D40" s="75">
        <v>1</v>
      </c>
      <c r="E40" s="38">
        <f t="shared" si="4"/>
        <v>1</v>
      </c>
      <c r="F40"/>
      <c r="G40"/>
      <c r="H40"/>
      <c r="I40"/>
      <c r="J40"/>
      <c r="K40"/>
      <c r="L40"/>
      <c r="M40"/>
      <c r="N40"/>
      <c r="O40"/>
      <c r="P40"/>
      <c r="Q40"/>
      <c r="R40"/>
      <c r="AE40"/>
      <c r="AP40"/>
    </row>
    <row r="41" spans="2:42" x14ac:dyDescent="0.25">
      <c r="B41" s="15"/>
      <c r="C41" s="567"/>
      <c r="D41" s="75"/>
      <c r="E41" s="38"/>
      <c r="F41"/>
      <c r="G41"/>
      <c r="H41"/>
      <c r="I41"/>
      <c r="J41"/>
      <c r="K41"/>
      <c r="L41"/>
      <c r="M41"/>
      <c r="N41"/>
      <c r="O41"/>
      <c r="P41"/>
      <c r="Q41"/>
      <c r="R41"/>
      <c r="AE41"/>
      <c r="AP41"/>
    </row>
    <row r="42" spans="2:42" x14ac:dyDescent="0.25">
      <c r="B42" s="9" t="s">
        <v>725</v>
      </c>
      <c r="C42" s="567"/>
      <c r="D42" s="75"/>
      <c r="E42" s="38"/>
      <c r="F42"/>
      <c r="G42"/>
      <c r="H42"/>
      <c r="I42"/>
      <c r="J42"/>
      <c r="K42"/>
      <c r="L42"/>
      <c r="M42"/>
      <c r="N42"/>
      <c r="O42"/>
      <c r="P42"/>
      <c r="Q42"/>
      <c r="R42"/>
      <c r="AE42"/>
      <c r="AP42"/>
    </row>
    <row r="43" spans="2:42" x14ac:dyDescent="0.25">
      <c r="B43" s="15" t="s">
        <v>731</v>
      </c>
      <c r="C43" s="567" t="s">
        <v>726</v>
      </c>
      <c r="D43" s="75">
        <v>2</v>
      </c>
      <c r="E43" s="38">
        <f t="shared" ref="E43:E49" si="5">D43</f>
        <v>2</v>
      </c>
      <c r="F43"/>
      <c r="G43"/>
      <c r="H43"/>
      <c r="I43"/>
      <c r="J43"/>
      <c r="K43"/>
      <c r="L43"/>
      <c r="M43"/>
      <c r="N43"/>
      <c r="O43"/>
      <c r="P43"/>
      <c r="Q43"/>
      <c r="R43"/>
      <c r="AE43"/>
      <c r="AP43"/>
    </row>
    <row r="44" spans="2:42" x14ac:dyDescent="0.25">
      <c r="B44" s="15" t="s">
        <v>674</v>
      </c>
      <c r="C44" s="567" t="s">
        <v>728</v>
      </c>
      <c r="D44" s="75">
        <v>2</v>
      </c>
      <c r="E44" s="38">
        <f t="shared" si="5"/>
        <v>2</v>
      </c>
      <c r="F44"/>
      <c r="G44"/>
      <c r="H44"/>
      <c r="I44"/>
      <c r="J44"/>
      <c r="K44"/>
      <c r="L44"/>
      <c r="M44"/>
      <c r="N44"/>
      <c r="O44"/>
      <c r="P44"/>
      <c r="Q44"/>
      <c r="R44"/>
      <c r="AE44"/>
      <c r="AP44"/>
    </row>
    <row r="45" spans="2:42" x14ac:dyDescent="0.25">
      <c r="B45" s="15" t="s">
        <v>674</v>
      </c>
      <c r="C45" s="567" t="s">
        <v>734</v>
      </c>
      <c r="D45" s="75">
        <v>1</v>
      </c>
      <c r="E45" s="38">
        <f t="shared" si="5"/>
        <v>1</v>
      </c>
      <c r="F45"/>
      <c r="G45"/>
      <c r="H45"/>
      <c r="I45"/>
      <c r="J45"/>
      <c r="K45"/>
      <c r="L45"/>
      <c r="M45"/>
      <c r="N45"/>
      <c r="O45"/>
      <c r="P45"/>
      <c r="Q45"/>
      <c r="R45"/>
      <c r="AE45"/>
      <c r="AP45"/>
    </row>
    <row r="46" spans="2:42" x14ac:dyDescent="0.25">
      <c r="B46" s="15" t="s">
        <v>736</v>
      </c>
      <c r="C46" s="567" t="s">
        <v>735</v>
      </c>
      <c r="D46" s="75">
        <v>1</v>
      </c>
      <c r="E46" s="38">
        <f t="shared" si="5"/>
        <v>1</v>
      </c>
      <c r="F46"/>
      <c r="G46"/>
      <c r="H46"/>
      <c r="I46"/>
      <c r="J46"/>
      <c r="K46"/>
      <c r="L46"/>
      <c r="M46"/>
      <c r="N46"/>
      <c r="O46"/>
      <c r="P46"/>
      <c r="Q46"/>
      <c r="R46"/>
      <c r="AE46"/>
      <c r="AP46"/>
    </row>
    <row r="47" spans="2:42" x14ac:dyDescent="0.25">
      <c r="B47" s="15" t="s">
        <v>732</v>
      </c>
      <c r="C47" s="567" t="s">
        <v>727</v>
      </c>
      <c r="D47" s="75">
        <v>2</v>
      </c>
      <c r="E47" s="38">
        <f t="shared" si="5"/>
        <v>2</v>
      </c>
      <c r="F47"/>
      <c r="G47"/>
      <c r="H47"/>
      <c r="I47"/>
      <c r="J47"/>
      <c r="K47"/>
      <c r="L47"/>
      <c r="M47"/>
      <c r="N47"/>
      <c r="O47"/>
      <c r="P47"/>
      <c r="Q47"/>
      <c r="R47"/>
      <c r="AE47"/>
      <c r="AP47"/>
    </row>
    <row r="48" spans="2:42" x14ac:dyDescent="0.25">
      <c r="B48" s="15" t="s">
        <v>675</v>
      </c>
      <c r="C48" s="567" t="s">
        <v>730</v>
      </c>
      <c r="D48" s="75">
        <v>1</v>
      </c>
      <c r="E48" s="38">
        <f t="shared" si="5"/>
        <v>1</v>
      </c>
      <c r="F48"/>
      <c r="G48"/>
      <c r="H48"/>
      <c r="I48"/>
      <c r="J48"/>
      <c r="K48"/>
      <c r="L48"/>
      <c r="M48"/>
      <c r="N48"/>
      <c r="O48"/>
      <c r="P48"/>
      <c r="Q48"/>
      <c r="R48"/>
      <c r="AE48"/>
      <c r="AP48"/>
    </row>
    <row r="49" spans="2:42" x14ac:dyDescent="0.25">
      <c r="B49" s="15" t="s">
        <v>733</v>
      </c>
      <c r="C49" s="567" t="s">
        <v>729</v>
      </c>
      <c r="D49" s="75">
        <v>1</v>
      </c>
      <c r="E49" s="38">
        <f t="shared" si="5"/>
        <v>1</v>
      </c>
      <c r="F49"/>
      <c r="G49"/>
      <c r="H49"/>
      <c r="I49"/>
      <c r="J49"/>
      <c r="K49"/>
      <c r="L49"/>
      <c r="M49"/>
      <c r="N49"/>
      <c r="O49"/>
      <c r="P49"/>
      <c r="Q49"/>
      <c r="R49"/>
      <c r="AE49"/>
      <c r="AP49"/>
    </row>
    <row r="50" spans="2:42" x14ac:dyDescent="0.25">
      <c r="B50" s="15"/>
      <c r="D50" s="75"/>
      <c r="E50" s="68"/>
      <c r="F50"/>
      <c r="G50"/>
      <c r="H50"/>
      <c r="I50"/>
      <c r="J50"/>
      <c r="K50"/>
      <c r="L50"/>
      <c r="M50"/>
      <c r="N50"/>
      <c r="O50"/>
      <c r="P50"/>
      <c r="Q50"/>
      <c r="R50"/>
      <c r="AE50"/>
      <c r="AP50"/>
    </row>
    <row r="51" spans="2:42" ht="15.75" thickBot="1" x14ac:dyDescent="0.3">
      <c r="B51" s="76" t="s">
        <v>136</v>
      </c>
      <c r="C51" s="77"/>
      <c r="D51" s="78">
        <f>SUM(D30:D50)</f>
        <v>21</v>
      </c>
      <c r="E51" s="78">
        <f>SUM(E30:E50)</f>
        <v>21</v>
      </c>
      <c r="F51"/>
      <c r="G51"/>
      <c r="H51"/>
      <c r="I51"/>
      <c r="J51"/>
      <c r="K51"/>
      <c r="L51"/>
      <c r="M51"/>
      <c r="N51"/>
      <c r="O51"/>
      <c r="P51"/>
      <c r="Q51"/>
      <c r="R51"/>
      <c r="AE51"/>
      <c r="AP51"/>
    </row>
    <row r="52" spans="2:42" x14ac:dyDescent="0.25">
      <c r="B52" s="15"/>
      <c r="D52" s="36"/>
      <c r="E52" s="36"/>
      <c r="F52"/>
      <c r="G52"/>
      <c r="H52"/>
      <c r="I52"/>
      <c r="J52"/>
      <c r="K52"/>
      <c r="L52"/>
      <c r="M52"/>
      <c r="N52"/>
      <c r="O52"/>
      <c r="P52"/>
      <c r="Q52"/>
      <c r="R52"/>
      <c r="AE52"/>
      <c r="AP52"/>
    </row>
    <row r="53" spans="2:42" x14ac:dyDescent="0.25">
      <c r="B53" s="9" t="s">
        <v>42</v>
      </c>
      <c r="D53" s="36"/>
      <c r="E53" s="68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2:42" outlineLevel="1" x14ac:dyDescent="0.25">
      <c r="B54" s="15"/>
      <c r="D54" s="36"/>
      <c r="E54" s="68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2:42" outlineLevel="1" x14ac:dyDescent="0.25">
      <c r="B55" s="15" t="s">
        <v>676</v>
      </c>
      <c r="C55" s="15" t="s">
        <v>782</v>
      </c>
      <c r="D55" s="36">
        <v>6</v>
      </c>
      <c r="E55" s="38">
        <f>D55</f>
        <v>6</v>
      </c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2:42" outlineLevel="1" x14ac:dyDescent="0.25">
      <c r="B56" s="15" t="s">
        <v>676</v>
      </c>
      <c r="C56" s="15" t="s">
        <v>783</v>
      </c>
      <c r="D56" s="36">
        <v>1</v>
      </c>
      <c r="E56" s="38">
        <f>D56</f>
        <v>1</v>
      </c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2:42" outlineLevel="1" x14ac:dyDescent="0.25">
      <c r="B57" s="15" t="s">
        <v>677</v>
      </c>
      <c r="C57" s="15">
        <v>10594</v>
      </c>
      <c r="D57" s="36">
        <v>2</v>
      </c>
      <c r="E57" s="38">
        <f t="shared" ref="E57:E60" si="6">D57</f>
        <v>2</v>
      </c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2:42" outlineLevel="1" x14ac:dyDescent="0.25">
      <c r="B58" s="15" t="s">
        <v>785</v>
      </c>
      <c r="C58" t="s">
        <v>784</v>
      </c>
      <c r="D58" s="36">
        <v>1</v>
      </c>
      <c r="E58" s="38">
        <f t="shared" si="6"/>
        <v>1</v>
      </c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2:42" outlineLevel="1" x14ac:dyDescent="0.25">
      <c r="B59" s="15" t="s">
        <v>668</v>
      </c>
      <c r="C59" t="s">
        <v>784</v>
      </c>
      <c r="D59" s="36">
        <v>2</v>
      </c>
      <c r="E59" s="38">
        <f t="shared" si="6"/>
        <v>2</v>
      </c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2:42" outlineLevel="1" x14ac:dyDescent="0.25">
      <c r="B60" s="15" t="s">
        <v>787</v>
      </c>
      <c r="C60" s="15" t="s">
        <v>786</v>
      </c>
      <c r="D60" s="75">
        <v>1</v>
      </c>
      <c r="E60" s="38">
        <f t="shared" si="6"/>
        <v>1</v>
      </c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2:42" outlineLevel="1" x14ac:dyDescent="0.25">
      <c r="B61" s="15"/>
      <c r="C61" s="15"/>
      <c r="D61" s="75"/>
      <c r="E61" s="524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2:42" outlineLevel="1" x14ac:dyDescent="0.25">
      <c r="B62" s="154" t="s">
        <v>538</v>
      </c>
      <c r="D62" s="75"/>
      <c r="E62" s="524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2:42" ht="15.75" outlineLevel="1" thickBot="1" x14ac:dyDescent="0.3">
      <c r="B63" s="382"/>
      <c r="C63" s="135"/>
      <c r="D63" s="523"/>
      <c r="E63" s="62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2:42" ht="15.75" thickBot="1" x14ac:dyDescent="0.3">
      <c r="B64" s="379"/>
      <c r="C64" s="248"/>
      <c r="D64" s="521"/>
      <c r="E64" s="522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2:18" ht="15.75" thickTop="1" x14ac:dyDescent="0.25">
      <c r="B65" s="15"/>
      <c r="D65" s="519"/>
      <c r="E65" s="520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2:18" x14ac:dyDescent="0.25">
      <c r="B66" s="9" t="s">
        <v>164</v>
      </c>
      <c r="D66" s="36"/>
      <c r="E66" s="68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2:18" outlineLevel="1" x14ac:dyDescent="0.25">
      <c r="B67" s="15"/>
      <c r="D67" s="36"/>
      <c r="E67" s="68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2:18" outlineLevel="1" x14ac:dyDescent="0.25">
      <c r="B68" s="15" t="s">
        <v>690</v>
      </c>
      <c r="C68" t="s">
        <v>691</v>
      </c>
      <c r="D68" s="36">
        <f>D57</f>
        <v>2</v>
      </c>
      <c r="E68" s="38">
        <f>D68</f>
        <v>2</v>
      </c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2:18" outlineLevel="1" x14ac:dyDescent="0.25">
      <c r="B69" s="15" t="s">
        <v>789</v>
      </c>
      <c r="C69" t="s">
        <v>788</v>
      </c>
      <c r="D69" s="36">
        <v>2</v>
      </c>
      <c r="E69" s="38">
        <f>D69</f>
        <v>2</v>
      </c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2:18" outlineLevel="1" x14ac:dyDescent="0.25">
      <c r="B70" s="15"/>
      <c r="D70" s="36"/>
      <c r="E70" s="38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2:18" outlineLevel="1" x14ac:dyDescent="0.25">
      <c r="B71" s="577" t="s">
        <v>810</v>
      </c>
      <c r="D71" s="36"/>
      <c r="E71" s="38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2:18" outlineLevel="1" x14ac:dyDescent="0.25">
      <c r="B72" s="15" t="s">
        <v>812</v>
      </c>
      <c r="D72" s="36">
        <v>1</v>
      </c>
      <c r="E72" s="38">
        <f t="shared" ref="E72:E80" si="7">D72</f>
        <v>1</v>
      </c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2:18" outlineLevel="1" x14ac:dyDescent="0.25">
      <c r="B73" s="15" t="s">
        <v>822</v>
      </c>
      <c r="D73" s="36">
        <v>3</v>
      </c>
      <c r="E73" s="38">
        <f t="shared" si="7"/>
        <v>3</v>
      </c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2:18" outlineLevel="1" x14ac:dyDescent="0.25">
      <c r="B74" s="15" t="s">
        <v>811</v>
      </c>
      <c r="D74" s="36">
        <v>1</v>
      </c>
      <c r="E74" s="38">
        <f t="shared" si="7"/>
        <v>1</v>
      </c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2:18" outlineLevel="1" x14ac:dyDescent="0.25">
      <c r="B75" s="15" t="s">
        <v>813</v>
      </c>
      <c r="D75" s="36">
        <v>1</v>
      </c>
      <c r="E75" s="38">
        <f t="shared" si="7"/>
        <v>1</v>
      </c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2:18" outlineLevel="1" x14ac:dyDescent="0.25">
      <c r="B76" s="15" t="s">
        <v>814</v>
      </c>
      <c r="D76" s="36">
        <v>2</v>
      </c>
      <c r="E76" s="38">
        <f t="shared" si="7"/>
        <v>2</v>
      </c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2:18" outlineLevel="1" x14ac:dyDescent="0.25">
      <c r="B77" s="15" t="s">
        <v>815</v>
      </c>
      <c r="D77" s="36">
        <v>1</v>
      </c>
      <c r="E77" s="38">
        <f t="shared" si="7"/>
        <v>1</v>
      </c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2:18" outlineLevel="1" x14ac:dyDescent="0.25">
      <c r="B78" s="15" t="s">
        <v>816</v>
      </c>
      <c r="D78" s="36">
        <v>1</v>
      </c>
      <c r="E78" s="38">
        <f t="shared" si="7"/>
        <v>1</v>
      </c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2:18" outlineLevel="1" x14ac:dyDescent="0.25">
      <c r="B79" s="15" t="s">
        <v>817</v>
      </c>
      <c r="D79" s="36">
        <v>1</v>
      </c>
      <c r="E79" s="38">
        <f t="shared" si="7"/>
        <v>1</v>
      </c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2:18" outlineLevel="1" x14ac:dyDescent="0.25">
      <c r="B80" s="15" t="s">
        <v>818</v>
      </c>
      <c r="D80" s="36">
        <v>1</v>
      </c>
      <c r="E80" s="38">
        <f t="shared" si="7"/>
        <v>1</v>
      </c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2:18" outlineLevel="1" x14ac:dyDescent="0.25">
      <c r="B81" s="15"/>
      <c r="D81" s="36"/>
      <c r="E81" s="38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2:18" outlineLevel="1" x14ac:dyDescent="0.25">
      <c r="B82" s="577" t="s">
        <v>821</v>
      </c>
      <c r="D82" s="36"/>
      <c r="E82" s="38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2:18" outlineLevel="1" x14ac:dyDescent="0.25">
      <c r="B83" s="15" t="s">
        <v>823</v>
      </c>
      <c r="D83" s="36">
        <v>2</v>
      </c>
      <c r="E83" s="38">
        <f t="shared" ref="E83:E86" si="8">D83</f>
        <v>2</v>
      </c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2:18" outlineLevel="1" x14ac:dyDescent="0.25">
      <c r="B84" s="15" t="s">
        <v>824</v>
      </c>
      <c r="D84" s="36">
        <v>1</v>
      </c>
      <c r="E84" s="38">
        <f t="shared" si="8"/>
        <v>1</v>
      </c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2:18" outlineLevel="1" x14ac:dyDescent="0.25">
      <c r="B85" s="15" t="s">
        <v>670</v>
      </c>
      <c r="D85" s="36">
        <v>1</v>
      </c>
      <c r="E85" s="38">
        <f t="shared" si="8"/>
        <v>1</v>
      </c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2:18" outlineLevel="1" x14ac:dyDescent="0.25">
      <c r="B86" s="15" t="s">
        <v>669</v>
      </c>
      <c r="D86" s="36">
        <v>1</v>
      </c>
      <c r="E86" s="38">
        <f t="shared" si="8"/>
        <v>1</v>
      </c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2:18" outlineLevel="1" x14ac:dyDescent="0.25">
      <c r="B87" s="15"/>
      <c r="D87" s="36"/>
      <c r="E87" s="38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2:18" outlineLevel="1" x14ac:dyDescent="0.25">
      <c r="B88" s="15"/>
      <c r="D88" s="36"/>
      <c r="E88" s="3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2:18" outlineLevel="1" x14ac:dyDescent="0.25">
      <c r="B89" s="154" t="s">
        <v>538</v>
      </c>
      <c r="D89" s="36"/>
      <c r="E89" s="38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2:18" ht="15.75" outlineLevel="1" thickBot="1" x14ac:dyDescent="0.3">
      <c r="B90" s="382"/>
      <c r="C90" s="135"/>
      <c r="D90" s="523"/>
      <c r="E90" s="62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2:18" ht="15.75" thickBot="1" x14ac:dyDescent="0.3">
      <c r="B91" s="379"/>
      <c r="C91" s="248"/>
      <c r="D91" s="521"/>
      <c r="E91" s="522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2:18" ht="15.75" thickTop="1" x14ac:dyDescent="0.25">
      <c r="B92" s="154"/>
      <c r="D92" s="36"/>
      <c r="E92" s="68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2:18" x14ac:dyDescent="0.25">
      <c r="B93" s="9" t="s">
        <v>346</v>
      </c>
      <c r="D93" s="36"/>
      <c r="E93" s="68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2:18" outlineLevel="1" x14ac:dyDescent="0.25">
      <c r="B94" s="9"/>
      <c r="D94" s="36"/>
      <c r="E94" s="68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2:18" outlineLevel="1" x14ac:dyDescent="0.25">
      <c r="B95" s="577" t="s">
        <v>790</v>
      </c>
      <c r="D95" s="36"/>
      <c r="E95" s="38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2:18" outlineLevel="1" x14ac:dyDescent="0.25">
      <c r="B96" s="15" t="s">
        <v>134</v>
      </c>
      <c r="D96" s="36"/>
      <c r="E96" s="38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2:18" outlineLevel="1" x14ac:dyDescent="0.25">
      <c r="B97" s="15" t="s">
        <v>791</v>
      </c>
      <c r="D97" s="36">
        <v>1</v>
      </c>
      <c r="E97" s="38">
        <f>D97</f>
        <v>1</v>
      </c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2:18" outlineLevel="1" x14ac:dyDescent="0.25">
      <c r="D98" s="36"/>
      <c r="E98" s="6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2:18" outlineLevel="1" x14ac:dyDescent="0.25">
      <c r="B99" s="577" t="s">
        <v>792</v>
      </c>
      <c r="D99" s="36"/>
      <c r="E99" s="38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2:18" outlineLevel="1" x14ac:dyDescent="0.25">
      <c r="B100" s="15" t="s">
        <v>134</v>
      </c>
      <c r="D100" s="36"/>
      <c r="E100" s="38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2:18" outlineLevel="1" x14ac:dyDescent="0.25">
      <c r="B101" s="15" t="s">
        <v>791</v>
      </c>
      <c r="D101" s="36">
        <v>2</v>
      </c>
      <c r="E101" s="38">
        <f>D101</f>
        <v>2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2:18" outlineLevel="1" x14ac:dyDescent="0.25">
      <c r="B102" s="9"/>
      <c r="D102" s="36"/>
      <c r="E102" s="68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2:18" outlineLevel="1" x14ac:dyDescent="0.25">
      <c r="B103" s="577" t="s">
        <v>793</v>
      </c>
      <c r="D103" s="36"/>
      <c r="E103" s="38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2:18" outlineLevel="1" x14ac:dyDescent="0.25">
      <c r="B104" s="15" t="s">
        <v>134</v>
      </c>
      <c r="D104" s="36"/>
      <c r="E104" s="38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2:18" outlineLevel="1" x14ac:dyDescent="0.25">
      <c r="B105" s="15" t="s">
        <v>822</v>
      </c>
      <c r="D105" s="36">
        <v>1</v>
      </c>
      <c r="E105" s="38">
        <f>D105</f>
        <v>1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2:18" outlineLevel="1" x14ac:dyDescent="0.25">
      <c r="B106" s="15"/>
      <c r="D106" s="36"/>
      <c r="E106" s="38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2:18" outlineLevel="1" x14ac:dyDescent="0.25">
      <c r="B107" s="15"/>
      <c r="D107" s="36"/>
      <c r="E107" s="38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2:18" outlineLevel="1" x14ac:dyDescent="0.25">
      <c r="B108" s="154" t="s">
        <v>538</v>
      </c>
      <c r="D108" s="36"/>
      <c r="E108" s="6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2:18" ht="15.75" outlineLevel="1" thickBot="1" x14ac:dyDescent="0.3">
      <c r="B109" s="382"/>
      <c r="C109" s="135"/>
      <c r="D109" s="523"/>
      <c r="E109" s="62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2:18" ht="15.75" thickBot="1" x14ac:dyDescent="0.3">
      <c r="B110" s="379"/>
      <c r="C110" s="248"/>
      <c r="D110" s="521"/>
      <c r="E110" s="522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2:18" ht="15.75" thickTop="1" x14ac:dyDescent="0.25">
      <c r="B111" s="9"/>
      <c r="D111" s="36"/>
      <c r="E111" s="68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2:18" x14ac:dyDescent="0.25">
      <c r="B112" s="9" t="s">
        <v>540</v>
      </c>
      <c r="D112" s="36"/>
      <c r="E112" s="68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2:18" hidden="1" outlineLevel="1" x14ac:dyDescent="0.25">
      <c r="B113" s="154"/>
      <c r="D113" s="36"/>
      <c r="E113" s="68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2:18" hidden="1" outlineLevel="1" x14ac:dyDescent="0.25">
      <c r="B114" s="154" t="s">
        <v>543</v>
      </c>
      <c r="D114" s="36"/>
      <c r="E114" s="68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2:18" hidden="1" outlineLevel="1" x14ac:dyDescent="0.25">
      <c r="B115" s="154"/>
      <c r="D115" s="36"/>
      <c r="E115" s="68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2:18" hidden="1" outlineLevel="1" x14ac:dyDescent="0.25">
      <c r="B116" s="154"/>
      <c r="D116" s="36"/>
      <c r="E116" s="68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2:18" hidden="1" outlineLevel="1" x14ac:dyDescent="0.25">
      <c r="B117" s="154"/>
      <c r="D117" s="36"/>
      <c r="E117" s="68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2:18" hidden="1" outlineLevel="1" x14ac:dyDescent="0.25">
      <c r="B118" s="154"/>
      <c r="D118" s="36"/>
      <c r="E118" s="6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2:18" hidden="1" outlineLevel="1" x14ac:dyDescent="0.25">
      <c r="B119" s="154" t="s">
        <v>538</v>
      </c>
      <c r="D119" s="36"/>
      <c r="E119" s="68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2:18" ht="15.75" hidden="1" outlineLevel="1" thickBot="1" x14ac:dyDescent="0.3">
      <c r="B120" s="382"/>
      <c r="C120" s="135"/>
      <c r="D120" s="523"/>
      <c r="E120" s="62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2:18" ht="15.75" collapsed="1" thickBot="1" x14ac:dyDescent="0.3">
      <c r="B121" s="379"/>
      <c r="C121" s="248"/>
      <c r="D121" s="521"/>
      <c r="E121" s="522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2:18" ht="15.75" thickTop="1" x14ac:dyDescent="0.25">
      <c r="B122" s="9"/>
      <c r="D122" s="36"/>
      <c r="E122" s="68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2:18" x14ac:dyDescent="0.25">
      <c r="B123" s="9" t="s">
        <v>541</v>
      </c>
      <c r="D123" s="36"/>
      <c r="E123" s="68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2:18" hidden="1" outlineLevel="1" x14ac:dyDescent="0.25">
      <c r="B124" s="154"/>
      <c r="D124" s="36"/>
      <c r="E124" s="68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2:18" hidden="1" outlineLevel="1" x14ac:dyDescent="0.25">
      <c r="B125" s="154" t="s">
        <v>543</v>
      </c>
      <c r="D125" s="36"/>
      <c r="E125" s="68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2:18" hidden="1" outlineLevel="1" x14ac:dyDescent="0.25">
      <c r="B126" s="154"/>
      <c r="D126" s="36"/>
      <c r="E126" s="68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2:18" hidden="1" outlineLevel="1" x14ac:dyDescent="0.25">
      <c r="B127" s="154"/>
      <c r="D127" s="36"/>
      <c r="E127" s="68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2:18" hidden="1" outlineLevel="1" x14ac:dyDescent="0.25">
      <c r="B128" s="154"/>
      <c r="D128" s="36"/>
      <c r="E128" s="6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2:18" hidden="1" outlineLevel="1" x14ac:dyDescent="0.25">
      <c r="B129" s="154"/>
      <c r="D129" s="36"/>
      <c r="E129" s="68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2:18" hidden="1" outlineLevel="1" x14ac:dyDescent="0.25">
      <c r="B130" s="154" t="s">
        <v>538</v>
      </c>
      <c r="D130" s="36"/>
      <c r="E130" s="68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2:18" ht="15.75" hidden="1" outlineLevel="1" thickBot="1" x14ac:dyDescent="0.3">
      <c r="B131" s="382"/>
      <c r="C131" s="135"/>
      <c r="D131" s="523"/>
      <c r="E131" s="62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2:18" ht="15.75" collapsed="1" thickBot="1" x14ac:dyDescent="0.3">
      <c r="B132" s="379"/>
      <c r="C132" s="248"/>
      <c r="D132" s="521"/>
      <c r="E132" s="52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2:18" ht="15.75" thickTop="1" x14ac:dyDescent="0.25">
      <c r="B133" s="9"/>
      <c r="D133" s="36"/>
      <c r="E133" s="68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2:18" x14ac:dyDescent="0.25">
      <c r="B134" s="9" t="s">
        <v>542</v>
      </c>
      <c r="D134" s="36"/>
      <c r="E134" s="68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2:18" hidden="1" outlineLevel="1" x14ac:dyDescent="0.25">
      <c r="B135" s="154"/>
      <c r="D135" s="36"/>
      <c r="E135" s="68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2:18" hidden="1" outlineLevel="1" x14ac:dyDescent="0.25">
      <c r="B136" s="154" t="s">
        <v>543</v>
      </c>
      <c r="D136" s="36"/>
      <c r="E136" s="68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2:18" hidden="1" outlineLevel="1" x14ac:dyDescent="0.25">
      <c r="B137" s="154"/>
      <c r="D137" s="36"/>
      <c r="E137" s="68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2:18" hidden="1" outlineLevel="1" x14ac:dyDescent="0.25">
      <c r="B138" s="154"/>
      <c r="D138" s="36"/>
      <c r="E138" s="6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2:18" hidden="1" outlineLevel="1" x14ac:dyDescent="0.25">
      <c r="B139" s="154"/>
      <c r="D139" s="36"/>
      <c r="E139" s="68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2:18" hidden="1" outlineLevel="1" x14ac:dyDescent="0.25">
      <c r="B140" s="154"/>
      <c r="D140" s="36"/>
      <c r="E140" s="68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2:18" hidden="1" outlineLevel="1" x14ac:dyDescent="0.25">
      <c r="B141" s="154" t="s">
        <v>538</v>
      </c>
      <c r="D141" s="36"/>
      <c r="E141" s="68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2:18" ht="15.75" hidden="1" outlineLevel="1" thickBot="1" x14ac:dyDescent="0.3">
      <c r="B142" s="382"/>
      <c r="C142" s="135"/>
      <c r="D142" s="523"/>
      <c r="E142" s="6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2:18" ht="15.75" collapsed="1" thickBot="1" x14ac:dyDescent="0.3">
      <c r="B143" s="379"/>
      <c r="C143" s="248"/>
      <c r="D143" s="521"/>
      <c r="E143" s="522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2:18" ht="15.75" thickTop="1" x14ac:dyDescent="0.25">
      <c r="B144" s="9"/>
      <c r="D144" s="36"/>
      <c r="E144" s="68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2:107" x14ac:dyDescent="0.25">
      <c r="B145" s="9" t="s">
        <v>549</v>
      </c>
      <c r="D145" s="36"/>
      <c r="E145" s="68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2:107" hidden="1" outlineLevel="1" x14ac:dyDescent="0.25">
      <c r="B146" s="154"/>
      <c r="D146" s="36"/>
      <c r="E146" s="68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2:107" hidden="1" outlineLevel="1" x14ac:dyDescent="0.25">
      <c r="B147" s="154" t="s">
        <v>543</v>
      </c>
      <c r="D147" s="36"/>
      <c r="E147" s="68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2:107" hidden="1" outlineLevel="1" x14ac:dyDescent="0.25">
      <c r="B148" s="154"/>
      <c r="D148" s="36"/>
      <c r="E148" s="6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2:107" hidden="1" outlineLevel="1" x14ac:dyDescent="0.25">
      <c r="B149" s="154"/>
      <c r="D149" s="36"/>
      <c r="E149" s="68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2:107" hidden="1" outlineLevel="1" x14ac:dyDescent="0.25">
      <c r="B150" s="154"/>
      <c r="D150" s="36"/>
      <c r="E150" s="68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2:107" hidden="1" outlineLevel="1" x14ac:dyDescent="0.25">
      <c r="B151" s="154"/>
      <c r="D151" s="36"/>
      <c r="E151" s="68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2:107" hidden="1" outlineLevel="1" x14ac:dyDescent="0.25">
      <c r="B152" s="154" t="s">
        <v>538</v>
      </c>
      <c r="D152" s="36"/>
      <c r="E152" s="68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2:107" ht="15.75" collapsed="1" thickBot="1" x14ac:dyDescent="0.3">
      <c r="B153" s="535"/>
      <c r="C153" s="536"/>
      <c r="D153" s="36"/>
      <c r="E153" s="68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2:107" ht="15.75" thickTop="1" x14ac:dyDescent="0.25">
      <c r="B154" s="154"/>
      <c r="D154" s="36"/>
      <c r="E154" s="68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2:107" x14ac:dyDescent="0.25">
      <c r="B155" s="15"/>
      <c r="D155" s="36"/>
      <c r="E155" s="68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2:107" ht="15.75" thickBot="1" x14ac:dyDescent="0.3">
      <c r="B156" s="76" t="s">
        <v>123</v>
      </c>
      <c r="C156" s="77"/>
      <c r="D156" s="78">
        <f>SUM(D55:D155)</f>
        <v>38</v>
      </c>
      <c r="E156" s="78">
        <f>SUM(E55:E155)</f>
        <v>38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2:107" x14ac:dyDescent="0.25">
      <c r="L157" s="107"/>
    </row>
    <row r="158" spans="2:107" s="43" customFormat="1" ht="34.5" customHeight="1" x14ac:dyDescent="0.25">
      <c r="B158" s="38" t="s">
        <v>43</v>
      </c>
      <c r="C158" s="46">
        <v>10</v>
      </c>
      <c r="D158" s="35" t="s">
        <v>22</v>
      </c>
      <c r="G158" s="295" t="s">
        <v>84</v>
      </c>
      <c r="H158" s="295" t="s">
        <v>85</v>
      </c>
      <c r="I158" s="295" t="s">
        <v>552</v>
      </c>
      <c r="J158" s="295" t="s">
        <v>184</v>
      </c>
      <c r="K158" s="295" t="s">
        <v>555</v>
      </c>
      <c r="L158" s="295" t="s">
        <v>44</v>
      </c>
      <c r="M158" s="295" t="s">
        <v>158</v>
      </c>
      <c r="N158" s="295" t="s">
        <v>553</v>
      </c>
      <c r="O158" s="295" t="s">
        <v>175</v>
      </c>
      <c r="P158" s="295" t="s">
        <v>554</v>
      </c>
      <c r="Q158" s="295" t="s">
        <v>554</v>
      </c>
      <c r="S158" s="634" t="s">
        <v>84</v>
      </c>
      <c r="T158" s="636"/>
      <c r="U158" s="636"/>
      <c r="V158" s="636"/>
      <c r="W158" s="636"/>
      <c r="X158" s="636"/>
      <c r="Y158" s="636"/>
      <c r="Z158" s="636"/>
      <c r="AA158" s="635"/>
      <c r="AB158" s="634" t="s">
        <v>85</v>
      </c>
      <c r="AC158" s="636"/>
      <c r="AD158" s="636"/>
      <c r="AE158" s="636"/>
      <c r="AF158" s="636"/>
      <c r="AG158" s="636"/>
      <c r="AH158" s="636"/>
      <c r="AI158" s="636"/>
      <c r="AJ158" s="635"/>
      <c r="AK158" s="634" t="s">
        <v>800</v>
      </c>
      <c r="AL158" s="635"/>
      <c r="AM158" s="634" t="s">
        <v>552</v>
      </c>
      <c r="AN158" s="636"/>
      <c r="AO158" s="636"/>
      <c r="AP158" s="636"/>
      <c r="AQ158" s="636"/>
      <c r="AR158" s="636"/>
      <c r="AS158" s="636"/>
      <c r="AT158" s="636"/>
      <c r="AU158" s="635"/>
      <c r="AV158" s="634" t="s">
        <v>94</v>
      </c>
      <c r="AW158" s="636"/>
      <c r="AX158" s="636"/>
      <c r="AY158" s="636"/>
      <c r="AZ158" s="636"/>
      <c r="BA158" s="635"/>
      <c r="BB158" s="634" t="s">
        <v>556</v>
      </c>
      <c r="BC158" s="636"/>
      <c r="BD158" s="636"/>
      <c r="BE158" s="636"/>
      <c r="BF158" s="636"/>
      <c r="BG158" s="635"/>
      <c r="BH158" s="634" t="s">
        <v>44</v>
      </c>
      <c r="BI158" s="636"/>
      <c r="BJ158" s="636"/>
      <c r="BK158" s="636"/>
      <c r="BL158" s="636"/>
      <c r="BM158" s="635"/>
      <c r="BN158" s="634" t="s">
        <v>158</v>
      </c>
      <c r="BO158" s="636"/>
      <c r="BP158" s="636"/>
      <c r="BQ158" s="636"/>
      <c r="BR158" s="636"/>
      <c r="BS158" s="636"/>
      <c r="BT158" s="636"/>
      <c r="BU158" s="636"/>
      <c r="BV158" s="635"/>
      <c r="BW158" s="634" t="s">
        <v>557</v>
      </c>
      <c r="BX158" s="636"/>
      <c r="BY158" s="636"/>
      <c r="BZ158" s="636"/>
      <c r="CA158" s="636"/>
      <c r="CB158" s="636"/>
      <c r="CC158" s="636"/>
      <c r="CD158" s="636"/>
      <c r="CE158" s="635"/>
      <c r="CF158" s="634" t="s">
        <v>175</v>
      </c>
      <c r="CG158" s="636"/>
      <c r="CH158" s="636"/>
      <c r="CI158" s="636"/>
      <c r="CJ158" s="636"/>
      <c r="CK158" s="635"/>
      <c r="CL158" s="634" t="s">
        <v>558</v>
      </c>
      <c r="CM158" s="636"/>
      <c r="CN158" s="636"/>
      <c r="CO158" s="636"/>
      <c r="CP158" s="636"/>
      <c r="CQ158" s="635"/>
      <c r="CR158" s="634" t="s">
        <v>279</v>
      </c>
      <c r="CS158" s="636"/>
      <c r="CT158" s="636"/>
      <c r="CU158" s="636"/>
      <c r="CV158" s="636"/>
      <c r="CW158" s="635"/>
      <c r="CX158" s="591" t="s">
        <v>825</v>
      </c>
      <c r="CZ158" s="64"/>
      <c r="DB158" s="217"/>
    </row>
    <row r="159" spans="2:107" s="10" customFormat="1" x14ac:dyDescent="0.25">
      <c r="B159" s="40"/>
      <c r="D159" s="45"/>
      <c r="G159" s="296"/>
      <c r="H159" s="297"/>
      <c r="I159" s="297"/>
      <c r="J159" s="297"/>
      <c r="K159" s="297"/>
      <c r="L159" s="297"/>
      <c r="M159" s="297"/>
      <c r="N159" s="297"/>
      <c r="O159" s="297"/>
      <c r="P159" s="297"/>
      <c r="Q159" s="236"/>
      <c r="S159" s="50" t="s">
        <v>23</v>
      </c>
      <c r="T159" s="50" t="s">
        <v>24</v>
      </c>
      <c r="U159" s="50" t="s">
        <v>25</v>
      </c>
      <c r="V159" s="50" t="s">
        <v>151</v>
      </c>
      <c r="W159" s="50" t="s">
        <v>38</v>
      </c>
      <c r="X159" s="50" t="s">
        <v>26</v>
      </c>
      <c r="Y159" s="50" t="s">
        <v>152</v>
      </c>
      <c r="Z159" s="50" t="s">
        <v>129</v>
      </c>
      <c r="AA159" s="50" t="s">
        <v>27</v>
      </c>
      <c r="AB159" s="50" t="s">
        <v>23</v>
      </c>
      <c r="AC159" s="50" t="s">
        <v>24</v>
      </c>
      <c r="AD159" s="50" t="s">
        <v>25</v>
      </c>
      <c r="AE159" s="50" t="s">
        <v>151</v>
      </c>
      <c r="AF159" s="50" t="s">
        <v>38</v>
      </c>
      <c r="AG159" s="50" t="s">
        <v>26</v>
      </c>
      <c r="AH159" s="50" t="s">
        <v>152</v>
      </c>
      <c r="AI159" s="50" t="s">
        <v>129</v>
      </c>
      <c r="AJ159" s="50" t="s">
        <v>27</v>
      </c>
      <c r="AK159" s="50" t="s">
        <v>24</v>
      </c>
      <c r="AL159" s="35" t="s">
        <v>25</v>
      </c>
      <c r="AM159" s="50" t="s">
        <v>23</v>
      </c>
      <c r="AN159" s="50" t="s">
        <v>24</v>
      </c>
      <c r="AO159" s="50" t="s">
        <v>25</v>
      </c>
      <c r="AP159" s="50" t="s">
        <v>151</v>
      </c>
      <c r="AQ159" s="50" t="s">
        <v>38</v>
      </c>
      <c r="AR159" s="50" t="s">
        <v>26</v>
      </c>
      <c r="AS159" s="50" t="s">
        <v>152</v>
      </c>
      <c r="AT159" s="50" t="s">
        <v>129</v>
      </c>
      <c r="AU159" s="50" t="s">
        <v>27</v>
      </c>
      <c r="AV159" s="50" t="s">
        <v>38</v>
      </c>
      <c r="AW159" s="35" t="s">
        <v>26</v>
      </c>
      <c r="AX159" s="35" t="s">
        <v>129</v>
      </c>
      <c r="AY159" s="35" t="s">
        <v>27</v>
      </c>
      <c r="AZ159" s="35" t="s">
        <v>154</v>
      </c>
      <c r="BA159" s="35" t="s">
        <v>155</v>
      </c>
      <c r="BB159" s="50" t="s">
        <v>38</v>
      </c>
      <c r="BC159" s="35" t="s">
        <v>26</v>
      </c>
      <c r="BD159" s="35" t="s">
        <v>129</v>
      </c>
      <c r="BE159" s="35" t="s">
        <v>27</v>
      </c>
      <c r="BF159" s="35" t="s">
        <v>154</v>
      </c>
      <c r="BG159" s="35" t="s">
        <v>155</v>
      </c>
      <c r="BH159" s="231" t="s">
        <v>38</v>
      </c>
      <c r="BI159" s="35" t="s">
        <v>26</v>
      </c>
      <c r="BJ159" s="35" t="s">
        <v>129</v>
      </c>
      <c r="BK159" s="35" t="s">
        <v>27</v>
      </c>
      <c r="BL159" s="231" t="s">
        <v>154</v>
      </c>
      <c r="BM159" s="35" t="s">
        <v>155</v>
      </c>
      <c r="BN159" s="50" t="s">
        <v>23</v>
      </c>
      <c r="BO159" s="50" t="s">
        <v>24</v>
      </c>
      <c r="BP159" s="50" t="s">
        <v>25</v>
      </c>
      <c r="BQ159" s="50" t="s">
        <v>151</v>
      </c>
      <c r="BR159" s="50" t="s">
        <v>38</v>
      </c>
      <c r="BS159" s="50" t="s">
        <v>26</v>
      </c>
      <c r="BT159" s="50" t="s">
        <v>152</v>
      </c>
      <c r="BU159" s="50" t="s">
        <v>129</v>
      </c>
      <c r="BV159" s="50" t="s">
        <v>27</v>
      </c>
      <c r="BW159" s="50" t="s">
        <v>23</v>
      </c>
      <c r="BX159" s="50" t="s">
        <v>24</v>
      </c>
      <c r="BY159" s="50" t="s">
        <v>25</v>
      </c>
      <c r="BZ159" s="50" t="s">
        <v>151</v>
      </c>
      <c r="CA159" s="50" t="s">
        <v>38</v>
      </c>
      <c r="CB159" s="50" t="s">
        <v>26</v>
      </c>
      <c r="CC159" s="50" t="s">
        <v>152</v>
      </c>
      <c r="CD159" s="50" t="s">
        <v>129</v>
      </c>
      <c r="CE159" s="50" t="s">
        <v>27</v>
      </c>
      <c r="CF159" s="50" t="s">
        <v>38</v>
      </c>
      <c r="CG159" s="35" t="s">
        <v>26</v>
      </c>
      <c r="CH159" s="35" t="s">
        <v>129</v>
      </c>
      <c r="CI159" s="35" t="s">
        <v>27</v>
      </c>
      <c r="CJ159" s="35" t="s">
        <v>154</v>
      </c>
      <c r="CK159" s="35" t="s">
        <v>155</v>
      </c>
      <c r="CL159" s="50" t="s">
        <v>1023</v>
      </c>
      <c r="CM159" s="35" t="s">
        <v>24</v>
      </c>
      <c r="CN159" s="35" t="s">
        <v>25</v>
      </c>
      <c r="CO159" s="35" t="s">
        <v>38</v>
      </c>
      <c r="CP159" s="35" t="s">
        <v>26</v>
      </c>
      <c r="CQ159" s="35" t="s">
        <v>129</v>
      </c>
      <c r="CR159" s="50" t="s">
        <v>23</v>
      </c>
      <c r="CS159" s="35" t="s">
        <v>24</v>
      </c>
      <c r="CT159" s="35" t="s">
        <v>25</v>
      </c>
      <c r="CU159" s="35" t="s">
        <v>38</v>
      </c>
      <c r="CV159" s="35" t="s">
        <v>26</v>
      </c>
      <c r="CW159" s="35" t="s">
        <v>129</v>
      </c>
      <c r="CX159" s="35" t="s">
        <v>129</v>
      </c>
      <c r="CZ159" s="288"/>
      <c r="DB159" s="218"/>
    </row>
    <row r="160" spans="2:107" x14ac:dyDescent="0.25">
      <c r="B160" s="44" t="s">
        <v>41</v>
      </c>
      <c r="D160" s="45"/>
      <c r="G160" s="40"/>
      <c r="Q160" s="47"/>
      <c r="S160" s="296"/>
      <c r="T160" s="10"/>
      <c r="U160" s="10"/>
      <c r="V160" s="10"/>
      <c r="W160" s="10"/>
      <c r="X160" s="10"/>
      <c r="Y160" s="10"/>
      <c r="Z160" s="10"/>
      <c r="AA160" s="47"/>
      <c r="AB160" s="40"/>
      <c r="AC160" s="10"/>
      <c r="AD160" s="10"/>
      <c r="AE160" s="10"/>
      <c r="AF160" s="10"/>
      <c r="AG160" s="10"/>
      <c r="AH160" s="10"/>
      <c r="AI160" s="10"/>
      <c r="AJ160" s="236"/>
      <c r="AK160" s="40"/>
      <c r="AL160" s="47"/>
      <c r="AM160" s="40"/>
      <c r="AN160" s="10"/>
      <c r="AO160" s="10"/>
      <c r="AP160" s="10"/>
      <c r="AQ160" s="10"/>
      <c r="AR160" s="10"/>
      <c r="AS160" s="10"/>
      <c r="AT160" s="10"/>
      <c r="AU160" s="236"/>
      <c r="AV160" s="40"/>
      <c r="AW160" s="10"/>
      <c r="AX160" s="10"/>
      <c r="AY160" s="10"/>
      <c r="AZ160" s="10"/>
      <c r="BA160" s="47"/>
      <c r="BB160" s="40"/>
      <c r="BC160" s="10"/>
      <c r="BD160" s="10"/>
      <c r="BE160" s="10"/>
      <c r="BF160" s="10"/>
      <c r="BG160" s="47"/>
      <c r="BH160" s="290"/>
      <c r="BI160" s="237"/>
      <c r="BJ160" s="237"/>
      <c r="BK160" s="237"/>
      <c r="BL160" s="237"/>
      <c r="BM160" s="238"/>
      <c r="BN160" s="40"/>
      <c r="BO160" s="10"/>
      <c r="BP160" s="10"/>
      <c r="BQ160" s="10"/>
      <c r="BR160" s="10"/>
      <c r="BS160" s="10"/>
      <c r="BT160" s="10"/>
      <c r="BU160" s="10"/>
      <c r="BV160" s="236"/>
      <c r="BW160" s="40"/>
      <c r="BX160" s="10"/>
      <c r="BY160" s="10"/>
      <c r="BZ160" s="10"/>
      <c r="CA160" s="10"/>
      <c r="CB160" s="10"/>
      <c r="CC160" s="10"/>
      <c r="CD160" s="10"/>
      <c r="CE160" s="236"/>
      <c r="CF160" s="40"/>
      <c r="CG160" s="10"/>
      <c r="CH160" s="10"/>
      <c r="CI160" s="10"/>
      <c r="CJ160" s="10"/>
      <c r="CK160" s="47"/>
      <c r="CL160" s="40"/>
      <c r="CM160" s="10"/>
      <c r="CN160" s="10"/>
      <c r="CO160" s="10"/>
      <c r="CP160" s="10"/>
      <c r="CQ160" s="47"/>
      <c r="CR160" s="40"/>
      <c r="CS160" s="10"/>
      <c r="CT160" s="10"/>
      <c r="CU160" s="10"/>
      <c r="CV160" s="10"/>
      <c r="CW160" s="47"/>
      <c r="CX160" s="47"/>
      <c r="CZ160" s="10"/>
      <c r="DB160" s="9" t="s">
        <v>69</v>
      </c>
      <c r="DC160" s="9"/>
    </row>
    <row r="161" spans="2:107" x14ac:dyDescent="0.25">
      <c r="B161" s="115"/>
      <c r="C161" s="1" t="s">
        <v>82</v>
      </c>
      <c r="D161" s="40"/>
      <c r="E161" s="40"/>
      <c r="G161" s="40"/>
      <c r="Q161" s="47"/>
      <c r="S161" s="40"/>
      <c r="T161" s="10"/>
      <c r="U161" s="10"/>
      <c r="V161" s="10"/>
      <c r="W161" s="10"/>
      <c r="X161" s="10"/>
      <c r="Y161" s="10"/>
      <c r="Z161" s="10"/>
      <c r="AA161" s="47"/>
      <c r="AB161" s="10"/>
      <c r="AC161" s="10"/>
      <c r="AD161" s="10"/>
      <c r="AE161" s="10"/>
      <c r="AF161" s="10"/>
      <c r="AG161" s="10"/>
      <c r="AH161" s="10"/>
      <c r="AI161" s="10"/>
      <c r="AJ161" s="47"/>
      <c r="AK161" s="40"/>
      <c r="AL161" s="47"/>
      <c r="AM161" s="10"/>
      <c r="AN161" s="10"/>
      <c r="AO161" s="10"/>
      <c r="AP161" s="10"/>
      <c r="AQ161" s="10"/>
      <c r="AR161" s="10"/>
      <c r="AS161" s="10"/>
      <c r="AT161" s="10"/>
      <c r="AU161" s="47"/>
      <c r="AV161" s="40"/>
      <c r="AW161" s="10"/>
      <c r="AX161" s="10"/>
      <c r="AY161" s="10"/>
      <c r="AZ161" s="10"/>
      <c r="BA161" s="47"/>
      <c r="BB161" s="40"/>
      <c r="BC161" s="10"/>
      <c r="BD161" s="10"/>
      <c r="BE161" s="10"/>
      <c r="BF161" s="10"/>
      <c r="BG161" s="47"/>
      <c r="BH161" s="291"/>
      <c r="BI161" s="145"/>
      <c r="BJ161" s="145"/>
      <c r="BK161" s="145"/>
      <c r="BL161" s="145"/>
      <c r="BM161" s="239"/>
      <c r="BN161" s="40"/>
      <c r="BO161" s="10"/>
      <c r="BP161" s="10"/>
      <c r="BQ161" s="10"/>
      <c r="BR161" s="10"/>
      <c r="BS161" s="10"/>
      <c r="BT161" s="10"/>
      <c r="BU161" s="10"/>
      <c r="BV161" s="47"/>
      <c r="BW161" s="40"/>
      <c r="BX161" s="10"/>
      <c r="BY161" s="10"/>
      <c r="BZ161" s="10"/>
      <c r="CA161" s="10"/>
      <c r="CB161" s="10"/>
      <c r="CC161" s="10"/>
      <c r="CD161" s="10"/>
      <c r="CE161" s="47"/>
      <c r="CF161" s="40"/>
      <c r="CG161" s="10"/>
      <c r="CH161" s="10"/>
      <c r="CI161" s="10"/>
      <c r="CJ161" s="10"/>
      <c r="CK161" s="47"/>
      <c r="CL161" s="40"/>
      <c r="CM161" s="10"/>
      <c r="CN161" s="10"/>
      <c r="CO161" s="10"/>
      <c r="CP161" s="10"/>
      <c r="CQ161" s="47"/>
      <c r="CR161" s="40"/>
      <c r="CS161" s="10"/>
      <c r="CT161" s="10"/>
      <c r="CU161" s="10"/>
      <c r="CV161" s="10"/>
      <c r="CW161" s="47"/>
      <c r="CX161" s="47"/>
      <c r="CZ161" s="10"/>
      <c r="DB161" s="10" t="s">
        <v>124</v>
      </c>
      <c r="DC161" s="145" t="s">
        <v>125</v>
      </c>
    </row>
    <row r="162" spans="2:107" x14ac:dyDescent="0.25">
      <c r="B162" s="115">
        <v>1</v>
      </c>
      <c r="C162" s="526" t="str">
        <f t="shared" ref="C162:C182" si="9">IF(C7&gt;0,B7 &amp; " (" &amp;C7 &amp; ")",B7)</f>
        <v>Water Closet (22558)</v>
      </c>
      <c r="D162" s="527">
        <f t="shared" ref="D162:D182" si="10">E7</f>
        <v>2</v>
      </c>
      <c r="E162" s="40"/>
      <c r="G162" s="40" t="s">
        <v>25</v>
      </c>
      <c r="J162" s="579"/>
      <c r="L162" s="10" t="s">
        <v>26</v>
      </c>
      <c r="Q162" s="47"/>
      <c r="S162" s="298" t="str">
        <f t="shared" ref="S162:AA171" si="11">IF($G162=S$159,$DB162,"")</f>
        <v/>
      </c>
      <c r="T162" s="169" t="str">
        <f t="shared" si="11"/>
        <v/>
      </c>
      <c r="U162" s="169">
        <f t="shared" si="11"/>
        <v>22</v>
      </c>
      <c r="V162" s="169" t="str">
        <f t="shared" si="11"/>
        <v/>
      </c>
      <c r="W162" s="169" t="str">
        <f t="shared" si="11"/>
        <v/>
      </c>
      <c r="X162" s="169" t="str">
        <f t="shared" si="11"/>
        <v/>
      </c>
      <c r="Y162" s="169" t="str">
        <f t="shared" si="11"/>
        <v/>
      </c>
      <c r="Z162" s="169" t="str">
        <f t="shared" si="11"/>
        <v/>
      </c>
      <c r="AA162" s="299" t="str">
        <f t="shared" si="11"/>
        <v/>
      </c>
      <c r="AB162" s="169" t="str">
        <f t="shared" ref="AB162:AJ171" si="12">IF($H162=AB$159,$DB162,"")</f>
        <v/>
      </c>
      <c r="AC162" s="169" t="str">
        <f t="shared" si="12"/>
        <v/>
      </c>
      <c r="AD162" s="169" t="str">
        <f t="shared" si="12"/>
        <v/>
      </c>
      <c r="AE162" s="169" t="str">
        <f t="shared" si="12"/>
        <v/>
      </c>
      <c r="AF162" s="169" t="str">
        <f t="shared" si="12"/>
        <v/>
      </c>
      <c r="AG162" s="169" t="str">
        <f t="shared" si="12"/>
        <v/>
      </c>
      <c r="AH162" s="169" t="str">
        <f t="shared" si="12"/>
        <v/>
      </c>
      <c r="AI162" s="169" t="str">
        <f t="shared" si="12"/>
        <v/>
      </c>
      <c r="AJ162" s="299" t="str">
        <f t="shared" si="12"/>
        <v/>
      </c>
      <c r="AK162" s="298" t="str">
        <f t="shared" ref="AK162:AL183" si="13">IF($P162=AK$159,$DC162,"")</f>
        <v/>
      </c>
      <c r="AL162" s="299" t="str">
        <f t="shared" si="13"/>
        <v/>
      </c>
      <c r="AM162" s="169" t="str">
        <f t="shared" ref="AM162:AU171" si="14">IF($I162=AM$159,$DB162,"")</f>
        <v/>
      </c>
      <c r="AN162" s="169" t="str">
        <f t="shared" si="14"/>
        <v/>
      </c>
      <c r="AO162" s="169" t="str">
        <f t="shared" si="14"/>
        <v/>
      </c>
      <c r="AP162" s="169" t="str">
        <f t="shared" si="14"/>
        <v/>
      </c>
      <c r="AQ162" s="169" t="str">
        <f t="shared" si="14"/>
        <v/>
      </c>
      <c r="AR162" s="169" t="str">
        <f t="shared" si="14"/>
        <v/>
      </c>
      <c r="AS162" s="169" t="str">
        <f t="shared" si="14"/>
        <v/>
      </c>
      <c r="AT162" s="169" t="str">
        <f t="shared" si="14"/>
        <v/>
      </c>
      <c r="AU162" s="299" t="str">
        <f t="shared" si="14"/>
        <v/>
      </c>
      <c r="AV162" s="169" t="str">
        <f t="shared" ref="AV162:BA162" si="15">IF($J162=AV$159,$DC162,"")</f>
        <v/>
      </c>
      <c r="AW162" s="169" t="str">
        <f t="shared" si="15"/>
        <v/>
      </c>
      <c r="AX162" s="169" t="str">
        <f t="shared" si="15"/>
        <v/>
      </c>
      <c r="AY162" s="169" t="str">
        <f t="shared" si="15"/>
        <v/>
      </c>
      <c r="AZ162" s="169" t="str">
        <f t="shared" si="15"/>
        <v/>
      </c>
      <c r="BA162" s="299" t="str">
        <f t="shared" si="15"/>
        <v/>
      </c>
      <c r="BB162" s="169" t="str">
        <f t="shared" ref="BB162:BG162" si="16">IF($K162=BB$159,$DC162,"")</f>
        <v/>
      </c>
      <c r="BC162" s="169" t="str">
        <f t="shared" si="16"/>
        <v/>
      </c>
      <c r="BD162" s="169" t="str">
        <f t="shared" si="16"/>
        <v/>
      </c>
      <c r="BE162" s="169" t="str">
        <f t="shared" si="16"/>
        <v/>
      </c>
      <c r="BF162" s="169" t="str">
        <f t="shared" si="16"/>
        <v/>
      </c>
      <c r="BG162" s="169" t="str">
        <f t="shared" si="16"/>
        <v/>
      </c>
      <c r="BH162" s="298" t="str">
        <f t="shared" ref="BH162:BH203" si="17">IF($L162=BH$159,$DC162,"")</f>
        <v/>
      </c>
      <c r="BI162" s="169"/>
      <c r="BJ162" s="169" t="str">
        <f t="shared" ref="BJ162:BM181" si="18">IF($L162=BJ$159,$DC162,"")</f>
        <v/>
      </c>
      <c r="BK162" s="169" t="str">
        <f t="shared" si="18"/>
        <v/>
      </c>
      <c r="BL162" s="169" t="str">
        <f t="shared" si="18"/>
        <v/>
      </c>
      <c r="BM162" s="299" t="str">
        <f t="shared" si="18"/>
        <v/>
      </c>
      <c r="BN162" s="298" t="str">
        <f t="shared" ref="BN162:BV171" si="19">IF($M162=BN$159,$DB162,"")</f>
        <v/>
      </c>
      <c r="BO162" s="169" t="str">
        <f t="shared" si="19"/>
        <v/>
      </c>
      <c r="BP162" s="169" t="str">
        <f t="shared" si="19"/>
        <v/>
      </c>
      <c r="BQ162" s="169" t="str">
        <f t="shared" si="19"/>
        <v/>
      </c>
      <c r="BR162" s="169" t="str">
        <f t="shared" si="19"/>
        <v/>
      </c>
      <c r="BS162" s="169" t="str">
        <f t="shared" si="19"/>
        <v/>
      </c>
      <c r="BT162" s="169" t="str">
        <f t="shared" si="19"/>
        <v/>
      </c>
      <c r="BU162" s="169" t="str">
        <f t="shared" si="19"/>
        <v/>
      </c>
      <c r="BV162" s="299" t="str">
        <f t="shared" si="19"/>
        <v/>
      </c>
      <c r="BW162" s="298" t="str">
        <f t="shared" ref="BW162:CE171" si="20">IF($N162=BW$159,$DB162,"")</f>
        <v/>
      </c>
      <c r="BX162" s="169" t="str">
        <f t="shared" si="20"/>
        <v/>
      </c>
      <c r="BY162" s="169" t="str">
        <f t="shared" si="20"/>
        <v/>
      </c>
      <c r="BZ162" s="169" t="str">
        <f t="shared" si="20"/>
        <v/>
      </c>
      <c r="CA162" s="169" t="str">
        <f t="shared" si="20"/>
        <v/>
      </c>
      <c r="CB162" s="169" t="str">
        <f t="shared" si="20"/>
        <v/>
      </c>
      <c r="CC162" s="169" t="str">
        <f t="shared" si="20"/>
        <v/>
      </c>
      <c r="CD162" s="169" t="str">
        <f t="shared" si="20"/>
        <v/>
      </c>
      <c r="CE162" s="299" t="str">
        <f t="shared" si="20"/>
        <v/>
      </c>
      <c r="CF162" s="298" t="str">
        <f t="shared" ref="CF162:CK171" si="21">IF($O162=CF$159,$DC162,"")</f>
        <v/>
      </c>
      <c r="CG162" s="169" t="str">
        <f t="shared" si="21"/>
        <v/>
      </c>
      <c r="CH162" s="169" t="str">
        <f t="shared" si="21"/>
        <v/>
      </c>
      <c r="CI162" s="169" t="str">
        <f t="shared" si="21"/>
        <v/>
      </c>
      <c r="CJ162" s="169" t="str">
        <f t="shared" si="21"/>
        <v/>
      </c>
      <c r="CK162" s="299" t="str">
        <f t="shared" si="21"/>
        <v/>
      </c>
      <c r="CL162" s="298" t="str">
        <f t="shared" ref="CL162:CX164" si="22">IF($P162=CL$159,$DC162,"")</f>
        <v/>
      </c>
      <c r="CM162" s="169" t="str">
        <f t="shared" si="22"/>
        <v/>
      </c>
      <c r="CN162" s="169" t="str">
        <f t="shared" si="22"/>
        <v/>
      </c>
      <c r="CO162" s="169" t="str">
        <f t="shared" si="22"/>
        <v/>
      </c>
      <c r="CP162" s="169" t="str">
        <f t="shared" si="22"/>
        <v/>
      </c>
      <c r="CQ162" s="299" t="str">
        <f t="shared" si="22"/>
        <v/>
      </c>
      <c r="CR162" s="298" t="str">
        <f t="shared" si="22"/>
        <v/>
      </c>
      <c r="CS162" s="169" t="str">
        <f t="shared" si="22"/>
        <v/>
      </c>
      <c r="CT162" s="169" t="str">
        <f t="shared" si="22"/>
        <v/>
      </c>
      <c r="CU162" s="169" t="str">
        <f t="shared" si="22"/>
        <v/>
      </c>
      <c r="CV162" s="169" t="str">
        <f t="shared" si="22"/>
        <v/>
      </c>
      <c r="CW162" s="299" t="str">
        <f t="shared" si="22"/>
        <v/>
      </c>
      <c r="CX162" s="299" t="str">
        <f t="shared" si="22"/>
        <v/>
      </c>
      <c r="CZ162" s="10"/>
      <c r="DB162" s="10">
        <f t="shared" ref="DB162:DB194" si="23">($D162*$C$158)+($D162*$B$162)</f>
        <v>22</v>
      </c>
      <c r="DC162" s="10">
        <f t="shared" ref="DC162:DC194" si="24">(($D162*$C$158)+($D162*$B$162))/2</f>
        <v>11</v>
      </c>
    </row>
    <row r="163" spans="2:107" x14ac:dyDescent="0.25">
      <c r="B163" s="127"/>
      <c r="C163" s="526" t="str">
        <f t="shared" si="9"/>
        <v>Mop Sink (10995 /10922 (OSM))</v>
      </c>
      <c r="D163" s="527">
        <f t="shared" si="10"/>
        <v>1</v>
      </c>
      <c r="E163" s="40"/>
      <c r="G163" s="40" t="s">
        <v>23</v>
      </c>
      <c r="H163" s="10" t="s">
        <v>23</v>
      </c>
      <c r="K163" s="10" t="s">
        <v>129</v>
      </c>
      <c r="Q163" s="47"/>
      <c r="S163" s="298">
        <f t="shared" si="11"/>
        <v>11</v>
      </c>
      <c r="T163" s="169" t="str">
        <f t="shared" si="11"/>
        <v/>
      </c>
      <c r="U163" s="169" t="str">
        <f t="shared" si="11"/>
        <v/>
      </c>
      <c r="V163" s="169" t="str">
        <f t="shared" si="11"/>
        <v/>
      </c>
      <c r="W163" s="169" t="str">
        <f t="shared" si="11"/>
        <v/>
      </c>
      <c r="X163" s="169" t="str">
        <f t="shared" si="11"/>
        <v/>
      </c>
      <c r="Y163" s="169" t="str">
        <f t="shared" si="11"/>
        <v/>
      </c>
      <c r="Z163" s="169" t="str">
        <f t="shared" si="11"/>
        <v/>
      </c>
      <c r="AA163" s="299" t="str">
        <f t="shared" si="11"/>
        <v/>
      </c>
      <c r="AB163" s="169">
        <f t="shared" si="12"/>
        <v>11</v>
      </c>
      <c r="AC163" s="169" t="str">
        <f t="shared" si="12"/>
        <v/>
      </c>
      <c r="AD163" s="169" t="str">
        <f t="shared" si="12"/>
        <v/>
      </c>
      <c r="AE163" s="169" t="str">
        <f t="shared" si="12"/>
        <v/>
      </c>
      <c r="AF163" s="169" t="str">
        <f t="shared" si="12"/>
        <v/>
      </c>
      <c r="AG163" s="169" t="str">
        <f t="shared" si="12"/>
        <v/>
      </c>
      <c r="AH163" s="169" t="str">
        <f t="shared" si="12"/>
        <v/>
      </c>
      <c r="AI163" s="169" t="str">
        <f t="shared" si="12"/>
        <v/>
      </c>
      <c r="AJ163" s="299" t="str">
        <f t="shared" si="12"/>
        <v/>
      </c>
      <c r="AK163" s="298" t="str">
        <f t="shared" si="13"/>
        <v/>
      </c>
      <c r="AL163" s="299" t="str">
        <f t="shared" si="13"/>
        <v/>
      </c>
      <c r="AM163" s="169" t="str">
        <f t="shared" si="14"/>
        <v/>
      </c>
      <c r="AN163" s="169" t="str">
        <f t="shared" si="14"/>
        <v/>
      </c>
      <c r="AO163" s="169" t="str">
        <f t="shared" si="14"/>
        <v/>
      </c>
      <c r="AP163" s="169" t="str">
        <f t="shared" si="14"/>
        <v/>
      </c>
      <c r="AQ163" s="169" t="str">
        <f t="shared" si="14"/>
        <v/>
      </c>
      <c r="AR163" s="169" t="str">
        <f t="shared" si="14"/>
        <v/>
      </c>
      <c r="AS163" s="169" t="str">
        <f t="shared" si="14"/>
        <v/>
      </c>
      <c r="AT163" s="169" t="str">
        <f t="shared" si="14"/>
        <v/>
      </c>
      <c r="AU163" s="299" t="str">
        <f t="shared" si="14"/>
        <v/>
      </c>
      <c r="AV163" s="169" t="str">
        <f t="shared" ref="AV163:AV194" si="25">IF($J163=AV$159,$DC163,"")</f>
        <v/>
      </c>
      <c r="AW163" s="169"/>
      <c r="AX163" s="169"/>
      <c r="AY163" s="169" t="str">
        <f t="shared" ref="AY163:BA182" si="26">IF($J163=AY$159,$DC163,"")</f>
        <v/>
      </c>
      <c r="AZ163" s="169" t="str">
        <f t="shared" si="26"/>
        <v/>
      </c>
      <c r="BA163" s="299" t="str">
        <f t="shared" si="26"/>
        <v/>
      </c>
      <c r="BB163" s="169" t="str">
        <f>IF($K163=BB$159,$DC163,"")</f>
        <v/>
      </c>
      <c r="BC163" s="169" t="str">
        <f>IF($K163=BC$159,$DC163,"")</f>
        <v/>
      </c>
      <c r="BD163" s="169">
        <f>3*D163</f>
        <v>3</v>
      </c>
      <c r="BE163" s="169" t="str">
        <f t="shared" ref="BE163:BG182" si="27">IF($K163=BE$159,$DC163,"")</f>
        <v/>
      </c>
      <c r="BF163" s="169" t="str">
        <f t="shared" si="27"/>
        <v/>
      </c>
      <c r="BG163" s="169" t="str">
        <f t="shared" si="27"/>
        <v/>
      </c>
      <c r="BH163" s="298" t="str">
        <f t="shared" si="17"/>
        <v/>
      </c>
      <c r="BI163" s="169" t="str">
        <f t="shared" ref="BI163:BI203" si="28">IF($L163=BI$159,$DC163,"")</f>
        <v/>
      </c>
      <c r="BJ163" s="169" t="str">
        <f t="shared" si="18"/>
        <v/>
      </c>
      <c r="BK163" s="169" t="str">
        <f t="shared" si="18"/>
        <v/>
      </c>
      <c r="BL163" s="169" t="str">
        <f t="shared" si="18"/>
        <v/>
      </c>
      <c r="BM163" s="299" t="str">
        <f t="shared" si="18"/>
        <v/>
      </c>
      <c r="BN163" s="298" t="str">
        <f t="shared" si="19"/>
        <v/>
      </c>
      <c r="BO163" s="169" t="str">
        <f t="shared" si="19"/>
        <v/>
      </c>
      <c r="BP163" s="169" t="str">
        <f t="shared" si="19"/>
        <v/>
      </c>
      <c r="BQ163" s="169" t="str">
        <f t="shared" si="19"/>
        <v/>
      </c>
      <c r="BR163" s="169" t="str">
        <f t="shared" si="19"/>
        <v/>
      </c>
      <c r="BS163" s="169" t="str">
        <f t="shared" si="19"/>
        <v/>
      </c>
      <c r="BT163" s="169" t="str">
        <f t="shared" si="19"/>
        <v/>
      </c>
      <c r="BU163" s="169" t="str">
        <f t="shared" si="19"/>
        <v/>
      </c>
      <c r="BV163" s="299" t="str">
        <f t="shared" si="19"/>
        <v/>
      </c>
      <c r="BW163" s="298" t="str">
        <f t="shared" si="20"/>
        <v/>
      </c>
      <c r="BX163" s="169" t="str">
        <f t="shared" si="20"/>
        <v/>
      </c>
      <c r="BY163" s="169" t="str">
        <f t="shared" si="20"/>
        <v/>
      </c>
      <c r="BZ163" s="169" t="str">
        <f t="shared" si="20"/>
        <v/>
      </c>
      <c r="CA163" s="169" t="str">
        <f t="shared" si="20"/>
        <v/>
      </c>
      <c r="CB163" s="169" t="str">
        <f t="shared" si="20"/>
        <v/>
      </c>
      <c r="CC163" s="169" t="str">
        <f t="shared" si="20"/>
        <v/>
      </c>
      <c r="CD163" s="169" t="str">
        <f t="shared" si="20"/>
        <v/>
      </c>
      <c r="CE163" s="299" t="str">
        <f t="shared" si="20"/>
        <v/>
      </c>
      <c r="CF163" s="298" t="str">
        <f t="shared" si="21"/>
        <v/>
      </c>
      <c r="CG163" s="169" t="str">
        <f t="shared" si="21"/>
        <v/>
      </c>
      <c r="CH163" s="169" t="str">
        <f t="shared" si="21"/>
        <v/>
      </c>
      <c r="CI163" s="169" t="str">
        <f t="shared" si="21"/>
        <v/>
      </c>
      <c r="CJ163" s="169" t="str">
        <f t="shared" si="21"/>
        <v/>
      </c>
      <c r="CK163" s="299" t="str">
        <f t="shared" si="21"/>
        <v/>
      </c>
      <c r="CL163" s="298" t="str">
        <f t="shared" si="22"/>
        <v/>
      </c>
      <c r="CM163" s="169" t="str">
        <f t="shared" si="22"/>
        <v/>
      </c>
      <c r="CN163" s="169" t="str">
        <f t="shared" si="22"/>
        <v/>
      </c>
      <c r="CO163" s="169" t="str">
        <f t="shared" si="22"/>
        <v/>
      </c>
      <c r="CP163" s="169" t="str">
        <f t="shared" si="22"/>
        <v/>
      </c>
      <c r="CQ163" s="299" t="str">
        <f t="shared" si="22"/>
        <v/>
      </c>
      <c r="CR163" s="298" t="str">
        <f t="shared" si="22"/>
        <v/>
      </c>
      <c r="CS163" s="169" t="str">
        <f t="shared" si="22"/>
        <v/>
      </c>
      <c r="CT163" s="169" t="str">
        <f t="shared" si="22"/>
        <v/>
      </c>
      <c r="CU163" s="169" t="str">
        <f t="shared" si="22"/>
        <v/>
      </c>
      <c r="CV163" s="169" t="str">
        <f t="shared" si="22"/>
        <v/>
      </c>
      <c r="CW163" s="299" t="str">
        <f t="shared" si="22"/>
        <v/>
      </c>
      <c r="CX163" s="299" t="str">
        <f t="shared" si="22"/>
        <v/>
      </c>
      <c r="CZ163" s="10"/>
      <c r="DB163" s="10">
        <f t="shared" si="23"/>
        <v>11</v>
      </c>
      <c r="DC163" s="10">
        <f t="shared" si="24"/>
        <v>5.5</v>
      </c>
    </row>
    <row r="164" spans="2:107" x14ac:dyDescent="0.25">
      <c r="B164" s="127"/>
      <c r="C164" s="526" t="str">
        <f t="shared" si="9"/>
        <v>Sink WH (10116 /21352 (OSM))</v>
      </c>
      <c r="D164" s="527">
        <f t="shared" si="10"/>
        <v>2</v>
      </c>
      <c r="G164" s="40"/>
      <c r="H164" s="10" t="s">
        <v>23</v>
      </c>
      <c r="I164" s="10" t="s">
        <v>23</v>
      </c>
      <c r="K164" s="10" t="s">
        <v>26</v>
      </c>
      <c r="Q164" s="47"/>
      <c r="S164" s="298" t="str">
        <f t="shared" si="11"/>
        <v/>
      </c>
      <c r="T164" s="169" t="str">
        <f t="shared" si="11"/>
        <v/>
      </c>
      <c r="U164" s="169" t="str">
        <f t="shared" si="11"/>
        <v/>
      </c>
      <c r="V164" s="169" t="str">
        <f t="shared" si="11"/>
        <v/>
      </c>
      <c r="W164" s="169" t="str">
        <f t="shared" si="11"/>
        <v/>
      </c>
      <c r="X164" s="169" t="str">
        <f t="shared" si="11"/>
        <v/>
      </c>
      <c r="Y164" s="169" t="str">
        <f t="shared" si="11"/>
        <v/>
      </c>
      <c r="Z164" s="169" t="str">
        <f t="shared" si="11"/>
        <v/>
      </c>
      <c r="AA164" s="299" t="str">
        <f t="shared" si="11"/>
        <v/>
      </c>
      <c r="AB164" s="169">
        <f t="shared" si="12"/>
        <v>22</v>
      </c>
      <c r="AC164" s="169" t="str">
        <f t="shared" si="12"/>
        <v/>
      </c>
      <c r="AD164" s="169" t="str">
        <f t="shared" si="12"/>
        <v/>
      </c>
      <c r="AE164" s="169" t="str">
        <f t="shared" si="12"/>
        <v/>
      </c>
      <c r="AF164" s="169" t="str">
        <f t="shared" si="12"/>
        <v/>
      </c>
      <c r="AG164" s="169" t="str">
        <f t="shared" si="12"/>
        <v/>
      </c>
      <c r="AH164" s="169" t="str">
        <f t="shared" si="12"/>
        <v/>
      </c>
      <c r="AI164" s="169" t="str">
        <f t="shared" si="12"/>
        <v/>
      </c>
      <c r="AJ164" s="299" t="str">
        <f t="shared" si="12"/>
        <v/>
      </c>
      <c r="AK164" s="298" t="str">
        <f t="shared" si="13"/>
        <v/>
      </c>
      <c r="AL164" s="299" t="str">
        <f t="shared" si="13"/>
        <v/>
      </c>
      <c r="AM164" s="169">
        <f t="shared" si="14"/>
        <v>22</v>
      </c>
      <c r="AN164" s="169" t="str">
        <f t="shared" si="14"/>
        <v/>
      </c>
      <c r="AO164" s="169" t="str">
        <f t="shared" si="14"/>
        <v/>
      </c>
      <c r="AP164" s="169" t="str">
        <f t="shared" si="14"/>
        <v/>
      </c>
      <c r="AQ164" s="169" t="str">
        <f t="shared" si="14"/>
        <v/>
      </c>
      <c r="AR164" s="169" t="str">
        <f t="shared" si="14"/>
        <v/>
      </c>
      <c r="AS164" s="169" t="str">
        <f t="shared" si="14"/>
        <v/>
      </c>
      <c r="AT164" s="169" t="str">
        <f t="shared" si="14"/>
        <v/>
      </c>
      <c r="AU164" s="299" t="str">
        <f t="shared" si="14"/>
        <v/>
      </c>
      <c r="AV164" s="169" t="str">
        <f t="shared" si="25"/>
        <v/>
      </c>
      <c r="AW164" s="169"/>
      <c r="AX164" s="169"/>
      <c r="AY164" s="169" t="str">
        <f t="shared" si="26"/>
        <v/>
      </c>
      <c r="AZ164" s="169" t="str">
        <f t="shared" si="26"/>
        <v/>
      </c>
      <c r="BA164" s="299" t="str">
        <f t="shared" si="26"/>
        <v/>
      </c>
      <c r="BB164" s="169" t="str">
        <f t="shared" ref="BB164:BB195" si="29">IF($K164=BB$159,$DC164,"")</f>
        <v/>
      </c>
      <c r="BC164" s="169">
        <f>3*D164</f>
        <v>6</v>
      </c>
      <c r="BD164" s="169" t="str">
        <f t="shared" ref="BD164:BD207" si="30">IF($K164=BD$159,$DC164,"")</f>
        <v/>
      </c>
      <c r="BE164" s="169" t="str">
        <f t="shared" si="27"/>
        <v/>
      </c>
      <c r="BF164" s="169" t="str">
        <f t="shared" si="27"/>
        <v/>
      </c>
      <c r="BG164" s="169" t="str">
        <f t="shared" si="27"/>
        <v/>
      </c>
      <c r="BH164" s="298" t="str">
        <f t="shared" si="17"/>
        <v/>
      </c>
      <c r="BI164" s="169" t="str">
        <f t="shared" si="28"/>
        <v/>
      </c>
      <c r="BJ164" s="169" t="str">
        <f t="shared" si="18"/>
        <v/>
      </c>
      <c r="BK164" s="169" t="str">
        <f t="shared" si="18"/>
        <v/>
      </c>
      <c r="BL164" s="169" t="str">
        <f t="shared" si="18"/>
        <v/>
      </c>
      <c r="BM164" s="299" t="str">
        <f t="shared" si="18"/>
        <v/>
      </c>
      <c r="BN164" s="298" t="str">
        <f t="shared" si="19"/>
        <v/>
      </c>
      <c r="BO164" s="169" t="str">
        <f t="shared" si="19"/>
        <v/>
      </c>
      <c r="BP164" s="169" t="str">
        <f t="shared" si="19"/>
        <v/>
      </c>
      <c r="BQ164" s="169" t="str">
        <f t="shared" si="19"/>
        <v/>
      </c>
      <c r="BR164" s="169" t="str">
        <f t="shared" si="19"/>
        <v/>
      </c>
      <c r="BS164" s="169" t="str">
        <f t="shared" si="19"/>
        <v/>
      </c>
      <c r="BT164" s="169" t="str">
        <f t="shared" si="19"/>
        <v/>
      </c>
      <c r="BU164" s="169" t="str">
        <f t="shared" si="19"/>
        <v/>
      </c>
      <c r="BV164" s="299" t="str">
        <f t="shared" si="19"/>
        <v/>
      </c>
      <c r="BW164" s="298" t="str">
        <f t="shared" si="20"/>
        <v/>
      </c>
      <c r="BX164" s="169" t="str">
        <f t="shared" si="20"/>
        <v/>
      </c>
      <c r="BY164" s="169" t="str">
        <f t="shared" si="20"/>
        <v/>
      </c>
      <c r="BZ164" s="169" t="str">
        <f t="shared" si="20"/>
        <v/>
      </c>
      <c r="CA164" s="169" t="str">
        <f t="shared" si="20"/>
        <v/>
      </c>
      <c r="CB164" s="169" t="str">
        <f t="shared" si="20"/>
        <v/>
      </c>
      <c r="CC164" s="169" t="str">
        <f t="shared" si="20"/>
        <v/>
      </c>
      <c r="CD164" s="169" t="str">
        <f t="shared" si="20"/>
        <v/>
      </c>
      <c r="CE164" s="299" t="str">
        <f t="shared" si="20"/>
        <v/>
      </c>
      <c r="CF164" s="298" t="str">
        <f t="shared" si="21"/>
        <v/>
      </c>
      <c r="CG164" s="169" t="str">
        <f t="shared" si="21"/>
        <v/>
      </c>
      <c r="CH164" s="169" t="str">
        <f t="shared" si="21"/>
        <v/>
      </c>
      <c r="CI164" s="169" t="str">
        <f t="shared" si="21"/>
        <v/>
      </c>
      <c r="CJ164" s="169" t="str">
        <f t="shared" si="21"/>
        <v/>
      </c>
      <c r="CK164" s="299" t="str">
        <f t="shared" si="21"/>
        <v/>
      </c>
      <c r="CL164" s="298" t="str">
        <f t="shared" si="22"/>
        <v/>
      </c>
      <c r="CM164" s="169" t="str">
        <f t="shared" si="22"/>
        <v/>
      </c>
      <c r="CN164" s="169" t="str">
        <f t="shared" si="22"/>
        <v/>
      </c>
      <c r="CO164" s="169" t="str">
        <f t="shared" si="22"/>
        <v/>
      </c>
      <c r="CP164" s="169" t="str">
        <f t="shared" si="22"/>
        <v/>
      </c>
      <c r="CQ164" s="299" t="str">
        <f t="shared" si="22"/>
        <v/>
      </c>
      <c r="CR164" s="298" t="str">
        <f t="shared" si="22"/>
        <v/>
      </c>
      <c r="CS164" s="169" t="str">
        <f t="shared" si="22"/>
        <v/>
      </c>
      <c r="CT164" s="169" t="str">
        <f t="shared" si="22"/>
        <v/>
      </c>
      <c r="CU164" s="169" t="str">
        <f t="shared" si="22"/>
        <v/>
      </c>
      <c r="CV164" s="169" t="str">
        <f t="shared" si="22"/>
        <v/>
      </c>
      <c r="CW164" s="299" t="str">
        <f t="shared" si="22"/>
        <v/>
      </c>
      <c r="CX164" s="299" t="str">
        <f t="shared" si="22"/>
        <v/>
      </c>
      <c r="CZ164" s="10"/>
      <c r="DB164" s="10">
        <f t="shared" si="23"/>
        <v>22</v>
      </c>
      <c r="DC164" s="10">
        <f t="shared" si="24"/>
        <v>11</v>
      </c>
    </row>
    <row r="165" spans="2:107" x14ac:dyDescent="0.25">
      <c r="B165" s="127" t="s">
        <v>794</v>
      </c>
      <c r="C165" s="526" t="str">
        <f t="shared" si="9"/>
        <v>Sink with CTOP rinser (22768 (OSM))</v>
      </c>
      <c r="D165" s="527">
        <f t="shared" si="10"/>
        <v>2</v>
      </c>
      <c r="G165" s="40" t="s">
        <v>23</v>
      </c>
      <c r="Q165" s="47"/>
      <c r="S165" s="298">
        <f t="shared" si="11"/>
        <v>22</v>
      </c>
      <c r="T165" s="169" t="str">
        <f t="shared" si="11"/>
        <v/>
      </c>
      <c r="U165" s="169" t="str">
        <f t="shared" si="11"/>
        <v/>
      </c>
      <c r="V165" s="169" t="str">
        <f t="shared" si="11"/>
        <v/>
      </c>
      <c r="W165" s="169" t="str">
        <f t="shared" si="11"/>
        <v/>
      </c>
      <c r="X165" s="169" t="str">
        <f t="shared" si="11"/>
        <v/>
      </c>
      <c r="Y165" s="169" t="str">
        <f t="shared" si="11"/>
        <v/>
      </c>
      <c r="Z165" s="169" t="str">
        <f t="shared" si="11"/>
        <v/>
      </c>
      <c r="AA165" s="299" t="str">
        <f t="shared" si="11"/>
        <v/>
      </c>
      <c r="AB165" s="169" t="str">
        <f t="shared" si="12"/>
        <v/>
      </c>
      <c r="AC165" s="169" t="str">
        <f t="shared" si="12"/>
        <v/>
      </c>
      <c r="AD165" s="169" t="str">
        <f t="shared" si="12"/>
        <v/>
      </c>
      <c r="AE165" s="169" t="str">
        <f t="shared" si="12"/>
        <v/>
      </c>
      <c r="AF165" s="169" t="str">
        <f t="shared" si="12"/>
        <v/>
      </c>
      <c r="AG165" s="169" t="str">
        <f t="shared" si="12"/>
        <v/>
      </c>
      <c r="AH165" s="169" t="str">
        <f t="shared" si="12"/>
        <v/>
      </c>
      <c r="AI165" s="169" t="str">
        <f t="shared" si="12"/>
        <v/>
      </c>
      <c r="AJ165" s="299" t="str">
        <f t="shared" si="12"/>
        <v/>
      </c>
      <c r="AK165" s="298" t="str">
        <f t="shared" si="13"/>
        <v/>
      </c>
      <c r="AL165" s="299" t="str">
        <f t="shared" si="13"/>
        <v/>
      </c>
      <c r="AM165" s="169" t="str">
        <f t="shared" si="14"/>
        <v/>
      </c>
      <c r="AN165" s="169" t="str">
        <f t="shared" si="14"/>
        <v/>
      </c>
      <c r="AO165" s="169" t="str">
        <f t="shared" si="14"/>
        <v/>
      </c>
      <c r="AP165" s="169" t="str">
        <f t="shared" si="14"/>
        <v/>
      </c>
      <c r="AQ165" s="169" t="str">
        <f t="shared" si="14"/>
        <v/>
      </c>
      <c r="AR165" s="169" t="str">
        <f t="shared" si="14"/>
        <v/>
      </c>
      <c r="AS165" s="169" t="str">
        <f t="shared" si="14"/>
        <v/>
      </c>
      <c r="AT165" s="169" t="str">
        <f t="shared" si="14"/>
        <v/>
      </c>
      <c r="AU165" s="299" t="str">
        <f t="shared" si="14"/>
        <v/>
      </c>
      <c r="AV165" s="169" t="str">
        <f t="shared" si="25"/>
        <v/>
      </c>
      <c r="AW165" s="169"/>
      <c r="AX165" s="169"/>
      <c r="AY165" s="169" t="str">
        <f t="shared" si="26"/>
        <v/>
      </c>
      <c r="AZ165" s="169" t="str">
        <f t="shared" si="26"/>
        <v/>
      </c>
      <c r="BA165" s="299" t="str">
        <f t="shared" si="26"/>
        <v/>
      </c>
      <c r="BB165" s="169" t="str">
        <f t="shared" si="29"/>
        <v/>
      </c>
      <c r="BC165" s="169" t="str">
        <f>IF($K165=BC$159,$DC165,"")</f>
        <v/>
      </c>
      <c r="BD165" s="169" t="str">
        <f t="shared" si="30"/>
        <v/>
      </c>
      <c r="BE165" s="169" t="str">
        <f t="shared" si="27"/>
        <v/>
      </c>
      <c r="BF165" s="169" t="str">
        <f t="shared" si="27"/>
        <v/>
      </c>
      <c r="BG165" s="169" t="str">
        <f t="shared" si="27"/>
        <v/>
      </c>
      <c r="BH165" s="298" t="str">
        <f t="shared" si="17"/>
        <v/>
      </c>
      <c r="BI165" s="169" t="str">
        <f t="shared" si="28"/>
        <v/>
      </c>
      <c r="BJ165" s="169" t="str">
        <f t="shared" si="18"/>
        <v/>
      </c>
      <c r="BK165" s="169" t="str">
        <f t="shared" si="18"/>
        <v/>
      </c>
      <c r="BL165" s="169" t="str">
        <f t="shared" si="18"/>
        <v/>
      </c>
      <c r="BM165" s="299" t="str">
        <f t="shared" si="18"/>
        <v/>
      </c>
      <c r="BN165" s="298" t="str">
        <f t="shared" si="19"/>
        <v/>
      </c>
      <c r="BO165" s="169" t="str">
        <f t="shared" si="19"/>
        <v/>
      </c>
      <c r="BP165" s="169" t="str">
        <f t="shared" si="19"/>
        <v/>
      </c>
      <c r="BQ165" s="169" t="str">
        <f t="shared" si="19"/>
        <v/>
      </c>
      <c r="BR165" s="169" t="str">
        <f t="shared" si="19"/>
        <v/>
      </c>
      <c r="BS165" s="169" t="str">
        <f t="shared" si="19"/>
        <v/>
      </c>
      <c r="BT165" s="169" t="str">
        <f t="shared" si="19"/>
        <v/>
      </c>
      <c r="BU165" s="169" t="str">
        <f t="shared" si="19"/>
        <v/>
      </c>
      <c r="BV165" s="299" t="str">
        <f t="shared" si="19"/>
        <v/>
      </c>
      <c r="BW165" s="298" t="str">
        <f t="shared" si="20"/>
        <v/>
      </c>
      <c r="BX165" s="169" t="str">
        <f t="shared" si="20"/>
        <v/>
      </c>
      <c r="BY165" s="169" t="str">
        <f t="shared" si="20"/>
        <v/>
      </c>
      <c r="BZ165" s="169" t="str">
        <f t="shared" si="20"/>
        <v/>
      </c>
      <c r="CA165" s="169" t="str">
        <f t="shared" si="20"/>
        <v/>
      </c>
      <c r="CB165" s="169" t="str">
        <f t="shared" si="20"/>
        <v/>
      </c>
      <c r="CC165" s="169" t="str">
        <f t="shared" si="20"/>
        <v/>
      </c>
      <c r="CD165" s="169" t="str">
        <f t="shared" si="20"/>
        <v/>
      </c>
      <c r="CE165" s="299" t="str">
        <f t="shared" si="20"/>
        <v/>
      </c>
      <c r="CF165" s="298" t="str">
        <f t="shared" si="21"/>
        <v/>
      </c>
      <c r="CG165" s="169" t="str">
        <f t="shared" si="21"/>
        <v/>
      </c>
      <c r="CH165" s="169" t="str">
        <f t="shared" si="21"/>
        <v/>
      </c>
      <c r="CI165" s="169" t="str">
        <f t="shared" si="21"/>
        <v/>
      </c>
      <c r="CJ165" s="169" t="str">
        <f t="shared" si="21"/>
        <v/>
      </c>
      <c r="CK165" s="299" t="str">
        <f t="shared" si="21"/>
        <v/>
      </c>
      <c r="CL165" s="298" t="str">
        <f t="shared" ref="CL165:CU174" si="31">IF($P165=CL$159,$DC165,"")</f>
        <v/>
      </c>
      <c r="CM165" s="169" t="str">
        <f t="shared" si="31"/>
        <v/>
      </c>
      <c r="CN165" s="169" t="str">
        <f t="shared" si="31"/>
        <v/>
      </c>
      <c r="CO165" s="169" t="str">
        <f t="shared" si="31"/>
        <v/>
      </c>
      <c r="CP165" s="169" t="str">
        <f t="shared" si="31"/>
        <v/>
      </c>
      <c r="CQ165" s="299" t="str">
        <f t="shared" si="31"/>
        <v/>
      </c>
      <c r="CR165" s="298" t="str">
        <f t="shared" si="31"/>
        <v/>
      </c>
      <c r="CS165" s="169" t="str">
        <f t="shared" si="31"/>
        <v/>
      </c>
      <c r="CT165" s="169" t="str">
        <f t="shared" si="31"/>
        <v/>
      </c>
      <c r="CU165" s="169" t="str">
        <f t="shared" si="31"/>
        <v/>
      </c>
      <c r="CV165" s="169">
        <f>8*D165</f>
        <v>16</v>
      </c>
      <c r="CW165" s="299" t="str">
        <f t="shared" ref="CW165:CX195" si="32">IF($P165=CW$159,$DC165,"")</f>
        <v/>
      </c>
      <c r="CX165" s="299" t="str">
        <f t="shared" si="32"/>
        <v/>
      </c>
      <c r="CZ165" s="10"/>
      <c r="DB165" s="10">
        <f t="shared" si="23"/>
        <v>22</v>
      </c>
      <c r="DC165" s="10">
        <f t="shared" si="24"/>
        <v>11</v>
      </c>
    </row>
    <row r="166" spans="2:107" x14ac:dyDescent="0.25">
      <c r="B166" s="127"/>
      <c r="C166" s="526" t="str">
        <f t="shared" si="9"/>
        <v>CTOP-F water tower (10153 (OSM))</v>
      </c>
      <c r="D166" s="527">
        <f t="shared" si="10"/>
        <v>2</v>
      </c>
      <c r="G166" s="40"/>
      <c r="I166" s="10" t="s">
        <v>23</v>
      </c>
      <c r="Q166" s="47"/>
      <c r="S166" s="298" t="str">
        <f t="shared" si="11"/>
        <v/>
      </c>
      <c r="T166" s="169" t="str">
        <f t="shared" si="11"/>
        <v/>
      </c>
      <c r="U166" s="169" t="str">
        <f t="shared" si="11"/>
        <v/>
      </c>
      <c r="V166" s="169" t="str">
        <f t="shared" si="11"/>
        <v/>
      </c>
      <c r="W166" s="169" t="str">
        <f t="shared" si="11"/>
        <v/>
      </c>
      <c r="X166" s="169" t="str">
        <f t="shared" si="11"/>
        <v/>
      </c>
      <c r="Y166" s="169" t="str">
        <f t="shared" si="11"/>
        <v/>
      </c>
      <c r="Z166" s="169" t="str">
        <f t="shared" si="11"/>
        <v/>
      </c>
      <c r="AA166" s="299" t="str">
        <f t="shared" si="11"/>
        <v/>
      </c>
      <c r="AB166" s="169" t="str">
        <f t="shared" si="12"/>
        <v/>
      </c>
      <c r="AC166" s="169" t="str">
        <f t="shared" si="12"/>
        <v/>
      </c>
      <c r="AD166" s="169" t="str">
        <f t="shared" si="12"/>
        <v/>
      </c>
      <c r="AE166" s="169" t="str">
        <f t="shared" si="12"/>
        <v/>
      </c>
      <c r="AF166" s="169" t="str">
        <f t="shared" si="12"/>
        <v/>
      </c>
      <c r="AG166" s="169" t="str">
        <f t="shared" si="12"/>
        <v/>
      </c>
      <c r="AH166" s="169" t="str">
        <f t="shared" si="12"/>
        <v/>
      </c>
      <c r="AI166" s="169" t="str">
        <f t="shared" si="12"/>
        <v/>
      </c>
      <c r="AJ166" s="299" t="str">
        <f t="shared" si="12"/>
        <v/>
      </c>
      <c r="AK166" s="298" t="str">
        <f t="shared" si="13"/>
        <v/>
      </c>
      <c r="AL166" s="299" t="str">
        <f t="shared" si="13"/>
        <v/>
      </c>
      <c r="AM166" s="169">
        <f t="shared" si="14"/>
        <v>22</v>
      </c>
      <c r="AN166" s="169" t="str">
        <f t="shared" si="14"/>
        <v/>
      </c>
      <c r="AO166" s="169" t="str">
        <f t="shared" si="14"/>
        <v/>
      </c>
      <c r="AP166" s="169" t="str">
        <f t="shared" si="14"/>
        <v/>
      </c>
      <c r="AQ166" s="169" t="str">
        <f t="shared" si="14"/>
        <v/>
      </c>
      <c r="AR166" s="169" t="str">
        <f t="shared" si="14"/>
        <v/>
      </c>
      <c r="AS166" s="169" t="str">
        <f t="shared" si="14"/>
        <v/>
      </c>
      <c r="AT166" s="169" t="str">
        <f t="shared" si="14"/>
        <v/>
      </c>
      <c r="AU166" s="299" t="str">
        <f t="shared" si="14"/>
        <v/>
      </c>
      <c r="AV166" s="169" t="str">
        <f t="shared" si="25"/>
        <v/>
      </c>
      <c r="AW166" s="169"/>
      <c r="AX166" s="169"/>
      <c r="AY166" s="169" t="str">
        <f t="shared" si="26"/>
        <v/>
      </c>
      <c r="AZ166" s="169" t="str">
        <f t="shared" si="26"/>
        <v/>
      </c>
      <c r="BA166" s="299" t="str">
        <f t="shared" si="26"/>
        <v/>
      </c>
      <c r="BB166" s="169" t="str">
        <f t="shared" si="29"/>
        <v/>
      </c>
      <c r="BC166" s="169" t="str">
        <f>IF($K166=BC$159,$DC166,"")</f>
        <v/>
      </c>
      <c r="BD166" s="169" t="str">
        <f t="shared" si="30"/>
        <v/>
      </c>
      <c r="BE166" s="169" t="str">
        <f t="shared" si="27"/>
        <v/>
      </c>
      <c r="BF166" s="169" t="str">
        <f t="shared" si="27"/>
        <v/>
      </c>
      <c r="BG166" s="169" t="str">
        <f t="shared" si="27"/>
        <v/>
      </c>
      <c r="BH166" s="298" t="str">
        <f t="shared" si="17"/>
        <v/>
      </c>
      <c r="BI166" s="169" t="str">
        <f t="shared" si="28"/>
        <v/>
      </c>
      <c r="BJ166" s="169" t="str">
        <f t="shared" si="18"/>
        <v/>
      </c>
      <c r="BK166" s="169" t="str">
        <f t="shared" si="18"/>
        <v/>
      </c>
      <c r="BL166" s="169" t="str">
        <f t="shared" si="18"/>
        <v/>
      </c>
      <c r="BM166" s="299" t="str">
        <f t="shared" si="18"/>
        <v/>
      </c>
      <c r="BN166" s="298" t="str">
        <f t="shared" si="19"/>
        <v/>
      </c>
      <c r="BO166" s="169" t="str">
        <f t="shared" si="19"/>
        <v/>
      </c>
      <c r="BP166" s="169" t="str">
        <f t="shared" si="19"/>
        <v/>
      </c>
      <c r="BQ166" s="169" t="str">
        <f t="shared" si="19"/>
        <v/>
      </c>
      <c r="BR166" s="169" t="str">
        <f t="shared" si="19"/>
        <v/>
      </c>
      <c r="BS166" s="169" t="str">
        <f t="shared" si="19"/>
        <v/>
      </c>
      <c r="BT166" s="169" t="str">
        <f t="shared" si="19"/>
        <v/>
      </c>
      <c r="BU166" s="169" t="str">
        <f t="shared" si="19"/>
        <v/>
      </c>
      <c r="BV166" s="299" t="str">
        <f t="shared" si="19"/>
        <v/>
      </c>
      <c r="BW166" s="298" t="str">
        <f t="shared" si="20"/>
        <v/>
      </c>
      <c r="BX166" s="169" t="str">
        <f t="shared" si="20"/>
        <v/>
      </c>
      <c r="BY166" s="169" t="str">
        <f t="shared" si="20"/>
        <v/>
      </c>
      <c r="BZ166" s="169" t="str">
        <f t="shared" si="20"/>
        <v/>
      </c>
      <c r="CA166" s="169" t="str">
        <f t="shared" si="20"/>
        <v/>
      </c>
      <c r="CB166" s="169" t="str">
        <f t="shared" si="20"/>
        <v/>
      </c>
      <c r="CC166" s="169" t="str">
        <f t="shared" si="20"/>
        <v/>
      </c>
      <c r="CD166" s="169" t="str">
        <f t="shared" si="20"/>
        <v/>
      </c>
      <c r="CE166" s="299" t="str">
        <f t="shared" si="20"/>
        <v/>
      </c>
      <c r="CF166" s="298" t="str">
        <f t="shared" si="21"/>
        <v/>
      </c>
      <c r="CG166" s="169" t="str">
        <f t="shared" si="21"/>
        <v/>
      </c>
      <c r="CH166" s="169" t="str">
        <f t="shared" si="21"/>
        <v/>
      </c>
      <c r="CI166" s="169" t="str">
        <f t="shared" si="21"/>
        <v/>
      </c>
      <c r="CJ166" s="169" t="str">
        <f t="shared" si="21"/>
        <v/>
      </c>
      <c r="CK166" s="299" t="str">
        <f t="shared" si="21"/>
        <v/>
      </c>
      <c r="CL166" s="298" t="str">
        <f t="shared" si="31"/>
        <v/>
      </c>
      <c r="CM166" s="169" t="str">
        <f t="shared" si="31"/>
        <v/>
      </c>
      <c r="CN166" s="169" t="str">
        <f t="shared" si="31"/>
        <v/>
      </c>
      <c r="CO166" s="169" t="str">
        <f t="shared" si="31"/>
        <v/>
      </c>
      <c r="CP166" s="169" t="str">
        <f t="shared" si="31"/>
        <v/>
      </c>
      <c r="CQ166" s="299" t="str">
        <f t="shared" si="31"/>
        <v/>
      </c>
      <c r="CR166" s="298" t="str">
        <f t="shared" si="31"/>
        <v/>
      </c>
      <c r="CS166" s="169" t="str">
        <f t="shared" si="31"/>
        <v/>
      </c>
      <c r="CT166" s="169" t="str">
        <f t="shared" si="31"/>
        <v/>
      </c>
      <c r="CU166" s="169" t="str">
        <f t="shared" si="31"/>
        <v/>
      </c>
      <c r="CV166" s="169" t="str">
        <f>IF($P166=CV$159,$DC166,"")</f>
        <v/>
      </c>
      <c r="CW166" s="299" t="str">
        <f t="shared" si="32"/>
        <v/>
      </c>
      <c r="CX166" s="299" t="str">
        <f t="shared" si="32"/>
        <v/>
      </c>
      <c r="CZ166" s="10"/>
      <c r="DB166" s="10">
        <f t="shared" si="23"/>
        <v>22</v>
      </c>
      <c r="DC166" s="10">
        <f t="shared" si="24"/>
        <v>11</v>
      </c>
    </row>
    <row r="167" spans="2:107" x14ac:dyDescent="0.25">
      <c r="B167" s="127"/>
      <c r="C167" s="526" t="str">
        <f t="shared" si="9"/>
        <v>CTOP-F metered (11003 (OSM))</v>
      </c>
      <c r="D167" s="527">
        <f t="shared" si="10"/>
        <v>2</v>
      </c>
      <c r="G167" s="40" t="s">
        <v>23</v>
      </c>
      <c r="Q167" s="47"/>
      <c r="S167" s="298">
        <f t="shared" si="11"/>
        <v>22</v>
      </c>
      <c r="T167" s="169" t="str">
        <f t="shared" si="11"/>
        <v/>
      </c>
      <c r="U167" s="169" t="str">
        <f t="shared" si="11"/>
        <v/>
      </c>
      <c r="V167" s="169" t="str">
        <f t="shared" si="11"/>
        <v/>
      </c>
      <c r="W167" s="169" t="str">
        <f t="shared" si="11"/>
        <v/>
      </c>
      <c r="X167" s="169" t="str">
        <f t="shared" si="11"/>
        <v/>
      </c>
      <c r="Y167" s="169" t="str">
        <f t="shared" si="11"/>
        <v/>
      </c>
      <c r="Z167" s="169" t="str">
        <f t="shared" si="11"/>
        <v/>
      </c>
      <c r="AA167" s="299" t="str">
        <f t="shared" si="11"/>
        <v/>
      </c>
      <c r="AB167" s="169" t="str">
        <f t="shared" si="12"/>
        <v/>
      </c>
      <c r="AC167" s="169" t="str">
        <f t="shared" si="12"/>
        <v/>
      </c>
      <c r="AD167" s="169" t="str">
        <f t="shared" si="12"/>
        <v/>
      </c>
      <c r="AE167" s="169" t="str">
        <f t="shared" si="12"/>
        <v/>
      </c>
      <c r="AF167" s="169" t="str">
        <f t="shared" si="12"/>
        <v/>
      </c>
      <c r="AG167" s="169" t="str">
        <f t="shared" si="12"/>
        <v/>
      </c>
      <c r="AH167" s="169" t="str">
        <f t="shared" si="12"/>
        <v/>
      </c>
      <c r="AI167" s="169" t="str">
        <f t="shared" si="12"/>
        <v/>
      </c>
      <c r="AJ167" s="299" t="str">
        <f t="shared" si="12"/>
        <v/>
      </c>
      <c r="AK167" s="298" t="str">
        <f t="shared" si="13"/>
        <v/>
      </c>
      <c r="AL167" s="299" t="str">
        <f t="shared" si="13"/>
        <v/>
      </c>
      <c r="AM167" s="169" t="str">
        <f t="shared" si="14"/>
        <v/>
      </c>
      <c r="AN167" s="169" t="str">
        <f t="shared" si="14"/>
        <v/>
      </c>
      <c r="AO167" s="169" t="str">
        <f t="shared" si="14"/>
        <v/>
      </c>
      <c r="AP167" s="169" t="str">
        <f t="shared" si="14"/>
        <v/>
      </c>
      <c r="AQ167" s="169" t="str">
        <f t="shared" si="14"/>
        <v/>
      </c>
      <c r="AR167" s="169" t="str">
        <f t="shared" si="14"/>
        <v/>
      </c>
      <c r="AS167" s="169" t="str">
        <f t="shared" si="14"/>
        <v/>
      </c>
      <c r="AT167" s="169" t="str">
        <f t="shared" si="14"/>
        <v/>
      </c>
      <c r="AU167" s="299" t="str">
        <f t="shared" si="14"/>
        <v/>
      </c>
      <c r="AV167" s="169" t="str">
        <f t="shared" si="25"/>
        <v/>
      </c>
      <c r="AW167" s="169"/>
      <c r="AX167" s="169"/>
      <c r="AY167" s="169" t="str">
        <f t="shared" si="26"/>
        <v/>
      </c>
      <c r="AZ167" s="169" t="str">
        <f t="shared" si="26"/>
        <v/>
      </c>
      <c r="BA167" s="299" t="str">
        <f t="shared" si="26"/>
        <v/>
      </c>
      <c r="BB167" s="169" t="str">
        <f t="shared" si="29"/>
        <v/>
      </c>
      <c r="BC167" s="169" t="str">
        <f>IF($K167=BC$159,$DC167,"")</f>
        <v/>
      </c>
      <c r="BD167" s="169" t="str">
        <f t="shared" si="30"/>
        <v/>
      </c>
      <c r="BE167" s="169" t="str">
        <f t="shared" si="27"/>
        <v/>
      </c>
      <c r="BF167" s="169" t="str">
        <f t="shared" si="27"/>
        <v/>
      </c>
      <c r="BG167" s="169" t="str">
        <f t="shared" si="27"/>
        <v/>
      </c>
      <c r="BH167" s="298" t="str">
        <f t="shared" si="17"/>
        <v/>
      </c>
      <c r="BI167" s="169" t="str">
        <f t="shared" si="28"/>
        <v/>
      </c>
      <c r="BJ167" s="169" t="str">
        <f t="shared" si="18"/>
        <v/>
      </c>
      <c r="BK167" s="169" t="str">
        <f t="shared" si="18"/>
        <v/>
      </c>
      <c r="BL167" s="169" t="str">
        <f t="shared" si="18"/>
        <v/>
      </c>
      <c r="BM167" s="299" t="str">
        <f t="shared" si="18"/>
        <v/>
      </c>
      <c r="BN167" s="298" t="str">
        <f t="shared" si="19"/>
        <v/>
      </c>
      <c r="BO167" s="169" t="str">
        <f t="shared" si="19"/>
        <v/>
      </c>
      <c r="BP167" s="169" t="str">
        <f t="shared" si="19"/>
        <v/>
      </c>
      <c r="BQ167" s="169" t="str">
        <f t="shared" si="19"/>
        <v/>
      </c>
      <c r="BR167" s="169" t="str">
        <f t="shared" si="19"/>
        <v/>
      </c>
      <c r="BS167" s="169" t="str">
        <f t="shared" si="19"/>
        <v/>
      </c>
      <c r="BT167" s="169" t="str">
        <f t="shared" si="19"/>
        <v/>
      </c>
      <c r="BU167" s="169" t="str">
        <f t="shared" si="19"/>
        <v/>
      </c>
      <c r="BV167" s="299" t="str">
        <f t="shared" si="19"/>
        <v/>
      </c>
      <c r="BW167" s="298" t="str">
        <f t="shared" si="20"/>
        <v/>
      </c>
      <c r="BX167" s="169" t="str">
        <f t="shared" si="20"/>
        <v/>
      </c>
      <c r="BY167" s="169" t="str">
        <f t="shared" si="20"/>
        <v/>
      </c>
      <c r="BZ167" s="169" t="str">
        <f t="shared" si="20"/>
        <v/>
      </c>
      <c r="CA167" s="169" t="str">
        <f t="shared" si="20"/>
        <v/>
      </c>
      <c r="CB167" s="169" t="str">
        <f t="shared" si="20"/>
        <v/>
      </c>
      <c r="CC167" s="169" t="str">
        <f t="shared" si="20"/>
        <v/>
      </c>
      <c r="CD167" s="169" t="str">
        <f t="shared" si="20"/>
        <v/>
      </c>
      <c r="CE167" s="299" t="str">
        <f t="shared" si="20"/>
        <v/>
      </c>
      <c r="CF167" s="298" t="str">
        <f t="shared" si="21"/>
        <v/>
      </c>
      <c r="CG167" s="169" t="str">
        <f t="shared" si="21"/>
        <v/>
      </c>
      <c r="CH167" s="169" t="str">
        <f t="shared" si="21"/>
        <v/>
      </c>
      <c r="CI167" s="169" t="str">
        <f t="shared" si="21"/>
        <v/>
      </c>
      <c r="CJ167" s="169" t="str">
        <f t="shared" si="21"/>
        <v/>
      </c>
      <c r="CK167" s="299" t="str">
        <f t="shared" si="21"/>
        <v/>
      </c>
      <c r="CL167" s="298" t="str">
        <f t="shared" si="31"/>
        <v/>
      </c>
      <c r="CM167" s="169" t="str">
        <f t="shared" si="31"/>
        <v/>
      </c>
      <c r="CN167" s="169" t="str">
        <f t="shared" si="31"/>
        <v/>
      </c>
      <c r="CO167" s="169" t="str">
        <f t="shared" si="31"/>
        <v/>
      </c>
      <c r="CP167" s="169" t="str">
        <f t="shared" si="31"/>
        <v/>
      </c>
      <c r="CQ167" s="299" t="str">
        <f t="shared" si="31"/>
        <v/>
      </c>
      <c r="CR167" s="298" t="str">
        <f t="shared" si="31"/>
        <v/>
      </c>
      <c r="CS167" s="169" t="str">
        <f t="shared" si="31"/>
        <v/>
      </c>
      <c r="CT167" s="169" t="str">
        <f t="shared" si="31"/>
        <v/>
      </c>
      <c r="CU167" s="169" t="str">
        <f t="shared" si="31"/>
        <v/>
      </c>
      <c r="CV167" s="169" t="str">
        <f>IF($P167=CV$159,$DC167,"")</f>
        <v/>
      </c>
      <c r="CW167" s="299" t="str">
        <f t="shared" si="32"/>
        <v/>
      </c>
      <c r="CX167" s="299" t="str">
        <f t="shared" si="32"/>
        <v/>
      </c>
      <c r="CZ167" s="10"/>
      <c r="DB167" s="10">
        <f t="shared" si="23"/>
        <v>22</v>
      </c>
      <c r="DC167" s="10">
        <f t="shared" si="24"/>
        <v>11</v>
      </c>
    </row>
    <row r="168" spans="2:107" x14ac:dyDescent="0.25">
      <c r="B168" s="127"/>
      <c r="C168" s="526" t="str">
        <f t="shared" si="9"/>
        <v>CTOP-F-Insta hot2 (22642 (OSM))</v>
      </c>
      <c r="D168" s="527">
        <f t="shared" si="10"/>
        <v>2</v>
      </c>
      <c r="G168" s="40"/>
      <c r="I168" s="10" t="s">
        <v>23</v>
      </c>
      <c r="Q168" s="47"/>
      <c r="S168" s="298" t="str">
        <f t="shared" si="11"/>
        <v/>
      </c>
      <c r="T168" s="169" t="str">
        <f t="shared" si="11"/>
        <v/>
      </c>
      <c r="U168" s="169" t="str">
        <f t="shared" si="11"/>
        <v/>
      </c>
      <c r="V168" s="169" t="str">
        <f t="shared" si="11"/>
        <v/>
      </c>
      <c r="W168" s="169" t="str">
        <f t="shared" si="11"/>
        <v/>
      </c>
      <c r="X168" s="169" t="str">
        <f t="shared" si="11"/>
        <v/>
      </c>
      <c r="Y168" s="169" t="str">
        <f t="shared" si="11"/>
        <v/>
      </c>
      <c r="Z168" s="169" t="str">
        <f t="shared" si="11"/>
        <v/>
      </c>
      <c r="AA168" s="299" t="str">
        <f t="shared" si="11"/>
        <v/>
      </c>
      <c r="AB168" s="169" t="str">
        <f t="shared" si="12"/>
        <v/>
      </c>
      <c r="AC168" s="169" t="str">
        <f t="shared" si="12"/>
        <v/>
      </c>
      <c r="AD168" s="169" t="str">
        <f t="shared" si="12"/>
        <v/>
      </c>
      <c r="AE168" s="169" t="str">
        <f t="shared" si="12"/>
        <v/>
      </c>
      <c r="AF168" s="169" t="str">
        <f t="shared" si="12"/>
        <v/>
      </c>
      <c r="AG168" s="169" t="str">
        <f t="shared" si="12"/>
        <v/>
      </c>
      <c r="AH168" s="169" t="str">
        <f t="shared" si="12"/>
        <v/>
      </c>
      <c r="AI168" s="169" t="str">
        <f t="shared" si="12"/>
        <v/>
      </c>
      <c r="AJ168" s="299" t="str">
        <f t="shared" si="12"/>
        <v/>
      </c>
      <c r="AK168" s="298" t="str">
        <f t="shared" si="13"/>
        <v/>
      </c>
      <c r="AL168" s="299" t="str">
        <f t="shared" si="13"/>
        <v/>
      </c>
      <c r="AM168" s="169">
        <f t="shared" si="14"/>
        <v>22</v>
      </c>
      <c r="AN168" s="169" t="str">
        <f t="shared" si="14"/>
        <v/>
      </c>
      <c r="AO168" s="169" t="str">
        <f t="shared" si="14"/>
        <v/>
      </c>
      <c r="AP168" s="169" t="str">
        <f t="shared" si="14"/>
        <v/>
      </c>
      <c r="AQ168" s="169" t="str">
        <f t="shared" si="14"/>
        <v/>
      </c>
      <c r="AR168" s="169" t="str">
        <f t="shared" si="14"/>
        <v/>
      </c>
      <c r="AS168" s="169" t="str">
        <f t="shared" si="14"/>
        <v/>
      </c>
      <c r="AT168" s="169" t="str">
        <f t="shared" si="14"/>
        <v/>
      </c>
      <c r="AU168" s="299" t="str">
        <f t="shared" si="14"/>
        <v/>
      </c>
      <c r="AV168" s="169" t="str">
        <f t="shared" si="25"/>
        <v/>
      </c>
      <c r="AW168" s="169"/>
      <c r="AX168" s="169"/>
      <c r="AY168" s="169" t="str">
        <f t="shared" si="26"/>
        <v/>
      </c>
      <c r="AZ168" s="169" t="str">
        <f t="shared" si="26"/>
        <v/>
      </c>
      <c r="BA168" s="299" t="str">
        <f t="shared" si="26"/>
        <v/>
      </c>
      <c r="BB168" s="169" t="str">
        <f t="shared" si="29"/>
        <v/>
      </c>
      <c r="BC168" s="169" t="str">
        <f>IF($K168=BC$159,$DC168,"")</f>
        <v/>
      </c>
      <c r="BD168" s="169" t="str">
        <f t="shared" si="30"/>
        <v/>
      </c>
      <c r="BE168" s="169" t="str">
        <f t="shared" si="27"/>
        <v/>
      </c>
      <c r="BF168" s="169" t="str">
        <f t="shared" si="27"/>
        <v/>
      </c>
      <c r="BG168" s="169" t="str">
        <f t="shared" si="27"/>
        <v/>
      </c>
      <c r="BH168" s="298" t="str">
        <f t="shared" si="17"/>
        <v/>
      </c>
      <c r="BI168" s="169" t="str">
        <f t="shared" si="28"/>
        <v/>
      </c>
      <c r="BJ168" s="169" t="str">
        <f t="shared" si="18"/>
        <v/>
      </c>
      <c r="BK168" s="169" t="str">
        <f t="shared" si="18"/>
        <v/>
      </c>
      <c r="BL168" s="169" t="str">
        <f t="shared" si="18"/>
        <v/>
      </c>
      <c r="BM168" s="299" t="str">
        <f t="shared" si="18"/>
        <v/>
      </c>
      <c r="BN168" s="298" t="str">
        <f t="shared" si="19"/>
        <v/>
      </c>
      <c r="BO168" s="169" t="str">
        <f t="shared" si="19"/>
        <v/>
      </c>
      <c r="BP168" s="169" t="str">
        <f t="shared" si="19"/>
        <v/>
      </c>
      <c r="BQ168" s="169" t="str">
        <f t="shared" si="19"/>
        <v/>
      </c>
      <c r="BR168" s="169" t="str">
        <f t="shared" si="19"/>
        <v/>
      </c>
      <c r="BS168" s="169" t="str">
        <f t="shared" si="19"/>
        <v/>
      </c>
      <c r="BT168" s="169" t="str">
        <f t="shared" si="19"/>
        <v/>
      </c>
      <c r="BU168" s="169" t="str">
        <f t="shared" si="19"/>
        <v/>
      </c>
      <c r="BV168" s="299" t="str">
        <f t="shared" si="19"/>
        <v/>
      </c>
      <c r="BW168" s="298" t="str">
        <f t="shared" si="20"/>
        <v/>
      </c>
      <c r="BX168" s="169" t="str">
        <f t="shared" si="20"/>
        <v/>
      </c>
      <c r="BY168" s="169" t="str">
        <f t="shared" si="20"/>
        <v/>
      </c>
      <c r="BZ168" s="169" t="str">
        <f t="shared" si="20"/>
        <v/>
      </c>
      <c r="CA168" s="169" t="str">
        <f t="shared" si="20"/>
        <v/>
      </c>
      <c r="CB168" s="169" t="str">
        <f t="shared" si="20"/>
        <v/>
      </c>
      <c r="CC168" s="169" t="str">
        <f t="shared" si="20"/>
        <v/>
      </c>
      <c r="CD168" s="169" t="str">
        <f t="shared" si="20"/>
        <v/>
      </c>
      <c r="CE168" s="299" t="str">
        <f t="shared" si="20"/>
        <v/>
      </c>
      <c r="CF168" s="298" t="str">
        <f t="shared" si="21"/>
        <v/>
      </c>
      <c r="CG168" s="169" t="str">
        <f t="shared" si="21"/>
        <v/>
      </c>
      <c r="CH168" s="169" t="str">
        <f t="shared" si="21"/>
        <v/>
      </c>
      <c r="CI168" s="169" t="str">
        <f t="shared" si="21"/>
        <v/>
      </c>
      <c r="CJ168" s="169" t="str">
        <f t="shared" si="21"/>
        <v/>
      </c>
      <c r="CK168" s="299" t="str">
        <f t="shared" si="21"/>
        <v/>
      </c>
      <c r="CL168" s="298" t="str">
        <f t="shared" si="31"/>
        <v/>
      </c>
      <c r="CM168" s="169" t="str">
        <f t="shared" si="31"/>
        <v/>
      </c>
      <c r="CN168" s="169" t="str">
        <f t="shared" si="31"/>
        <v/>
      </c>
      <c r="CO168" s="169" t="str">
        <f t="shared" si="31"/>
        <v/>
      </c>
      <c r="CP168" s="169" t="str">
        <f t="shared" si="31"/>
        <v/>
      </c>
      <c r="CQ168" s="299" t="str">
        <f t="shared" si="31"/>
        <v/>
      </c>
      <c r="CR168" s="298" t="str">
        <f t="shared" si="31"/>
        <v/>
      </c>
      <c r="CS168" s="169" t="str">
        <f t="shared" si="31"/>
        <v/>
      </c>
      <c r="CT168" s="169" t="str">
        <f t="shared" si="31"/>
        <v/>
      </c>
      <c r="CU168" s="169" t="str">
        <f t="shared" si="31"/>
        <v/>
      </c>
      <c r="CV168" s="169" t="str">
        <f>IF($P168=CV$159,$DC168,"")</f>
        <v/>
      </c>
      <c r="CW168" s="299" t="str">
        <f t="shared" si="32"/>
        <v/>
      </c>
      <c r="CX168" s="299" t="str">
        <f t="shared" si="32"/>
        <v/>
      </c>
      <c r="CZ168" s="10"/>
      <c r="DB168" s="10">
        <f t="shared" si="23"/>
        <v>22</v>
      </c>
      <c r="DC168" s="10">
        <f t="shared" si="24"/>
        <v>11</v>
      </c>
    </row>
    <row r="169" spans="2:107" x14ac:dyDescent="0.25">
      <c r="B169" s="127"/>
      <c r="C169" s="526" t="str">
        <f t="shared" si="9"/>
        <v>Sink-hand w/ side splash (14688/13588 (OSM))</v>
      </c>
      <c r="D169" s="527">
        <f t="shared" si="10"/>
        <v>1</v>
      </c>
      <c r="G169" s="40" t="s">
        <v>23</v>
      </c>
      <c r="H169" s="10" t="s">
        <v>23</v>
      </c>
      <c r="K169" s="10" t="s">
        <v>26</v>
      </c>
      <c r="Q169" s="47"/>
      <c r="S169" s="298">
        <f t="shared" si="11"/>
        <v>11</v>
      </c>
      <c r="T169" s="169" t="str">
        <f t="shared" si="11"/>
        <v/>
      </c>
      <c r="U169" s="169" t="str">
        <f t="shared" si="11"/>
        <v/>
      </c>
      <c r="V169" s="169" t="str">
        <f t="shared" si="11"/>
        <v/>
      </c>
      <c r="W169" s="169" t="str">
        <f t="shared" si="11"/>
        <v/>
      </c>
      <c r="X169" s="169" t="str">
        <f t="shared" si="11"/>
        <v/>
      </c>
      <c r="Y169" s="169" t="str">
        <f t="shared" si="11"/>
        <v/>
      </c>
      <c r="Z169" s="169" t="str">
        <f t="shared" si="11"/>
        <v/>
      </c>
      <c r="AA169" s="299" t="str">
        <f t="shared" si="11"/>
        <v/>
      </c>
      <c r="AB169" s="169">
        <f t="shared" si="12"/>
        <v>11</v>
      </c>
      <c r="AC169" s="169" t="str">
        <f t="shared" si="12"/>
        <v/>
      </c>
      <c r="AD169" s="169" t="str">
        <f t="shared" si="12"/>
        <v/>
      </c>
      <c r="AE169" s="169" t="str">
        <f t="shared" si="12"/>
        <v/>
      </c>
      <c r="AF169" s="169" t="str">
        <f t="shared" si="12"/>
        <v/>
      </c>
      <c r="AG169" s="169" t="str">
        <f t="shared" si="12"/>
        <v/>
      </c>
      <c r="AH169" s="169" t="str">
        <f t="shared" si="12"/>
        <v/>
      </c>
      <c r="AI169" s="169" t="str">
        <f t="shared" si="12"/>
        <v/>
      </c>
      <c r="AJ169" s="299" t="str">
        <f t="shared" si="12"/>
        <v/>
      </c>
      <c r="AK169" s="298" t="str">
        <f t="shared" si="13"/>
        <v/>
      </c>
      <c r="AL169" s="299" t="str">
        <f t="shared" si="13"/>
        <v/>
      </c>
      <c r="AM169" s="169" t="str">
        <f t="shared" si="14"/>
        <v/>
      </c>
      <c r="AN169" s="169" t="str">
        <f t="shared" si="14"/>
        <v/>
      </c>
      <c r="AO169" s="169" t="str">
        <f t="shared" si="14"/>
        <v/>
      </c>
      <c r="AP169" s="169" t="str">
        <f t="shared" si="14"/>
        <v/>
      </c>
      <c r="AQ169" s="169" t="str">
        <f t="shared" si="14"/>
        <v/>
      </c>
      <c r="AR169" s="169" t="str">
        <f t="shared" si="14"/>
        <v/>
      </c>
      <c r="AS169" s="169" t="str">
        <f t="shared" si="14"/>
        <v/>
      </c>
      <c r="AT169" s="169" t="str">
        <f t="shared" si="14"/>
        <v/>
      </c>
      <c r="AU169" s="299" t="str">
        <f t="shared" si="14"/>
        <v/>
      </c>
      <c r="AV169" s="169" t="str">
        <f t="shared" si="25"/>
        <v/>
      </c>
      <c r="AW169" s="169"/>
      <c r="AX169" s="169"/>
      <c r="AY169" s="169" t="str">
        <f t="shared" si="26"/>
        <v/>
      </c>
      <c r="AZ169" s="169" t="str">
        <f t="shared" si="26"/>
        <v/>
      </c>
      <c r="BA169" s="299" t="str">
        <f t="shared" si="26"/>
        <v/>
      </c>
      <c r="BB169" s="169" t="str">
        <f t="shared" si="29"/>
        <v/>
      </c>
      <c r="BC169" s="169">
        <f>3*D169</f>
        <v>3</v>
      </c>
      <c r="BD169" s="169" t="str">
        <f t="shared" si="30"/>
        <v/>
      </c>
      <c r="BE169" s="169" t="str">
        <f t="shared" si="27"/>
        <v/>
      </c>
      <c r="BF169" s="169" t="str">
        <f t="shared" si="27"/>
        <v/>
      </c>
      <c r="BG169" s="169" t="str">
        <f t="shared" si="27"/>
        <v/>
      </c>
      <c r="BH169" s="298" t="str">
        <f t="shared" si="17"/>
        <v/>
      </c>
      <c r="BI169" s="169" t="str">
        <f t="shared" si="28"/>
        <v/>
      </c>
      <c r="BJ169" s="169" t="str">
        <f t="shared" si="18"/>
        <v/>
      </c>
      <c r="BK169" s="169" t="str">
        <f t="shared" si="18"/>
        <v/>
      </c>
      <c r="BL169" s="169" t="str">
        <f t="shared" si="18"/>
        <v/>
      </c>
      <c r="BM169" s="299" t="str">
        <f t="shared" si="18"/>
        <v/>
      </c>
      <c r="BN169" s="298" t="str">
        <f t="shared" si="19"/>
        <v/>
      </c>
      <c r="BO169" s="169" t="str">
        <f t="shared" si="19"/>
        <v/>
      </c>
      <c r="BP169" s="169" t="str">
        <f t="shared" si="19"/>
        <v/>
      </c>
      <c r="BQ169" s="169" t="str">
        <f t="shared" si="19"/>
        <v/>
      </c>
      <c r="BR169" s="169" t="str">
        <f t="shared" si="19"/>
        <v/>
      </c>
      <c r="BS169" s="169" t="str">
        <f t="shared" si="19"/>
        <v/>
      </c>
      <c r="BT169" s="169" t="str">
        <f t="shared" si="19"/>
        <v/>
      </c>
      <c r="BU169" s="169" t="str">
        <f t="shared" si="19"/>
        <v/>
      </c>
      <c r="BV169" s="299" t="str">
        <f t="shared" si="19"/>
        <v/>
      </c>
      <c r="BW169" s="298" t="str">
        <f t="shared" si="20"/>
        <v/>
      </c>
      <c r="BX169" s="169" t="str">
        <f t="shared" si="20"/>
        <v/>
      </c>
      <c r="BY169" s="169" t="str">
        <f t="shared" si="20"/>
        <v/>
      </c>
      <c r="BZ169" s="169" t="str">
        <f t="shared" si="20"/>
        <v/>
      </c>
      <c r="CA169" s="169" t="str">
        <f t="shared" si="20"/>
        <v/>
      </c>
      <c r="CB169" s="169" t="str">
        <f t="shared" si="20"/>
        <v/>
      </c>
      <c r="CC169" s="169" t="str">
        <f t="shared" si="20"/>
        <v/>
      </c>
      <c r="CD169" s="169" t="str">
        <f t="shared" si="20"/>
        <v/>
      </c>
      <c r="CE169" s="299" t="str">
        <f t="shared" si="20"/>
        <v/>
      </c>
      <c r="CF169" s="298" t="str">
        <f t="shared" si="21"/>
        <v/>
      </c>
      <c r="CG169" s="169" t="str">
        <f t="shared" si="21"/>
        <v/>
      </c>
      <c r="CH169" s="169" t="str">
        <f t="shared" si="21"/>
        <v/>
      </c>
      <c r="CI169" s="169" t="str">
        <f t="shared" si="21"/>
        <v/>
      </c>
      <c r="CJ169" s="169" t="str">
        <f t="shared" si="21"/>
        <v/>
      </c>
      <c r="CK169" s="299" t="str">
        <f t="shared" si="21"/>
        <v/>
      </c>
      <c r="CL169" s="298" t="str">
        <f t="shared" si="31"/>
        <v/>
      </c>
      <c r="CM169" s="169" t="str">
        <f t="shared" si="31"/>
        <v/>
      </c>
      <c r="CN169" s="169" t="str">
        <f t="shared" si="31"/>
        <v/>
      </c>
      <c r="CO169" s="169" t="str">
        <f t="shared" si="31"/>
        <v/>
      </c>
      <c r="CP169" s="169" t="str">
        <f t="shared" si="31"/>
        <v/>
      </c>
      <c r="CQ169" s="299" t="str">
        <f t="shared" si="31"/>
        <v/>
      </c>
      <c r="CR169" s="298" t="str">
        <f t="shared" si="31"/>
        <v/>
      </c>
      <c r="CS169" s="169" t="str">
        <f t="shared" si="31"/>
        <v/>
      </c>
      <c r="CT169" s="169" t="str">
        <f t="shared" si="31"/>
        <v/>
      </c>
      <c r="CU169" s="169" t="str">
        <f t="shared" si="31"/>
        <v/>
      </c>
      <c r="CV169" s="169" t="str">
        <f>IF($P169=CV$159,$DC169,"")</f>
        <v/>
      </c>
      <c r="CW169" s="299" t="str">
        <f t="shared" si="32"/>
        <v/>
      </c>
      <c r="CX169" s="299" t="str">
        <f t="shared" si="32"/>
        <v/>
      </c>
      <c r="CZ169" s="10"/>
      <c r="DB169" s="10">
        <f t="shared" si="23"/>
        <v>11</v>
      </c>
      <c r="DC169" s="10">
        <f t="shared" si="24"/>
        <v>5.5</v>
      </c>
    </row>
    <row r="170" spans="2:107" x14ac:dyDescent="0.25">
      <c r="B170" s="127" t="s">
        <v>794</v>
      </c>
      <c r="C170" s="526" t="str">
        <f t="shared" si="9"/>
        <v>3-Comp SST (13264 (OSM))</v>
      </c>
      <c r="D170" s="527">
        <f t="shared" si="10"/>
        <v>1</v>
      </c>
      <c r="G170" s="40"/>
      <c r="Q170" s="47"/>
      <c r="S170" s="298" t="str">
        <f t="shared" si="11"/>
        <v/>
      </c>
      <c r="T170" s="169" t="str">
        <f t="shared" si="11"/>
        <v/>
      </c>
      <c r="U170" s="169" t="str">
        <f t="shared" si="11"/>
        <v/>
      </c>
      <c r="V170" s="169" t="str">
        <f t="shared" si="11"/>
        <v/>
      </c>
      <c r="W170" s="169" t="str">
        <f t="shared" si="11"/>
        <v/>
      </c>
      <c r="X170" s="169" t="str">
        <f t="shared" si="11"/>
        <v/>
      </c>
      <c r="Y170" s="169" t="str">
        <f t="shared" si="11"/>
        <v/>
      </c>
      <c r="Z170" s="169" t="str">
        <f t="shared" si="11"/>
        <v/>
      </c>
      <c r="AA170" s="299" t="str">
        <f t="shared" si="11"/>
        <v/>
      </c>
      <c r="AB170" s="169" t="str">
        <f t="shared" si="12"/>
        <v/>
      </c>
      <c r="AC170" s="169" t="str">
        <f t="shared" si="12"/>
        <v/>
      </c>
      <c r="AD170" s="169" t="str">
        <f t="shared" si="12"/>
        <v/>
      </c>
      <c r="AE170" s="169" t="str">
        <f t="shared" si="12"/>
        <v/>
      </c>
      <c r="AF170" s="169" t="str">
        <f t="shared" si="12"/>
        <v/>
      </c>
      <c r="AG170" s="169" t="str">
        <f t="shared" si="12"/>
        <v/>
      </c>
      <c r="AH170" s="169" t="str">
        <f t="shared" si="12"/>
        <v/>
      </c>
      <c r="AI170" s="169" t="str">
        <f t="shared" si="12"/>
        <v/>
      </c>
      <c r="AJ170" s="299" t="str">
        <f t="shared" si="12"/>
        <v/>
      </c>
      <c r="AK170" s="298" t="str">
        <f t="shared" si="13"/>
        <v/>
      </c>
      <c r="AL170" s="299" t="str">
        <f t="shared" si="13"/>
        <v/>
      </c>
      <c r="AM170" s="169" t="str">
        <f t="shared" si="14"/>
        <v/>
      </c>
      <c r="AN170" s="169" t="str">
        <f t="shared" si="14"/>
        <v/>
      </c>
      <c r="AO170" s="169" t="str">
        <f t="shared" si="14"/>
        <v/>
      </c>
      <c r="AP170" s="169" t="str">
        <f t="shared" si="14"/>
        <v/>
      </c>
      <c r="AQ170" s="169" t="str">
        <f t="shared" si="14"/>
        <v/>
      </c>
      <c r="AR170" s="169" t="str">
        <f t="shared" si="14"/>
        <v/>
      </c>
      <c r="AS170" s="169" t="str">
        <f t="shared" si="14"/>
        <v/>
      </c>
      <c r="AT170" s="169" t="str">
        <f t="shared" si="14"/>
        <v/>
      </c>
      <c r="AU170" s="299" t="str">
        <f t="shared" si="14"/>
        <v/>
      </c>
      <c r="AV170" s="169" t="str">
        <f t="shared" si="25"/>
        <v/>
      </c>
      <c r="AW170" s="169"/>
      <c r="AX170" s="169"/>
      <c r="AY170" s="169" t="str">
        <f t="shared" si="26"/>
        <v/>
      </c>
      <c r="AZ170" s="169" t="str">
        <f t="shared" si="26"/>
        <v/>
      </c>
      <c r="BA170" s="299" t="str">
        <f t="shared" si="26"/>
        <v/>
      </c>
      <c r="BB170" s="169" t="str">
        <f t="shared" si="29"/>
        <v/>
      </c>
      <c r="BC170" s="169" t="str">
        <f t="shared" ref="BC170:BC201" si="33">IF($K170=BC$159,$DC170,"")</f>
        <v/>
      </c>
      <c r="BD170" s="169" t="str">
        <f t="shared" si="30"/>
        <v/>
      </c>
      <c r="BE170" s="169" t="str">
        <f t="shared" si="27"/>
        <v/>
      </c>
      <c r="BF170" s="169" t="str">
        <f t="shared" si="27"/>
        <v/>
      </c>
      <c r="BG170" s="169" t="str">
        <f t="shared" si="27"/>
        <v/>
      </c>
      <c r="BH170" s="298" t="str">
        <f t="shared" si="17"/>
        <v/>
      </c>
      <c r="BI170" s="169" t="str">
        <f t="shared" si="28"/>
        <v/>
      </c>
      <c r="BJ170" s="169" t="str">
        <f t="shared" si="18"/>
        <v/>
      </c>
      <c r="BK170" s="169" t="str">
        <f t="shared" si="18"/>
        <v/>
      </c>
      <c r="BL170" s="169" t="str">
        <f t="shared" si="18"/>
        <v/>
      </c>
      <c r="BM170" s="299" t="str">
        <f t="shared" si="18"/>
        <v/>
      </c>
      <c r="BN170" s="298" t="str">
        <f t="shared" si="19"/>
        <v/>
      </c>
      <c r="BO170" s="169" t="str">
        <f t="shared" si="19"/>
        <v/>
      </c>
      <c r="BP170" s="169" t="str">
        <f t="shared" si="19"/>
        <v/>
      </c>
      <c r="BQ170" s="169" t="str">
        <f t="shared" si="19"/>
        <v/>
      </c>
      <c r="BR170" s="169" t="str">
        <f t="shared" si="19"/>
        <v/>
      </c>
      <c r="BS170" s="169" t="str">
        <f t="shared" si="19"/>
        <v/>
      </c>
      <c r="BT170" s="169" t="str">
        <f t="shared" si="19"/>
        <v/>
      </c>
      <c r="BU170" s="169" t="str">
        <f t="shared" si="19"/>
        <v/>
      </c>
      <c r="BV170" s="299" t="str">
        <f t="shared" si="19"/>
        <v/>
      </c>
      <c r="BW170" s="298" t="str">
        <f t="shared" si="20"/>
        <v/>
      </c>
      <c r="BX170" s="169" t="str">
        <f t="shared" si="20"/>
        <v/>
      </c>
      <c r="BY170" s="169" t="str">
        <f t="shared" si="20"/>
        <v/>
      </c>
      <c r="BZ170" s="169" t="str">
        <f t="shared" si="20"/>
        <v/>
      </c>
      <c r="CA170" s="169" t="str">
        <f t="shared" si="20"/>
        <v/>
      </c>
      <c r="CB170" s="169" t="str">
        <f t="shared" si="20"/>
        <v/>
      </c>
      <c r="CC170" s="169" t="str">
        <f t="shared" si="20"/>
        <v/>
      </c>
      <c r="CD170" s="169" t="str">
        <f t="shared" si="20"/>
        <v/>
      </c>
      <c r="CE170" s="299" t="str">
        <f t="shared" si="20"/>
        <v/>
      </c>
      <c r="CF170" s="298" t="str">
        <f t="shared" si="21"/>
        <v/>
      </c>
      <c r="CG170" s="169" t="str">
        <f t="shared" si="21"/>
        <v/>
      </c>
      <c r="CH170" s="169" t="str">
        <f t="shared" si="21"/>
        <v/>
      </c>
      <c r="CI170" s="169" t="str">
        <f t="shared" si="21"/>
        <v/>
      </c>
      <c r="CJ170" s="169" t="str">
        <f t="shared" si="21"/>
        <v/>
      </c>
      <c r="CK170" s="299" t="str">
        <f t="shared" si="21"/>
        <v/>
      </c>
      <c r="CL170" s="298" t="str">
        <f t="shared" si="31"/>
        <v/>
      </c>
      <c r="CM170" s="169" t="str">
        <f t="shared" si="31"/>
        <v/>
      </c>
      <c r="CN170" s="169" t="str">
        <f t="shared" si="31"/>
        <v/>
      </c>
      <c r="CO170" s="169" t="str">
        <f t="shared" si="31"/>
        <v/>
      </c>
      <c r="CP170" s="169" t="str">
        <f t="shared" si="31"/>
        <v/>
      </c>
      <c r="CQ170" s="299" t="str">
        <f t="shared" si="31"/>
        <v/>
      </c>
      <c r="CR170" s="298" t="str">
        <f t="shared" si="31"/>
        <v/>
      </c>
      <c r="CS170" s="169" t="str">
        <f t="shared" si="31"/>
        <v/>
      </c>
      <c r="CT170" s="169" t="str">
        <f t="shared" si="31"/>
        <v/>
      </c>
      <c r="CU170" s="169" t="str">
        <f t="shared" si="31"/>
        <v/>
      </c>
      <c r="CV170" s="169">
        <f>10*D170</f>
        <v>10</v>
      </c>
      <c r="CW170" s="299" t="str">
        <f t="shared" si="32"/>
        <v/>
      </c>
      <c r="CX170" s="299" t="str">
        <f t="shared" si="32"/>
        <v/>
      </c>
      <c r="CZ170" s="10"/>
      <c r="DB170" s="10">
        <f t="shared" si="23"/>
        <v>11</v>
      </c>
      <c r="DC170" s="10">
        <f t="shared" si="24"/>
        <v>5.5</v>
      </c>
    </row>
    <row r="171" spans="2:107" x14ac:dyDescent="0.25">
      <c r="B171" s="127"/>
      <c r="C171" s="526" t="str">
        <f t="shared" si="9"/>
        <v>3-comp F- pre-rinse with sprayer (10447 (OSM))</v>
      </c>
      <c r="D171" s="527">
        <f t="shared" si="10"/>
        <v>1</v>
      </c>
      <c r="E171" s="40"/>
      <c r="G171" s="40" t="s">
        <v>23</v>
      </c>
      <c r="H171" s="10" t="s">
        <v>23</v>
      </c>
      <c r="Q171" s="47"/>
      <c r="S171" s="298">
        <f t="shared" si="11"/>
        <v>11</v>
      </c>
      <c r="T171" s="169" t="str">
        <f t="shared" si="11"/>
        <v/>
      </c>
      <c r="U171" s="169" t="str">
        <f t="shared" si="11"/>
        <v/>
      </c>
      <c r="V171" s="169" t="str">
        <f t="shared" si="11"/>
        <v/>
      </c>
      <c r="W171" s="169" t="str">
        <f t="shared" si="11"/>
        <v/>
      </c>
      <c r="X171" s="169" t="str">
        <f t="shared" si="11"/>
        <v/>
      </c>
      <c r="Y171" s="169" t="str">
        <f t="shared" si="11"/>
        <v/>
      </c>
      <c r="Z171" s="169" t="str">
        <f t="shared" si="11"/>
        <v/>
      </c>
      <c r="AA171" s="299" t="str">
        <f t="shared" si="11"/>
        <v/>
      </c>
      <c r="AB171" s="169">
        <f t="shared" si="12"/>
        <v>11</v>
      </c>
      <c r="AC171" s="169" t="str">
        <f t="shared" si="12"/>
        <v/>
      </c>
      <c r="AD171" s="169" t="str">
        <f t="shared" si="12"/>
        <v/>
      </c>
      <c r="AE171" s="169" t="str">
        <f t="shared" si="12"/>
        <v/>
      </c>
      <c r="AF171" s="169" t="str">
        <f t="shared" si="12"/>
        <v/>
      </c>
      <c r="AG171" s="169" t="str">
        <f t="shared" si="12"/>
        <v/>
      </c>
      <c r="AH171" s="169" t="str">
        <f t="shared" si="12"/>
        <v/>
      </c>
      <c r="AI171" s="169" t="str">
        <f t="shared" si="12"/>
        <v/>
      </c>
      <c r="AJ171" s="299" t="str">
        <f t="shared" si="12"/>
        <v/>
      </c>
      <c r="AK171" s="298" t="str">
        <f t="shared" si="13"/>
        <v/>
      </c>
      <c r="AL171" s="299" t="str">
        <f t="shared" si="13"/>
        <v/>
      </c>
      <c r="AM171" s="169" t="str">
        <f t="shared" si="14"/>
        <v/>
      </c>
      <c r="AN171" s="169" t="str">
        <f t="shared" si="14"/>
        <v/>
      </c>
      <c r="AO171" s="169" t="str">
        <f t="shared" si="14"/>
        <v/>
      </c>
      <c r="AP171" s="169" t="str">
        <f t="shared" si="14"/>
        <v/>
      </c>
      <c r="AQ171" s="169" t="str">
        <f t="shared" si="14"/>
        <v/>
      </c>
      <c r="AR171" s="169" t="str">
        <f t="shared" si="14"/>
        <v/>
      </c>
      <c r="AS171" s="169" t="str">
        <f t="shared" si="14"/>
        <v/>
      </c>
      <c r="AT171" s="169" t="str">
        <f t="shared" si="14"/>
        <v/>
      </c>
      <c r="AU171" s="299" t="str">
        <f t="shared" si="14"/>
        <v/>
      </c>
      <c r="AV171" s="169" t="str">
        <f t="shared" si="25"/>
        <v/>
      </c>
      <c r="AW171" s="169" t="str">
        <f t="shared" ref="AW171:AX190" si="34">IF($J171=AW$159,$DC171,"")</f>
        <v/>
      </c>
      <c r="AX171" s="169" t="str">
        <f t="shared" si="34"/>
        <v/>
      </c>
      <c r="AY171" s="169" t="str">
        <f t="shared" si="26"/>
        <v/>
      </c>
      <c r="AZ171" s="169" t="str">
        <f t="shared" si="26"/>
        <v/>
      </c>
      <c r="BA171" s="299" t="str">
        <f t="shared" si="26"/>
        <v/>
      </c>
      <c r="BB171" s="169" t="str">
        <f t="shared" si="29"/>
        <v/>
      </c>
      <c r="BC171" s="169" t="str">
        <f t="shared" si="33"/>
        <v/>
      </c>
      <c r="BD171" s="169" t="str">
        <f t="shared" si="30"/>
        <v/>
      </c>
      <c r="BE171" s="169" t="str">
        <f t="shared" si="27"/>
        <v/>
      </c>
      <c r="BF171" s="169" t="str">
        <f t="shared" si="27"/>
        <v/>
      </c>
      <c r="BG171" s="169" t="str">
        <f t="shared" si="27"/>
        <v/>
      </c>
      <c r="BH171" s="298" t="str">
        <f t="shared" si="17"/>
        <v/>
      </c>
      <c r="BI171" s="169" t="str">
        <f t="shared" si="28"/>
        <v/>
      </c>
      <c r="BJ171" s="169" t="str">
        <f t="shared" si="18"/>
        <v/>
      </c>
      <c r="BK171" s="169" t="str">
        <f t="shared" si="18"/>
        <v/>
      </c>
      <c r="BL171" s="169" t="str">
        <f t="shared" si="18"/>
        <v/>
      </c>
      <c r="BM171" s="299" t="str">
        <f t="shared" si="18"/>
        <v/>
      </c>
      <c r="BN171" s="298" t="str">
        <f t="shared" si="19"/>
        <v/>
      </c>
      <c r="BO171" s="169" t="str">
        <f t="shared" si="19"/>
        <v/>
      </c>
      <c r="BP171" s="169" t="str">
        <f t="shared" si="19"/>
        <v/>
      </c>
      <c r="BQ171" s="169" t="str">
        <f t="shared" si="19"/>
        <v/>
      </c>
      <c r="BR171" s="169" t="str">
        <f t="shared" si="19"/>
        <v/>
      </c>
      <c r="BS171" s="169" t="str">
        <f t="shared" si="19"/>
        <v/>
      </c>
      <c r="BT171" s="169" t="str">
        <f t="shared" si="19"/>
        <v/>
      </c>
      <c r="BU171" s="169" t="str">
        <f t="shared" si="19"/>
        <v/>
      </c>
      <c r="BV171" s="299" t="str">
        <f t="shared" si="19"/>
        <v/>
      </c>
      <c r="BW171" s="298" t="str">
        <f t="shared" si="20"/>
        <v/>
      </c>
      <c r="BX171" s="169" t="str">
        <f t="shared" si="20"/>
        <v/>
      </c>
      <c r="BY171" s="169" t="str">
        <f t="shared" si="20"/>
        <v/>
      </c>
      <c r="BZ171" s="169" t="str">
        <f t="shared" si="20"/>
        <v/>
      </c>
      <c r="CA171" s="169" t="str">
        <f t="shared" si="20"/>
        <v/>
      </c>
      <c r="CB171" s="169" t="str">
        <f t="shared" si="20"/>
        <v/>
      </c>
      <c r="CC171" s="169" t="str">
        <f t="shared" si="20"/>
        <v/>
      </c>
      <c r="CD171" s="169" t="str">
        <f t="shared" si="20"/>
        <v/>
      </c>
      <c r="CE171" s="299" t="str">
        <f t="shared" si="20"/>
        <v/>
      </c>
      <c r="CF171" s="298" t="str">
        <f t="shared" si="21"/>
        <v/>
      </c>
      <c r="CG171" s="169" t="str">
        <f t="shared" si="21"/>
        <v/>
      </c>
      <c r="CH171" s="169" t="str">
        <f t="shared" si="21"/>
        <v/>
      </c>
      <c r="CI171" s="169" t="str">
        <f t="shared" si="21"/>
        <v/>
      </c>
      <c r="CJ171" s="169" t="str">
        <f t="shared" si="21"/>
        <v/>
      </c>
      <c r="CK171" s="299" t="str">
        <f t="shared" si="21"/>
        <v/>
      </c>
      <c r="CL171" s="298" t="str">
        <f t="shared" si="31"/>
        <v/>
      </c>
      <c r="CM171" s="169" t="str">
        <f t="shared" si="31"/>
        <v/>
      </c>
      <c r="CN171" s="169" t="str">
        <f t="shared" si="31"/>
        <v/>
      </c>
      <c r="CO171" s="169" t="str">
        <f t="shared" si="31"/>
        <v/>
      </c>
      <c r="CP171" s="169" t="str">
        <f t="shared" si="31"/>
        <v/>
      </c>
      <c r="CQ171" s="299" t="str">
        <f t="shared" si="31"/>
        <v/>
      </c>
      <c r="CR171" s="298" t="str">
        <f t="shared" si="31"/>
        <v/>
      </c>
      <c r="CS171" s="169" t="str">
        <f t="shared" si="31"/>
        <v/>
      </c>
      <c r="CT171" s="169" t="str">
        <f t="shared" si="31"/>
        <v/>
      </c>
      <c r="CU171" s="169" t="str">
        <f t="shared" si="31"/>
        <v/>
      </c>
      <c r="CV171" s="169" t="str">
        <f>IF($P171=CV$159,$DC171,"")</f>
        <v/>
      </c>
      <c r="CW171" s="299" t="str">
        <f t="shared" si="32"/>
        <v/>
      </c>
      <c r="CX171" s="299" t="str">
        <f t="shared" si="32"/>
        <v/>
      </c>
      <c r="CZ171" s="10"/>
      <c r="DB171" s="10">
        <f t="shared" si="23"/>
        <v>11</v>
      </c>
      <c r="DC171" s="10">
        <f t="shared" si="24"/>
        <v>5.5</v>
      </c>
    </row>
    <row r="172" spans="2:107" x14ac:dyDescent="0.25">
      <c r="B172" s="127"/>
      <c r="C172" s="526" t="str">
        <f t="shared" si="9"/>
        <v>3-comp F- pre-rinse swing (10804 (OSM))</v>
      </c>
      <c r="D172" s="527">
        <f t="shared" si="10"/>
        <v>1</v>
      </c>
      <c r="G172" s="40"/>
      <c r="H172" s="10" t="s">
        <v>23</v>
      </c>
      <c r="Q172" s="47"/>
      <c r="S172" s="298" t="str">
        <f t="shared" ref="S172:AA181" si="35">IF($G172=S$159,$DB172,"")</f>
        <v/>
      </c>
      <c r="T172" s="169" t="str">
        <f t="shared" si="35"/>
        <v/>
      </c>
      <c r="U172" s="169" t="str">
        <f t="shared" si="35"/>
        <v/>
      </c>
      <c r="V172" s="169" t="str">
        <f t="shared" si="35"/>
        <v/>
      </c>
      <c r="W172" s="169" t="str">
        <f t="shared" si="35"/>
        <v/>
      </c>
      <c r="X172" s="169" t="str">
        <f t="shared" si="35"/>
        <v/>
      </c>
      <c r="Y172" s="169" t="str">
        <f t="shared" si="35"/>
        <v/>
      </c>
      <c r="Z172" s="169" t="str">
        <f t="shared" si="35"/>
        <v/>
      </c>
      <c r="AA172" s="299" t="str">
        <f t="shared" si="35"/>
        <v/>
      </c>
      <c r="AB172" s="169">
        <f t="shared" ref="AB172:AJ181" si="36">IF($H172=AB$159,$DB172,"")</f>
        <v>11</v>
      </c>
      <c r="AC172" s="169" t="str">
        <f t="shared" si="36"/>
        <v/>
      </c>
      <c r="AD172" s="169" t="str">
        <f t="shared" si="36"/>
        <v/>
      </c>
      <c r="AE172" s="169" t="str">
        <f t="shared" si="36"/>
        <v/>
      </c>
      <c r="AF172" s="169" t="str">
        <f t="shared" si="36"/>
        <v/>
      </c>
      <c r="AG172" s="169" t="str">
        <f t="shared" si="36"/>
        <v/>
      </c>
      <c r="AH172" s="169" t="str">
        <f t="shared" si="36"/>
        <v/>
      </c>
      <c r="AI172" s="169" t="str">
        <f t="shared" si="36"/>
        <v/>
      </c>
      <c r="AJ172" s="299" t="str">
        <f t="shared" si="36"/>
        <v/>
      </c>
      <c r="AK172" s="298" t="str">
        <f t="shared" si="13"/>
        <v/>
      </c>
      <c r="AL172" s="299" t="str">
        <f t="shared" si="13"/>
        <v/>
      </c>
      <c r="AM172" s="169" t="str">
        <f t="shared" ref="AM172:AU181" si="37">IF($I172=AM$159,$DB172,"")</f>
        <v/>
      </c>
      <c r="AN172" s="169" t="str">
        <f t="shared" si="37"/>
        <v/>
      </c>
      <c r="AO172" s="169" t="str">
        <f t="shared" si="37"/>
        <v/>
      </c>
      <c r="AP172" s="169" t="str">
        <f t="shared" si="37"/>
        <v/>
      </c>
      <c r="AQ172" s="169" t="str">
        <f t="shared" si="37"/>
        <v/>
      </c>
      <c r="AR172" s="169" t="str">
        <f t="shared" si="37"/>
        <v/>
      </c>
      <c r="AS172" s="169" t="str">
        <f t="shared" si="37"/>
        <v/>
      </c>
      <c r="AT172" s="169" t="str">
        <f t="shared" si="37"/>
        <v/>
      </c>
      <c r="AU172" s="299" t="str">
        <f t="shared" si="37"/>
        <v/>
      </c>
      <c r="AV172" s="169" t="str">
        <f t="shared" si="25"/>
        <v/>
      </c>
      <c r="AW172" s="169" t="str">
        <f t="shared" si="34"/>
        <v/>
      </c>
      <c r="AX172" s="169" t="str">
        <f t="shared" si="34"/>
        <v/>
      </c>
      <c r="AY172" s="169" t="str">
        <f t="shared" si="26"/>
        <v/>
      </c>
      <c r="AZ172" s="169" t="str">
        <f t="shared" si="26"/>
        <v/>
      </c>
      <c r="BA172" s="299" t="str">
        <f t="shared" si="26"/>
        <v/>
      </c>
      <c r="BB172" s="169" t="str">
        <f t="shared" si="29"/>
        <v/>
      </c>
      <c r="BC172" s="169" t="str">
        <f t="shared" si="33"/>
        <v/>
      </c>
      <c r="BD172" s="169" t="str">
        <f t="shared" si="30"/>
        <v/>
      </c>
      <c r="BE172" s="169" t="str">
        <f t="shared" si="27"/>
        <v/>
      </c>
      <c r="BF172" s="169" t="str">
        <f t="shared" si="27"/>
        <v/>
      </c>
      <c r="BG172" s="169" t="str">
        <f t="shared" si="27"/>
        <v/>
      </c>
      <c r="BH172" s="298" t="str">
        <f t="shared" si="17"/>
        <v/>
      </c>
      <c r="BI172" s="169" t="str">
        <f t="shared" si="28"/>
        <v/>
      </c>
      <c r="BJ172" s="169" t="str">
        <f t="shared" si="18"/>
        <v/>
      </c>
      <c r="BK172" s="169" t="str">
        <f t="shared" si="18"/>
        <v/>
      </c>
      <c r="BL172" s="169" t="str">
        <f t="shared" si="18"/>
        <v/>
      </c>
      <c r="BM172" s="299" t="str">
        <f t="shared" si="18"/>
        <v/>
      </c>
      <c r="BN172" s="298" t="str">
        <f t="shared" ref="BN172:BV181" si="38">IF($M172=BN$159,$DB172,"")</f>
        <v/>
      </c>
      <c r="BO172" s="169" t="str">
        <f t="shared" si="38"/>
        <v/>
      </c>
      <c r="BP172" s="169" t="str">
        <f t="shared" si="38"/>
        <v/>
      </c>
      <c r="BQ172" s="169" t="str">
        <f t="shared" si="38"/>
        <v/>
      </c>
      <c r="BR172" s="169" t="str">
        <f t="shared" si="38"/>
        <v/>
      </c>
      <c r="BS172" s="169" t="str">
        <f t="shared" si="38"/>
        <v/>
      </c>
      <c r="BT172" s="169" t="str">
        <f t="shared" si="38"/>
        <v/>
      </c>
      <c r="BU172" s="169" t="str">
        <f t="shared" si="38"/>
        <v/>
      </c>
      <c r="BV172" s="299" t="str">
        <f t="shared" si="38"/>
        <v/>
      </c>
      <c r="BW172" s="298" t="str">
        <f t="shared" ref="BW172:CE181" si="39">IF($N172=BW$159,$DB172,"")</f>
        <v/>
      </c>
      <c r="BX172" s="169" t="str">
        <f t="shared" si="39"/>
        <v/>
      </c>
      <c r="BY172" s="169" t="str">
        <f t="shared" si="39"/>
        <v/>
      </c>
      <c r="BZ172" s="169" t="str">
        <f t="shared" si="39"/>
        <v/>
      </c>
      <c r="CA172" s="169" t="str">
        <f t="shared" si="39"/>
        <v/>
      </c>
      <c r="CB172" s="169" t="str">
        <f t="shared" si="39"/>
        <v/>
      </c>
      <c r="CC172" s="169" t="str">
        <f t="shared" si="39"/>
        <v/>
      </c>
      <c r="CD172" s="169" t="str">
        <f t="shared" si="39"/>
        <v/>
      </c>
      <c r="CE172" s="299" t="str">
        <f t="shared" si="39"/>
        <v/>
      </c>
      <c r="CF172" s="298" t="str">
        <f t="shared" ref="CF172:CK181" si="40">IF($O172=CF$159,$DC172,"")</f>
        <v/>
      </c>
      <c r="CG172" s="169" t="str">
        <f t="shared" si="40"/>
        <v/>
      </c>
      <c r="CH172" s="169" t="str">
        <f t="shared" si="40"/>
        <v/>
      </c>
      <c r="CI172" s="169" t="str">
        <f t="shared" si="40"/>
        <v/>
      </c>
      <c r="CJ172" s="169" t="str">
        <f t="shared" si="40"/>
        <v/>
      </c>
      <c r="CK172" s="299" t="str">
        <f t="shared" si="40"/>
        <v/>
      </c>
      <c r="CL172" s="298" t="str">
        <f t="shared" si="31"/>
        <v/>
      </c>
      <c r="CM172" s="169" t="str">
        <f t="shared" si="31"/>
        <v/>
      </c>
      <c r="CN172" s="169" t="str">
        <f t="shared" si="31"/>
        <v/>
      </c>
      <c r="CO172" s="169" t="str">
        <f t="shared" si="31"/>
        <v/>
      </c>
      <c r="CP172" s="169" t="str">
        <f t="shared" si="31"/>
        <v/>
      </c>
      <c r="CQ172" s="299" t="str">
        <f t="shared" si="31"/>
        <v/>
      </c>
      <c r="CR172" s="298" t="str">
        <f t="shared" si="31"/>
        <v/>
      </c>
      <c r="CS172" s="169" t="str">
        <f t="shared" si="31"/>
        <v/>
      </c>
      <c r="CT172" s="169" t="str">
        <f t="shared" si="31"/>
        <v/>
      </c>
      <c r="CU172" s="169" t="str">
        <f t="shared" si="31"/>
        <v/>
      </c>
      <c r="CV172" s="169" t="str">
        <f>IF($P172=CV$159,$DC172,"")</f>
        <v/>
      </c>
      <c r="CW172" s="299" t="str">
        <f t="shared" si="32"/>
        <v/>
      </c>
      <c r="CX172" s="299" t="str">
        <f t="shared" si="32"/>
        <v/>
      </c>
      <c r="CZ172" s="10"/>
      <c r="DB172" s="10">
        <f t="shared" si="23"/>
        <v>11</v>
      </c>
      <c r="DC172" s="10">
        <f t="shared" si="24"/>
        <v>5.5</v>
      </c>
    </row>
    <row r="173" spans="2:107" x14ac:dyDescent="0.25">
      <c r="B173" s="127" t="s">
        <v>794</v>
      </c>
      <c r="C173" s="526" t="str">
        <f t="shared" si="9"/>
        <v>Sink-rinse drop-in SST (10549/10152 (OSM))</v>
      </c>
      <c r="D173" s="527">
        <f t="shared" si="10"/>
        <v>1</v>
      </c>
      <c r="G173" s="40" t="s">
        <v>23</v>
      </c>
      <c r="H173" s="10" t="s">
        <v>23</v>
      </c>
      <c r="Q173" s="47"/>
      <c r="S173" s="298">
        <f t="shared" si="35"/>
        <v>11</v>
      </c>
      <c r="T173" s="169" t="str">
        <f t="shared" si="35"/>
        <v/>
      </c>
      <c r="U173" s="169" t="str">
        <f t="shared" si="35"/>
        <v/>
      </c>
      <c r="V173" s="169" t="str">
        <f t="shared" si="35"/>
        <v/>
      </c>
      <c r="W173" s="169" t="str">
        <f t="shared" si="35"/>
        <v/>
      </c>
      <c r="X173" s="169" t="str">
        <f t="shared" si="35"/>
        <v/>
      </c>
      <c r="Y173" s="169" t="str">
        <f t="shared" si="35"/>
        <v/>
      </c>
      <c r="Z173" s="169" t="str">
        <f t="shared" si="35"/>
        <v/>
      </c>
      <c r="AA173" s="299" t="str">
        <f t="shared" si="35"/>
        <v/>
      </c>
      <c r="AB173" s="169">
        <f t="shared" si="36"/>
        <v>11</v>
      </c>
      <c r="AC173" s="169" t="str">
        <f t="shared" si="36"/>
        <v/>
      </c>
      <c r="AD173" s="169" t="str">
        <f t="shared" si="36"/>
        <v/>
      </c>
      <c r="AE173" s="169" t="str">
        <f t="shared" si="36"/>
        <v/>
      </c>
      <c r="AF173" s="169" t="str">
        <f t="shared" si="36"/>
        <v/>
      </c>
      <c r="AG173" s="169" t="str">
        <f t="shared" si="36"/>
        <v/>
      </c>
      <c r="AH173" s="169" t="str">
        <f t="shared" si="36"/>
        <v/>
      </c>
      <c r="AI173" s="169" t="str">
        <f t="shared" si="36"/>
        <v/>
      </c>
      <c r="AJ173" s="299" t="str">
        <f t="shared" si="36"/>
        <v/>
      </c>
      <c r="AK173" s="298" t="str">
        <f t="shared" si="13"/>
        <v/>
      </c>
      <c r="AL173" s="299" t="str">
        <f t="shared" si="13"/>
        <v/>
      </c>
      <c r="AM173" s="169" t="str">
        <f t="shared" si="37"/>
        <v/>
      </c>
      <c r="AN173" s="169" t="str">
        <f t="shared" si="37"/>
        <v/>
      </c>
      <c r="AO173" s="169" t="str">
        <f t="shared" si="37"/>
        <v/>
      </c>
      <c r="AP173" s="169" t="str">
        <f t="shared" si="37"/>
        <v/>
      </c>
      <c r="AQ173" s="169" t="str">
        <f t="shared" si="37"/>
        <v/>
      </c>
      <c r="AR173" s="169" t="str">
        <f t="shared" si="37"/>
        <v/>
      </c>
      <c r="AS173" s="169" t="str">
        <f t="shared" si="37"/>
        <v/>
      </c>
      <c r="AT173" s="169" t="str">
        <f t="shared" si="37"/>
        <v/>
      </c>
      <c r="AU173" s="299" t="str">
        <f t="shared" si="37"/>
        <v/>
      </c>
      <c r="AV173" s="169" t="str">
        <f t="shared" si="25"/>
        <v/>
      </c>
      <c r="AW173" s="169" t="str">
        <f t="shared" si="34"/>
        <v/>
      </c>
      <c r="AX173" s="169" t="str">
        <f t="shared" si="34"/>
        <v/>
      </c>
      <c r="AY173" s="169" t="str">
        <f t="shared" si="26"/>
        <v/>
      </c>
      <c r="AZ173" s="169" t="str">
        <f t="shared" si="26"/>
        <v/>
      </c>
      <c r="BA173" s="299" t="str">
        <f t="shared" si="26"/>
        <v/>
      </c>
      <c r="BB173" s="169" t="str">
        <f t="shared" si="29"/>
        <v/>
      </c>
      <c r="BC173" s="169" t="str">
        <f t="shared" si="33"/>
        <v/>
      </c>
      <c r="BD173" s="169" t="str">
        <f t="shared" si="30"/>
        <v/>
      </c>
      <c r="BE173" s="169" t="str">
        <f t="shared" si="27"/>
        <v/>
      </c>
      <c r="BF173" s="169" t="str">
        <f t="shared" si="27"/>
        <v/>
      </c>
      <c r="BG173" s="169" t="str">
        <f t="shared" si="27"/>
        <v/>
      </c>
      <c r="BH173" s="298" t="str">
        <f t="shared" si="17"/>
        <v/>
      </c>
      <c r="BI173" s="169" t="str">
        <f t="shared" si="28"/>
        <v/>
      </c>
      <c r="BJ173" s="169" t="str">
        <f t="shared" si="18"/>
        <v/>
      </c>
      <c r="BK173" s="169" t="str">
        <f t="shared" si="18"/>
        <v/>
      </c>
      <c r="BL173" s="169" t="str">
        <f t="shared" si="18"/>
        <v/>
      </c>
      <c r="BM173" s="299" t="str">
        <f t="shared" si="18"/>
        <v/>
      </c>
      <c r="BN173" s="298" t="str">
        <f t="shared" si="38"/>
        <v/>
      </c>
      <c r="BO173" s="169" t="str">
        <f t="shared" si="38"/>
        <v/>
      </c>
      <c r="BP173" s="169" t="str">
        <f t="shared" si="38"/>
        <v/>
      </c>
      <c r="BQ173" s="169" t="str">
        <f t="shared" si="38"/>
        <v/>
      </c>
      <c r="BR173" s="169" t="str">
        <f t="shared" si="38"/>
        <v/>
      </c>
      <c r="BS173" s="169" t="str">
        <f t="shared" si="38"/>
        <v/>
      </c>
      <c r="BT173" s="169" t="str">
        <f t="shared" si="38"/>
        <v/>
      </c>
      <c r="BU173" s="169" t="str">
        <f t="shared" si="38"/>
        <v/>
      </c>
      <c r="BV173" s="299" t="str">
        <f t="shared" si="38"/>
        <v/>
      </c>
      <c r="BW173" s="298" t="str">
        <f t="shared" si="39"/>
        <v/>
      </c>
      <c r="BX173" s="169" t="str">
        <f t="shared" si="39"/>
        <v/>
      </c>
      <c r="BY173" s="169" t="str">
        <f t="shared" si="39"/>
        <v/>
      </c>
      <c r="BZ173" s="169" t="str">
        <f t="shared" si="39"/>
        <v/>
      </c>
      <c r="CA173" s="169" t="str">
        <f t="shared" si="39"/>
        <v/>
      </c>
      <c r="CB173" s="169" t="str">
        <f t="shared" si="39"/>
        <v/>
      </c>
      <c r="CC173" s="169" t="str">
        <f t="shared" si="39"/>
        <v/>
      </c>
      <c r="CD173" s="169" t="str">
        <f t="shared" si="39"/>
        <v/>
      </c>
      <c r="CE173" s="299" t="str">
        <f t="shared" si="39"/>
        <v/>
      </c>
      <c r="CF173" s="298" t="str">
        <f t="shared" si="40"/>
        <v/>
      </c>
      <c r="CG173" s="169" t="str">
        <f t="shared" si="40"/>
        <v/>
      </c>
      <c r="CH173" s="169" t="str">
        <f t="shared" si="40"/>
        <v/>
      </c>
      <c r="CI173" s="169" t="str">
        <f t="shared" si="40"/>
        <v/>
      </c>
      <c r="CJ173" s="169" t="str">
        <f t="shared" si="40"/>
        <v/>
      </c>
      <c r="CK173" s="299" t="str">
        <f t="shared" si="40"/>
        <v/>
      </c>
      <c r="CL173" s="298" t="str">
        <f t="shared" si="31"/>
        <v/>
      </c>
      <c r="CM173" s="169" t="str">
        <f t="shared" si="31"/>
        <v/>
      </c>
      <c r="CN173" s="169" t="str">
        <f t="shared" si="31"/>
        <v/>
      </c>
      <c r="CO173" s="169" t="str">
        <f t="shared" si="31"/>
        <v/>
      </c>
      <c r="CP173" s="169" t="str">
        <f t="shared" si="31"/>
        <v/>
      </c>
      <c r="CQ173" s="299" t="str">
        <f t="shared" si="31"/>
        <v/>
      </c>
      <c r="CR173" s="298" t="str">
        <f t="shared" si="31"/>
        <v/>
      </c>
      <c r="CS173" s="169" t="str">
        <f t="shared" si="31"/>
        <v/>
      </c>
      <c r="CT173" s="169" t="str">
        <f t="shared" si="31"/>
        <v/>
      </c>
      <c r="CU173" s="169" t="str">
        <f t="shared" si="31"/>
        <v/>
      </c>
      <c r="CV173" s="169">
        <f>8*D173</f>
        <v>8</v>
      </c>
      <c r="CW173" s="299" t="str">
        <f t="shared" si="32"/>
        <v/>
      </c>
      <c r="CX173" s="299" t="str">
        <f t="shared" si="32"/>
        <v/>
      </c>
      <c r="CZ173" s="10"/>
      <c r="DB173" s="10">
        <f t="shared" si="23"/>
        <v>11</v>
      </c>
      <c r="DC173" s="10">
        <f t="shared" si="24"/>
        <v>5.5</v>
      </c>
    </row>
    <row r="174" spans="2:107" x14ac:dyDescent="0.25">
      <c r="B174" s="127" t="s">
        <v>794</v>
      </c>
      <c r="C174" s="526" t="str">
        <f t="shared" si="9"/>
        <v>Sink water filling  (18473 (OSM))</v>
      </c>
      <c r="D174" s="527">
        <f t="shared" si="10"/>
        <v>1</v>
      </c>
      <c r="G174" s="40"/>
      <c r="Q174" s="47"/>
      <c r="S174" s="298" t="str">
        <f t="shared" si="35"/>
        <v/>
      </c>
      <c r="T174" s="169" t="str">
        <f t="shared" si="35"/>
        <v/>
      </c>
      <c r="U174" s="169" t="str">
        <f t="shared" si="35"/>
        <v/>
      </c>
      <c r="V174" s="169" t="str">
        <f t="shared" si="35"/>
        <v/>
      </c>
      <c r="W174" s="169" t="str">
        <f t="shared" si="35"/>
        <v/>
      </c>
      <c r="X174" s="169" t="str">
        <f t="shared" si="35"/>
        <v/>
      </c>
      <c r="Y174" s="169" t="str">
        <f t="shared" si="35"/>
        <v/>
      </c>
      <c r="Z174" s="169" t="str">
        <f t="shared" si="35"/>
        <v/>
      </c>
      <c r="AA174" s="299" t="str">
        <f t="shared" si="35"/>
        <v/>
      </c>
      <c r="AB174" s="169" t="str">
        <f t="shared" si="36"/>
        <v/>
      </c>
      <c r="AC174" s="169" t="str">
        <f t="shared" si="36"/>
        <v/>
      </c>
      <c r="AD174" s="169" t="str">
        <f t="shared" si="36"/>
        <v/>
      </c>
      <c r="AE174" s="169" t="str">
        <f t="shared" si="36"/>
        <v/>
      </c>
      <c r="AF174" s="169" t="str">
        <f t="shared" si="36"/>
        <v/>
      </c>
      <c r="AG174" s="169" t="str">
        <f t="shared" si="36"/>
        <v/>
      </c>
      <c r="AH174" s="169" t="str">
        <f t="shared" si="36"/>
        <v/>
      </c>
      <c r="AI174" s="169" t="str">
        <f t="shared" si="36"/>
        <v/>
      </c>
      <c r="AJ174" s="299" t="str">
        <f t="shared" si="36"/>
        <v/>
      </c>
      <c r="AK174" s="298" t="str">
        <f t="shared" si="13"/>
        <v/>
      </c>
      <c r="AL174" s="299" t="str">
        <f t="shared" si="13"/>
        <v/>
      </c>
      <c r="AM174" s="169" t="str">
        <f t="shared" si="37"/>
        <v/>
      </c>
      <c r="AN174" s="169" t="str">
        <f t="shared" si="37"/>
        <v/>
      </c>
      <c r="AO174" s="169" t="str">
        <f t="shared" si="37"/>
        <v/>
      </c>
      <c r="AP174" s="169" t="str">
        <f t="shared" si="37"/>
        <v/>
      </c>
      <c r="AQ174" s="169" t="str">
        <f t="shared" si="37"/>
        <v/>
      </c>
      <c r="AR174" s="169" t="str">
        <f t="shared" si="37"/>
        <v/>
      </c>
      <c r="AS174" s="169" t="str">
        <f t="shared" si="37"/>
        <v/>
      </c>
      <c r="AT174" s="169" t="str">
        <f t="shared" si="37"/>
        <v/>
      </c>
      <c r="AU174" s="299" t="str">
        <f t="shared" si="37"/>
        <v/>
      </c>
      <c r="AV174" s="169" t="str">
        <f t="shared" si="25"/>
        <v/>
      </c>
      <c r="AW174" s="169" t="str">
        <f t="shared" si="34"/>
        <v/>
      </c>
      <c r="AX174" s="169" t="str">
        <f t="shared" si="34"/>
        <v/>
      </c>
      <c r="AY174" s="169" t="str">
        <f t="shared" si="26"/>
        <v/>
      </c>
      <c r="AZ174" s="169" t="str">
        <f t="shared" si="26"/>
        <v/>
      </c>
      <c r="BA174" s="299" t="str">
        <f t="shared" si="26"/>
        <v/>
      </c>
      <c r="BB174" s="169" t="str">
        <f t="shared" si="29"/>
        <v/>
      </c>
      <c r="BC174" s="169" t="str">
        <f t="shared" si="33"/>
        <v/>
      </c>
      <c r="BD174" s="169" t="str">
        <f t="shared" si="30"/>
        <v/>
      </c>
      <c r="BE174" s="169" t="str">
        <f t="shared" si="27"/>
        <v/>
      </c>
      <c r="BF174" s="169" t="str">
        <f t="shared" si="27"/>
        <v/>
      </c>
      <c r="BG174" s="169" t="str">
        <f t="shared" si="27"/>
        <v/>
      </c>
      <c r="BH174" s="298" t="str">
        <f t="shared" si="17"/>
        <v/>
      </c>
      <c r="BI174" s="169" t="str">
        <f t="shared" si="28"/>
        <v/>
      </c>
      <c r="BJ174" s="169" t="str">
        <f t="shared" si="18"/>
        <v/>
      </c>
      <c r="BK174" s="169" t="str">
        <f t="shared" si="18"/>
        <v/>
      </c>
      <c r="BL174" s="169" t="str">
        <f t="shared" si="18"/>
        <v/>
      </c>
      <c r="BM174" s="299" t="str">
        <f t="shared" si="18"/>
        <v/>
      </c>
      <c r="BN174" s="298" t="str">
        <f t="shared" si="38"/>
        <v/>
      </c>
      <c r="BO174" s="169" t="str">
        <f t="shared" si="38"/>
        <v/>
      </c>
      <c r="BP174" s="169" t="str">
        <f t="shared" si="38"/>
        <v/>
      </c>
      <c r="BQ174" s="169" t="str">
        <f t="shared" si="38"/>
        <v/>
      </c>
      <c r="BR174" s="169" t="str">
        <f t="shared" si="38"/>
        <v/>
      </c>
      <c r="BS174" s="169" t="str">
        <f t="shared" si="38"/>
        <v/>
      </c>
      <c r="BT174" s="169" t="str">
        <f t="shared" si="38"/>
        <v/>
      </c>
      <c r="BU174" s="169" t="str">
        <f t="shared" si="38"/>
        <v/>
      </c>
      <c r="BV174" s="299" t="str">
        <f t="shared" si="38"/>
        <v/>
      </c>
      <c r="BW174" s="298" t="str">
        <f t="shared" si="39"/>
        <v/>
      </c>
      <c r="BX174" s="169" t="str">
        <f t="shared" si="39"/>
        <v/>
      </c>
      <c r="BY174" s="169" t="str">
        <f t="shared" si="39"/>
        <v/>
      </c>
      <c r="BZ174" s="169" t="str">
        <f t="shared" si="39"/>
        <v/>
      </c>
      <c r="CA174" s="169" t="str">
        <f t="shared" si="39"/>
        <v/>
      </c>
      <c r="CB174" s="169" t="str">
        <f t="shared" si="39"/>
        <v/>
      </c>
      <c r="CC174" s="169" t="str">
        <f t="shared" si="39"/>
        <v/>
      </c>
      <c r="CD174" s="169" t="str">
        <f t="shared" si="39"/>
        <v/>
      </c>
      <c r="CE174" s="299" t="str">
        <f t="shared" si="39"/>
        <v/>
      </c>
      <c r="CF174" s="298" t="str">
        <f t="shared" si="40"/>
        <v/>
      </c>
      <c r="CG174" s="169" t="str">
        <f t="shared" si="40"/>
        <v/>
      </c>
      <c r="CH174" s="169" t="str">
        <f t="shared" si="40"/>
        <v/>
      </c>
      <c r="CI174" s="169" t="str">
        <f t="shared" si="40"/>
        <v/>
      </c>
      <c r="CJ174" s="169" t="str">
        <f t="shared" si="40"/>
        <v/>
      </c>
      <c r="CK174" s="299" t="str">
        <f t="shared" si="40"/>
        <v/>
      </c>
      <c r="CL174" s="298" t="str">
        <f t="shared" si="31"/>
        <v/>
      </c>
      <c r="CM174" s="169" t="str">
        <f t="shared" si="31"/>
        <v/>
      </c>
      <c r="CN174" s="169" t="str">
        <f t="shared" si="31"/>
        <v/>
      </c>
      <c r="CO174" s="169" t="str">
        <f t="shared" si="31"/>
        <v/>
      </c>
      <c r="CP174" s="169" t="str">
        <f t="shared" si="31"/>
        <v/>
      </c>
      <c r="CQ174" s="299" t="str">
        <f t="shared" si="31"/>
        <v/>
      </c>
      <c r="CR174" s="298" t="str">
        <f t="shared" si="31"/>
        <v/>
      </c>
      <c r="CS174" s="169" t="str">
        <f t="shared" si="31"/>
        <v/>
      </c>
      <c r="CT174" s="169" t="str">
        <f t="shared" si="31"/>
        <v/>
      </c>
      <c r="CU174" s="169" t="str">
        <f t="shared" si="31"/>
        <v/>
      </c>
      <c r="CV174" s="169">
        <f>8*D174</f>
        <v>8</v>
      </c>
      <c r="CW174" s="299" t="str">
        <f t="shared" si="32"/>
        <v/>
      </c>
      <c r="CX174" s="299" t="str">
        <f t="shared" si="32"/>
        <v/>
      </c>
      <c r="CZ174" s="10"/>
      <c r="DB174" s="10">
        <f t="shared" si="23"/>
        <v>11</v>
      </c>
      <c r="DC174" s="10">
        <f t="shared" si="24"/>
        <v>5.5</v>
      </c>
    </row>
    <row r="175" spans="2:107" x14ac:dyDescent="0.25">
      <c r="B175" s="127"/>
      <c r="C175" s="526" t="str">
        <f t="shared" si="9"/>
        <v>SW F-water tower (10153 (OSM))</v>
      </c>
      <c r="D175" s="527">
        <f t="shared" si="10"/>
        <v>1</v>
      </c>
      <c r="G175" s="40"/>
      <c r="I175" s="10" t="s">
        <v>23</v>
      </c>
      <c r="Q175" s="47"/>
      <c r="S175" s="298" t="str">
        <f t="shared" si="35"/>
        <v/>
      </c>
      <c r="T175" s="169" t="str">
        <f t="shared" si="35"/>
        <v/>
      </c>
      <c r="U175" s="169" t="str">
        <f t="shared" si="35"/>
        <v/>
      </c>
      <c r="V175" s="169" t="str">
        <f t="shared" si="35"/>
        <v/>
      </c>
      <c r="W175" s="169" t="str">
        <f t="shared" si="35"/>
        <v/>
      </c>
      <c r="X175" s="169" t="str">
        <f t="shared" si="35"/>
        <v/>
      </c>
      <c r="Y175" s="169" t="str">
        <f t="shared" si="35"/>
        <v/>
      </c>
      <c r="Z175" s="169" t="str">
        <f t="shared" si="35"/>
        <v/>
      </c>
      <c r="AA175" s="299" t="str">
        <f t="shared" si="35"/>
        <v/>
      </c>
      <c r="AB175" s="169" t="str">
        <f t="shared" si="36"/>
        <v/>
      </c>
      <c r="AC175" s="169" t="str">
        <f t="shared" si="36"/>
        <v/>
      </c>
      <c r="AD175" s="169" t="str">
        <f t="shared" si="36"/>
        <v/>
      </c>
      <c r="AE175" s="169" t="str">
        <f t="shared" si="36"/>
        <v/>
      </c>
      <c r="AF175" s="169" t="str">
        <f t="shared" si="36"/>
        <v/>
      </c>
      <c r="AG175" s="169" t="str">
        <f t="shared" si="36"/>
        <v/>
      </c>
      <c r="AH175" s="169" t="str">
        <f t="shared" si="36"/>
        <v/>
      </c>
      <c r="AI175" s="169" t="str">
        <f t="shared" si="36"/>
        <v/>
      </c>
      <c r="AJ175" s="299" t="str">
        <f t="shared" si="36"/>
        <v/>
      </c>
      <c r="AK175" s="298" t="str">
        <f t="shared" si="13"/>
        <v/>
      </c>
      <c r="AL175" s="299" t="str">
        <f t="shared" si="13"/>
        <v/>
      </c>
      <c r="AM175" s="169">
        <f t="shared" si="37"/>
        <v>11</v>
      </c>
      <c r="AN175" s="169" t="str">
        <f t="shared" si="37"/>
        <v/>
      </c>
      <c r="AO175" s="169" t="str">
        <f t="shared" si="37"/>
        <v/>
      </c>
      <c r="AP175" s="169" t="str">
        <f t="shared" si="37"/>
        <v/>
      </c>
      <c r="AQ175" s="169" t="str">
        <f t="shared" si="37"/>
        <v/>
      </c>
      <c r="AR175" s="169" t="str">
        <f t="shared" si="37"/>
        <v/>
      </c>
      <c r="AS175" s="169" t="str">
        <f t="shared" si="37"/>
        <v/>
      </c>
      <c r="AT175" s="169" t="str">
        <f t="shared" si="37"/>
        <v/>
      </c>
      <c r="AU175" s="299" t="str">
        <f t="shared" si="37"/>
        <v/>
      </c>
      <c r="AV175" s="169" t="str">
        <f t="shared" si="25"/>
        <v/>
      </c>
      <c r="AW175" s="169" t="str">
        <f t="shared" si="34"/>
        <v/>
      </c>
      <c r="AX175" s="169" t="str">
        <f t="shared" si="34"/>
        <v/>
      </c>
      <c r="AY175" s="169" t="str">
        <f t="shared" si="26"/>
        <v/>
      </c>
      <c r="AZ175" s="169" t="str">
        <f t="shared" si="26"/>
        <v/>
      </c>
      <c r="BA175" s="299" t="str">
        <f t="shared" si="26"/>
        <v/>
      </c>
      <c r="BB175" s="169" t="str">
        <f t="shared" si="29"/>
        <v/>
      </c>
      <c r="BC175" s="169" t="str">
        <f t="shared" si="33"/>
        <v/>
      </c>
      <c r="BD175" s="169" t="str">
        <f t="shared" si="30"/>
        <v/>
      </c>
      <c r="BE175" s="169" t="str">
        <f t="shared" si="27"/>
        <v/>
      </c>
      <c r="BF175" s="169" t="str">
        <f t="shared" si="27"/>
        <v/>
      </c>
      <c r="BG175" s="169" t="str">
        <f t="shared" si="27"/>
        <v/>
      </c>
      <c r="BH175" s="298" t="str">
        <f t="shared" si="17"/>
        <v/>
      </c>
      <c r="BI175" s="169" t="str">
        <f t="shared" si="28"/>
        <v/>
      </c>
      <c r="BJ175" s="169" t="str">
        <f t="shared" si="18"/>
        <v/>
      </c>
      <c r="BK175" s="169" t="str">
        <f t="shared" si="18"/>
        <v/>
      </c>
      <c r="BL175" s="169" t="str">
        <f t="shared" si="18"/>
        <v/>
      </c>
      <c r="BM175" s="299" t="str">
        <f t="shared" si="18"/>
        <v/>
      </c>
      <c r="BN175" s="298" t="str">
        <f t="shared" si="38"/>
        <v/>
      </c>
      <c r="BO175" s="169" t="str">
        <f t="shared" si="38"/>
        <v/>
      </c>
      <c r="BP175" s="169" t="str">
        <f t="shared" si="38"/>
        <v/>
      </c>
      <c r="BQ175" s="169" t="str">
        <f t="shared" si="38"/>
        <v/>
      </c>
      <c r="BR175" s="169" t="str">
        <f t="shared" si="38"/>
        <v/>
      </c>
      <c r="BS175" s="169" t="str">
        <f t="shared" si="38"/>
        <v/>
      </c>
      <c r="BT175" s="169" t="str">
        <f t="shared" si="38"/>
        <v/>
      </c>
      <c r="BU175" s="169" t="str">
        <f t="shared" si="38"/>
        <v/>
      </c>
      <c r="BV175" s="299" t="str">
        <f t="shared" si="38"/>
        <v/>
      </c>
      <c r="BW175" s="298" t="str">
        <f t="shared" si="39"/>
        <v/>
      </c>
      <c r="BX175" s="169" t="str">
        <f t="shared" si="39"/>
        <v/>
      </c>
      <c r="BY175" s="169" t="str">
        <f t="shared" si="39"/>
        <v/>
      </c>
      <c r="BZ175" s="169" t="str">
        <f t="shared" si="39"/>
        <v/>
      </c>
      <c r="CA175" s="169" t="str">
        <f t="shared" si="39"/>
        <v/>
      </c>
      <c r="CB175" s="169" t="str">
        <f t="shared" si="39"/>
        <v/>
      </c>
      <c r="CC175" s="169" t="str">
        <f t="shared" si="39"/>
        <v/>
      </c>
      <c r="CD175" s="169" t="str">
        <f t="shared" si="39"/>
        <v/>
      </c>
      <c r="CE175" s="299" t="str">
        <f t="shared" si="39"/>
        <v/>
      </c>
      <c r="CF175" s="298" t="str">
        <f t="shared" si="40"/>
        <v/>
      </c>
      <c r="CG175" s="169" t="str">
        <f t="shared" si="40"/>
        <v/>
      </c>
      <c r="CH175" s="169" t="str">
        <f t="shared" si="40"/>
        <v/>
      </c>
      <c r="CI175" s="169" t="str">
        <f t="shared" si="40"/>
        <v/>
      </c>
      <c r="CJ175" s="169" t="str">
        <f t="shared" si="40"/>
        <v/>
      </c>
      <c r="CK175" s="299" t="str">
        <f t="shared" si="40"/>
        <v/>
      </c>
      <c r="CL175" s="298" t="str">
        <f t="shared" ref="CL175:CU184" si="41">IF($P175=CL$159,$DC175,"")</f>
        <v/>
      </c>
      <c r="CM175" s="169" t="str">
        <f t="shared" si="41"/>
        <v/>
      </c>
      <c r="CN175" s="169" t="str">
        <f t="shared" si="41"/>
        <v/>
      </c>
      <c r="CO175" s="169" t="str">
        <f t="shared" si="41"/>
        <v/>
      </c>
      <c r="CP175" s="169" t="str">
        <f t="shared" si="41"/>
        <v/>
      </c>
      <c r="CQ175" s="299" t="str">
        <f t="shared" si="41"/>
        <v/>
      </c>
      <c r="CR175" s="298" t="str">
        <f t="shared" si="41"/>
        <v/>
      </c>
      <c r="CS175" s="169" t="str">
        <f t="shared" si="41"/>
        <v/>
      </c>
      <c r="CT175" s="169" t="str">
        <f t="shared" si="41"/>
        <v/>
      </c>
      <c r="CU175" s="169" t="str">
        <f t="shared" si="41"/>
        <v/>
      </c>
      <c r="CV175" s="169" t="str">
        <f>IF($P175=CV$159,$DC175,"")</f>
        <v/>
      </c>
      <c r="CW175" s="299" t="str">
        <f t="shared" si="32"/>
        <v/>
      </c>
      <c r="CX175" s="299" t="str">
        <f t="shared" si="32"/>
        <v/>
      </c>
      <c r="CZ175" s="10"/>
      <c r="DB175" s="10">
        <f t="shared" si="23"/>
        <v>11</v>
      </c>
      <c r="DC175" s="10">
        <f t="shared" si="24"/>
        <v>5.5</v>
      </c>
    </row>
    <row r="176" spans="2:107" x14ac:dyDescent="0.25">
      <c r="B176" s="127"/>
      <c r="C176" s="526" t="str">
        <f t="shared" si="9"/>
        <v>SW F-double lab (10215 (OSM))</v>
      </c>
      <c r="D176" s="527">
        <f t="shared" si="10"/>
        <v>1</v>
      </c>
      <c r="G176" s="40" t="s">
        <v>23</v>
      </c>
      <c r="H176" s="10" t="s">
        <v>23</v>
      </c>
      <c r="Q176" s="47"/>
      <c r="S176" s="298">
        <f t="shared" si="35"/>
        <v>11</v>
      </c>
      <c r="T176" s="169" t="str">
        <f t="shared" si="35"/>
        <v/>
      </c>
      <c r="U176" s="169" t="str">
        <f t="shared" si="35"/>
        <v/>
      </c>
      <c r="V176" s="169" t="str">
        <f t="shared" si="35"/>
        <v/>
      </c>
      <c r="W176" s="169" t="str">
        <f t="shared" si="35"/>
        <v/>
      </c>
      <c r="X176" s="169" t="str">
        <f t="shared" si="35"/>
        <v/>
      </c>
      <c r="Y176" s="169" t="str">
        <f t="shared" si="35"/>
        <v/>
      </c>
      <c r="Z176" s="169" t="str">
        <f t="shared" si="35"/>
        <v/>
      </c>
      <c r="AA176" s="299" t="str">
        <f t="shared" si="35"/>
        <v/>
      </c>
      <c r="AB176" s="169">
        <f t="shared" si="36"/>
        <v>11</v>
      </c>
      <c r="AC176" s="169" t="str">
        <f t="shared" si="36"/>
        <v/>
      </c>
      <c r="AD176" s="169" t="str">
        <f t="shared" si="36"/>
        <v/>
      </c>
      <c r="AE176" s="169" t="str">
        <f t="shared" si="36"/>
        <v/>
      </c>
      <c r="AF176" s="169" t="str">
        <f t="shared" si="36"/>
        <v/>
      </c>
      <c r="AG176" s="169" t="str">
        <f t="shared" si="36"/>
        <v/>
      </c>
      <c r="AH176" s="169" t="str">
        <f t="shared" si="36"/>
        <v/>
      </c>
      <c r="AI176" s="169" t="str">
        <f t="shared" si="36"/>
        <v/>
      </c>
      <c r="AJ176" s="299" t="str">
        <f t="shared" si="36"/>
        <v/>
      </c>
      <c r="AK176" s="298" t="str">
        <f t="shared" si="13"/>
        <v/>
      </c>
      <c r="AL176" s="299" t="str">
        <f t="shared" si="13"/>
        <v/>
      </c>
      <c r="AM176" s="169" t="str">
        <f t="shared" si="37"/>
        <v/>
      </c>
      <c r="AN176" s="169" t="str">
        <f t="shared" si="37"/>
        <v/>
      </c>
      <c r="AO176" s="169" t="str">
        <f t="shared" si="37"/>
        <v/>
      </c>
      <c r="AP176" s="169" t="str">
        <f t="shared" si="37"/>
        <v/>
      </c>
      <c r="AQ176" s="169" t="str">
        <f t="shared" si="37"/>
        <v/>
      </c>
      <c r="AR176" s="169" t="str">
        <f t="shared" si="37"/>
        <v/>
      </c>
      <c r="AS176" s="169" t="str">
        <f t="shared" si="37"/>
        <v/>
      </c>
      <c r="AT176" s="169" t="str">
        <f t="shared" si="37"/>
        <v/>
      </c>
      <c r="AU176" s="299" t="str">
        <f t="shared" si="37"/>
        <v/>
      </c>
      <c r="AV176" s="169" t="str">
        <f t="shared" si="25"/>
        <v/>
      </c>
      <c r="AW176" s="169" t="str">
        <f t="shared" si="34"/>
        <v/>
      </c>
      <c r="AX176" s="169" t="str">
        <f t="shared" si="34"/>
        <v/>
      </c>
      <c r="AY176" s="169" t="str">
        <f t="shared" si="26"/>
        <v/>
      </c>
      <c r="AZ176" s="169" t="str">
        <f t="shared" si="26"/>
        <v/>
      </c>
      <c r="BA176" s="299" t="str">
        <f t="shared" si="26"/>
        <v/>
      </c>
      <c r="BB176" s="169" t="str">
        <f t="shared" si="29"/>
        <v/>
      </c>
      <c r="BC176" s="169" t="str">
        <f t="shared" si="33"/>
        <v/>
      </c>
      <c r="BD176" s="169" t="str">
        <f t="shared" si="30"/>
        <v/>
      </c>
      <c r="BE176" s="169" t="str">
        <f t="shared" si="27"/>
        <v/>
      </c>
      <c r="BF176" s="169" t="str">
        <f t="shared" si="27"/>
        <v/>
      </c>
      <c r="BG176" s="169" t="str">
        <f t="shared" si="27"/>
        <v/>
      </c>
      <c r="BH176" s="298" t="str">
        <f t="shared" si="17"/>
        <v/>
      </c>
      <c r="BI176" s="169" t="str">
        <f t="shared" si="28"/>
        <v/>
      </c>
      <c r="BJ176" s="169" t="str">
        <f t="shared" si="18"/>
        <v/>
      </c>
      <c r="BK176" s="169" t="str">
        <f t="shared" si="18"/>
        <v/>
      </c>
      <c r="BL176" s="169" t="str">
        <f t="shared" si="18"/>
        <v/>
      </c>
      <c r="BM176" s="299" t="str">
        <f t="shared" si="18"/>
        <v/>
      </c>
      <c r="BN176" s="298" t="str">
        <f t="shared" si="38"/>
        <v/>
      </c>
      <c r="BO176" s="169" t="str">
        <f t="shared" si="38"/>
        <v/>
      </c>
      <c r="BP176" s="169" t="str">
        <f t="shared" si="38"/>
        <v/>
      </c>
      <c r="BQ176" s="169" t="str">
        <f t="shared" si="38"/>
        <v/>
      </c>
      <c r="BR176" s="169" t="str">
        <f t="shared" si="38"/>
        <v/>
      </c>
      <c r="BS176" s="169" t="str">
        <f t="shared" si="38"/>
        <v/>
      </c>
      <c r="BT176" s="169" t="str">
        <f t="shared" si="38"/>
        <v/>
      </c>
      <c r="BU176" s="169" t="str">
        <f t="shared" si="38"/>
        <v/>
      </c>
      <c r="BV176" s="299" t="str">
        <f t="shared" si="38"/>
        <v/>
      </c>
      <c r="BW176" s="298" t="str">
        <f t="shared" si="39"/>
        <v/>
      </c>
      <c r="BX176" s="169" t="str">
        <f t="shared" si="39"/>
        <v/>
      </c>
      <c r="BY176" s="169" t="str">
        <f t="shared" si="39"/>
        <v/>
      </c>
      <c r="BZ176" s="169" t="str">
        <f t="shared" si="39"/>
        <v/>
      </c>
      <c r="CA176" s="169" t="str">
        <f t="shared" si="39"/>
        <v/>
      </c>
      <c r="CB176" s="169" t="str">
        <f t="shared" si="39"/>
        <v/>
      </c>
      <c r="CC176" s="169" t="str">
        <f t="shared" si="39"/>
        <v/>
      </c>
      <c r="CD176" s="169" t="str">
        <f t="shared" si="39"/>
        <v/>
      </c>
      <c r="CE176" s="299" t="str">
        <f t="shared" si="39"/>
        <v/>
      </c>
      <c r="CF176" s="298" t="str">
        <f t="shared" si="40"/>
        <v/>
      </c>
      <c r="CG176" s="169" t="str">
        <f t="shared" si="40"/>
        <v/>
      </c>
      <c r="CH176" s="169" t="str">
        <f t="shared" si="40"/>
        <v/>
      </c>
      <c r="CI176" s="169" t="str">
        <f t="shared" si="40"/>
        <v/>
      </c>
      <c r="CJ176" s="169" t="str">
        <f t="shared" si="40"/>
        <v/>
      </c>
      <c r="CK176" s="299" t="str">
        <f t="shared" si="40"/>
        <v/>
      </c>
      <c r="CL176" s="298" t="str">
        <f t="shared" si="41"/>
        <v/>
      </c>
      <c r="CM176" s="169" t="str">
        <f t="shared" si="41"/>
        <v/>
      </c>
      <c r="CN176" s="169" t="str">
        <f t="shared" si="41"/>
        <v/>
      </c>
      <c r="CO176" s="169" t="str">
        <f t="shared" si="41"/>
        <v/>
      </c>
      <c r="CP176" s="169" t="str">
        <f t="shared" si="41"/>
        <v/>
      </c>
      <c r="CQ176" s="299" t="str">
        <f t="shared" si="41"/>
        <v/>
      </c>
      <c r="CR176" s="298" t="str">
        <f t="shared" si="41"/>
        <v/>
      </c>
      <c r="CS176" s="169" t="str">
        <f t="shared" si="41"/>
        <v/>
      </c>
      <c r="CT176" s="169" t="str">
        <f t="shared" si="41"/>
        <v/>
      </c>
      <c r="CU176" s="169" t="str">
        <f t="shared" si="41"/>
        <v/>
      </c>
      <c r="CV176" s="169" t="str">
        <f>IF($P176=CV$159,$DC176,"")</f>
        <v/>
      </c>
      <c r="CW176" s="299" t="str">
        <f t="shared" si="32"/>
        <v/>
      </c>
      <c r="CX176" s="299" t="str">
        <f t="shared" si="32"/>
        <v/>
      </c>
      <c r="CZ176" s="10"/>
      <c r="DB176" s="10">
        <f t="shared" si="23"/>
        <v>11</v>
      </c>
      <c r="DC176" s="10">
        <f t="shared" si="24"/>
        <v>5.5</v>
      </c>
    </row>
    <row r="177" spans="2:107" x14ac:dyDescent="0.25">
      <c r="B177" s="127"/>
      <c r="C177" s="526" t="str">
        <f t="shared" si="9"/>
        <v>SW-F-Insta hot2 (22642 (OSM))</v>
      </c>
      <c r="D177" s="527">
        <f t="shared" si="10"/>
        <v>1</v>
      </c>
      <c r="E177" s="40"/>
      <c r="G177" s="40"/>
      <c r="I177" s="10" t="s">
        <v>23</v>
      </c>
      <c r="Q177" s="47"/>
      <c r="S177" s="298" t="str">
        <f t="shared" si="35"/>
        <v/>
      </c>
      <c r="T177" s="169" t="str">
        <f t="shared" si="35"/>
        <v/>
      </c>
      <c r="U177" s="169" t="str">
        <f t="shared" si="35"/>
        <v/>
      </c>
      <c r="V177" s="169" t="str">
        <f t="shared" si="35"/>
        <v/>
      </c>
      <c r="W177" s="169" t="str">
        <f t="shared" si="35"/>
        <v/>
      </c>
      <c r="X177" s="169" t="str">
        <f t="shared" si="35"/>
        <v/>
      </c>
      <c r="Y177" s="169" t="str">
        <f t="shared" si="35"/>
        <v/>
      </c>
      <c r="Z177" s="169" t="str">
        <f t="shared" si="35"/>
        <v/>
      </c>
      <c r="AA177" s="299" t="str">
        <f t="shared" si="35"/>
        <v/>
      </c>
      <c r="AB177" s="169" t="str">
        <f t="shared" si="36"/>
        <v/>
      </c>
      <c r="AC177" s="169" t="str">
        <f t="shared" si="36"/>
        <v/>
      </c>
      <c r="AD177" s="169" t="str">
        <f t="shared" si="36"/>
        <v/>
      </c>
      <c r="AE177" s="169" t="str">
        <f t="shared" si="36"/>
        <v/>
      </c>
      <c r="AF177" s="169" t="str">
        <f t="shared" si="36"/>
        <v/>
      </c>
      <c r="AG177" s="169" t="str">
        <f t="shared" si="36"/>
        <v/>
      </c>
      <c r="AH177" s="169" t="str">
        <f t="shared" si="36"/>
        <v/>
      </c>
      <c r="AI177" s="169" t="str">
        <f t="shared" si="36"/>
        <v/>
      </c>
      <c r="AJ177" s="299" t="str">
        <f t="shared" si="36"/>
        <v/>
      </c>
      <c r="AK177" s="298" t="str">
        <f t="shared" si="13"/>
        <v/>
      </c>
      <c r="AL177" s="299" t="str">
        <f t="shared" si="13"/>
        <v/>
      </c>
      <c r="AM177" s="169">
        <f t="shared" si="37"/>
        <v>11</v>
      </c>
      <c r="AN177" s="169" t="str">
        <f t="shared" si="37"/>
        <v/>
      </c>
      <c r="AO177" s="169" t="str">
        <f t="shared" si="37"/>
        <v/>
      </c>
      <c r="AP177" s="169" t="str">
        <f t="shared" si="37"/>
        <v/>
      </c>
      <c r="AQ177" s="169" t="str">
        <f t="shared" si="37"/>
        <v/>
      </c>
      <c r="AR177" s="169" t="str">
        <f t="shared" si="37"/>
        <v/>
      </c>
      <c r="AS177" s="169" t="str">
        <f t="shared" si="37"/>
        <v/>
      </c>
      <c r="AT177" s="169" t="str">
        <f t="shared" si="37"/>
        <v/>
      </c>
      <c r="AU177" s="299" t="str">
        <f t="shared" si="37"/>
        <v/>
      </c>
      <c r="AV177" s="169" t="str">
        <f t="shared" si="25"/>
        <v/>
      </c>
      <c r="AW177" s="169" t="str">
        <f t="shared" si="34"/>
        <v/>
      </c>
      <c r="AX177" s="169" t="str">
        <f t="shared" si="34"/>
        <v/>
      </c>
      <c r="AY177" s="169" t="str">
        <f t="shared" si="26"/>
        <v/>
      </c>
      <c r="AZ177" s="169" t="str">
        <f t="shared" si="26"/>
        <v/>
      </c>
      <c r="BA177" s="299" t="str">
        <f t="shared" si="26"/>
        <v/>
      </c>
      <c r="BB177" s="169" t="str">
        <f t="shared" si="29"/>
        <v/>
      </c>
      <c r="BC177" s="169" t="str">
        <f t="shared" si="33"/>
        <v/>
      </c>
      <c r="BD177" s="169" t="str">
        <f t="shared" si="30"/>
        <v/>
      </c>
      <c r="BE177" s="169" t="str">
        <f t="shared" si="27"/>
        <v/>
      </c>
      <c r="BF177" s="169" t="str">
        <f t="shared" si="27"/>
        <v/>
      </c>
      <c r="BG177" s="169" t="str">
        <f t="shared" si="27"/>
        <v/>
      </c>
      <c r="BH177" s="298" t="str">
        <f t="shared" si="17"/>
        <v/>
      </c>
      <c r="BI177" s="169" t="str">
        <f t="shared" si="28"/>
        <v/>
      </c>
      <c r="BJ177" s="169" t="str">
        <f t="shared" si="18"/>
        <v/>
      </c>
      <c r="BK177" s="169" t="str">
        <f t="shared" si="18"/>
        <v/>
      </c>
      <c r="BL177" s="169" t="str">
        <f t="shared" si="18"/>
        <v/>
      </c>
      <c r="BM177" s="299" t="str">
        <f t="shared" si="18"/>
        <v/>
      </c>
      <c r="BN177" s="298" t="str">
        <f t="shared" si="38"/>
        <v/>
      </c>
      <c r="BO177" s="169" t="str">
        <f t="shared" si="38"/>
        <v/>
      </c>
      <c r="BP177" s="169" t="str">
        <f t="shared" si="38"/>
        <v/>
      </c>
      <c r="BQ177" s="169" t="str">
        <f t="shared" si="38"/>
        <v/>
      </c>
      <c r="BR177" s="169" t="str">
        <f t="shared" si="38"/>
        <v/>
      </c>
      <c r="BS177" s="169" t="str">
        <f t="shared" si="38"/>
        <v/>
      </c>
      <c r="BT177" s="169" t="str">
        <f t="shared" si="38"/>
        <v/>
      </c>
      <c r="BU177" s="169" t="str">
        <f t="shared" si="38"/>
        <v/>
      </c>
      <c r="BV177" s="299" t="str">
        <f t="shared" si="38"/>
        <v/>
      </c>
      <c r="BW177" s="298" t="str">
        <f t="shared" si="39"/>
        <v/>
      </c>
      <c r="BX177" s="169" t="str">
        <f t="shared" si="39"/>
        <v/>
      </c>
      <c r="BY177" s="169" t="str">
        <f t="shared" si="39"/>
        <v/>
      </c>
      <c r="BZ177" s="169" t="str">
        <f t="shared" si="39"/>
        <v/>
      </c>
      <c r="CA177" s="169" t="str">
        <f t="shared" si="39"/>
        <v/>
      </c>
      <c r="CB177" s="169" t="str">
        <f t="shared" si="39"/>
        <v/>
      </c>
      <c r="CC177" s="169" t="str">
        <f t="shared" si="39"/>
        <v/>
      </c>
      <c r="CD177" s="169" t="str">
        <f t="shared" si="39"/>
        <v/>
      </c>
      <c r="CE177" s="299" t="str">
        <f t="shared" si="39"/>
        <v/>
      </c>
      <c r="CF177" s="298" t="str">
        <f t="shared" si="40"/>
        <v/>
      </c>
      <c r="CG177" s="169" t="str">
        <f t="shared" si="40"/>
        <v/>
      </c>
      <c r="CH177" s="169" t="str">
        <f t="shared" si="40"/>
        <v/>
      </c>
      <c r="CI177" s="169" t="str">
        <f t="shared" si="40"/>
        <v/>
      </c>
      <c r="CJ177" s="169" t="str">
        <f t="shared" si="40"/>
        <v/>
      </c>
      <c r="CK177" s="299" t="str">
        <f t="shared" si="40"/>
        <v/>
      </c>
      <c r="CL177" s="298" t="str">
        <f t="shared" si="41"/>
        <v/>
      </c>
      <c r="CM177" s="169" t="str">
        <f t="shared" si="41"/>
        <v/>
      </c>
      <c r="CN177" s="169" t="str">
        <f t="shared" si="41"/>
        <v/>
      </c>
      <c r="CO177" s="169" t="str">
        <f t="shared" si="41"/>
        <v/>
      </c>
      <c r="CP177" s="169" t="str">
        <f t="shared" si="41"/>
        <v/>
      </c>
      <c r="CQ177" s="299" t="str">
        <f t="shared" si="41"/>
        <v/>
      </c>
      <c r="CR177" s="298" t="str">
        <f t="shared" si="41"/>
        <v/>
      </c>
      <c r="CS177" s="169" t="str">
        <f t="shared" si="41"/>
        <v/>
      </c>
      <c r="CT177" s="169" t="str">
        <f t="shared" si="41"/>
        <v/>
      </c>
      <c r="CU177" s="169" t="str">
        <f t="shared" si="41"/>
        <v/>
      </c>
      <c r="CV177" s="169" t="str">
        <f>IF($P177=CV$159,$DC177,"")</f>
        <v/>
      </c>
      <c r="CW177" s="299" t="str">
        <f t="shared" si="32"/>
        <v/>
      </c>
      <c r="CX177" s="299" t="str">
        <f t="shared" si="32"/>
        <v/>
      </c>
      <c r="CZ177" s="10"/>
      <c r="DB177" s="10">
        <f t="shared" si="23"/>
        <v>11</v>
      </c>
      <c r="DC177" s="10">
        <f t="shared" si="24"/>
        <v>5.5</v>
      </c>
    </row>
    <row r="178" spans="2:107" x14ac:dyDescent="0.25">
      <c r="B178" s="127" t="s">
        <v>794</v>
      </c>
      <c r="C178" s="526" t="str">
        <f t="shared" si="9"/>
        <v>Sink drop-in (22630 (OSM))</v>
      </c>
      <c r="D178" s="527">
        <f t="shared" si="10"/>
        <v>1</v>
      </c>
      <c r="G178" s="40"/>
      <c r="Q178" s="47"/>
      <c r="S178" s="298" t="str">
        <f t="shared" si="35"/>
        <v/>
      </c>
      <c r="T178" s="169" t="str">
        <f t="shared" si="35"/>
        <v/>
      </c>
      <c r="U178" s="169" t="str">
        <f t="shared" si="35"/>
        <v/>
      </c>
      <c r="V178" s="169" t="str">
        <f t="shared" si="35"/>
        <v/>
      </c>
      <c r="W178" s="169" t="str">
        <f t="shared" si="35"/>
        <v/>
      </c>
      <c r="X178" s="169" t="str">
        <f t="shared" si="35"/>
        <v/>
      </c>
      <c r="Y178" s="169" t="str">
        <f t="shared" si="35"/>
        <v/>
      </c>
      <c r="Z178" s="169" t="str">
        <f t="shared" si="35"/>
        <v/>
      </c>
      <c r="AA178" s="299" t="str">
        <f t="shared" si="35"/>
        <v/>
      </c>
      <c r="AB178" s="169" t="str">
        <f t="shared" si="36"/>
        <v/>
      </c>
      <c r="AC178" s="169" t="str">
        <f t="shared" si="36"/>
        <v/>
      </c>
      <c r="AD178" s="169" t="str">
        <f t="shared" si="36"/>
        <v/>
      </c>
      <c r="AE178" s="169" t="str">
        <f t="shared" si="36"/>
        <v/>
      </c>
      <c r="AF178" s="169" t="str">
        <f t="shared" si="36"/>
        <v/>
      </c>
      <c r="AG178" s="169" t="str">
        <f t="shared" si="36"/>
        <v/>
      </c>
      <c r="AH178" s="169" t="str">
        <f t="shared" si="36"/>
        <v/>
      </c>
      <c r="AI178" s="169" t="str">
        <f t="shared" si="36"/>
        <v/>
      </c>
      <c r="AJ178" s="299" t="str">
        <f t="shared" si="36"/>
        <v/>
      </c>
      <c r="AK178" s="298" t="str">
        <f t="shared" si="13"/>
        <v/>
      </c>
      <c r="AL178" s="299" t="str">
        <f t="shared" si="13"/>
        <v/>
      </c>
      <c r="AM178" s="169" t="str">
        <f t="shared" si="37"/>
        <v/>
      </c>
      <c r="AN178" s="169" t="str">
        <f t="shared" si="37"/>
        <v/>
      </c>
      <c r="AO178" s="169" t="str">
        <f t="shared" si="37"/>
        <v/>
      </c>
      <c r="AP178" s="169" t="str">
        <f t="shared" si="37"/>
        <v/>
      </c>
      <c r="AQ178" s="169" t="str">
        <f t="shared" si="37"/>
        <v/>
      </c>
      <c r="AR178" s="169" t="str">
        <f t="shared" si="37"/>
        <v/>
      </c>
      <c r="AS178" s="169" t="str">
        <f t="shared" si="37"/>
        <v/>
      </c>
      <c r="AT178" s="169" t="str">
        <f t="shared" si="37"/>
        <v/>
      </c>
      <c r="AU178" s="299" t="str">
        <f t="shared" si="37"/>
        <v/>
      </c>
      <c r="AV178" s="169" t="str">
        <f t="shared" si="25"/>
        <v/>
      </c>
      <c r="AW178" s="169" t="str">
        <f t="shared" si="34"/>
        <v/>
      </c>
      <c r="AX178" s="169" t="str">
        <f t="shared" si="34"/>
        <v/>
      </c>
      <c r="AY178" s="169" t="str">
        <f t="shared" si="26"/>
        <v/>
      </c>
      <c r="AZ178" s="169" t="str">
        <f t="shared" si="26"/>
        <v/>
      </c>
      <c r="BA178" s="299" t="str">
        <f t="shared" si="26"/>
        <v/>
      </c>
      <c r="BB178" s="169" t="str">
        <f t="shared" si="29"/>
        <v/>
      </c>
      <c r="BC178" s="169" t="str">
        <f t="shared" si="33"/>
        <v/>
      </c>
      <c r="BD178" s="169" t="str">
        <f t="shared" si="30"/>
        <v/>
      </c>
      <c r="BE178" s="169" t="str">
        <f t="shared" si="27"/>
        <v/>
      </c>
      <c r="BF178" s="169" t="str">
        <f t="shared" si="27"/>
        <v/>
      </c>
      <c r="BG178" s="169" t="str">
        <f t="shared" si="27"/>
        <v/>
      </c>
      <c r="BH178" s="298" t="str">
        <f t="shared" si="17"/>
        <v/>
      </c>
      <c r="BI178" s="169" t="str">
        <f t="shared" si="28"/>
        <v/>
      </c>
      <c r="BJ178" s="169" t="str">
        <f t="shared" si="18"/>
        <v/>
      </c>
      <c r="BK178" s="169" t="str">
        <f t="shared" si="18"/>
        <v/>
      </c>
      <c r="BL178" s="169" t="str">
        <f t="shared" si="18"/>
        <v/>
      </c>
      <c r="BM178" s="299" t="str">
        <f t="shared" si="18"/>
        <v/>
      </c>
      <c r="BN178" s="298" t="str">
        <f t="shared" si="38"/>
        <v/>
      </c>
      <c r="BO178" s="169" t="str">
        <f t="shared" si="38"/>
        <v/>
      </c>
      <c r="BP178" s="169" t="str">
        <f t="shared" si="38"/>
        <v/>
      </c>
      <c r="BQ178" s="169" t="str">
        <f t="shared" si="38"/>
        <v/>
      </c>
      <c r="BR178" s="169" t="str">
        <f t="shared" si="38"/>
        <v/>
      </c>
      <c r="BS178" s="169" t="str">
        <f t="shared" si="38"/>
        <v/>
      </c>
      <c r="BT178" s="169" t="str">
        <f t="shared" si="38"/>
        <v/>
      </c>
      <c r="BU178" s="169" t="str">
        <f t="shared" si="38"/>
        <v/>
      </c>
      <c r="BV178" s="299" t="str">
        <f t="shared" si="38"/>
        <v/>
      </c>
      <c r="BW178" s="298" t="str">
        <f t="shared" si="39"/>
        <v/>
      </c>
      <c r="BX178" s="169" t="str">
        <f t="shared" si="39"/>
        <v/>
      </c>
      <c r="BY178" s="169" t="str">
        <f t="shared" si="39"/>
        <v/>
      </c>
      <c r="BZ178" s="169" t="str">
        <f t="shared" si="39"/>
        <v/>
      </c>
      <c r="CA178" s="169" t="str">
        <f t="shared" si="39"/>
        <v/>
      </c>
      <c r="CB178" s="169" t="str">
        <f t="shared" si="39"/>
        <v/>
      </c>
      <c r="CC178" s="169" t="str">
        <f t="shared" si="39"/>
        <v/>
      </c>
      <c r="CD178" s="169" t="str">
        <f t="shared" si="39"/>
        <v/>
      </c>
      <c r="CE178" s="299" t="str">
        <f t="shared" si="39"/>
        <v/>
      </c>
      <c r="CF178" s="298" t="str">
        <f t="shared" si="40"/>
        <v/>
      </c>
      <c r="CG178" s="169" t="str">
        <f t="shared" si="40"/>
        <v/>
      </c>
      <c r="CH178" s="169" t="str">
        <f t="shared" si="40"/>
        <v/>
      </c>
      <c r="CI178" s="169" t="str">
        <f t="shared" si="40"/>
        <v/>
      </c>
      <c r="CJ178" s="169" t="str">
        <f t="shared" si="40"/>
        <v/>
      </c>
      <c r="CK178" s="299" t="str">
        <f t="shared" si="40"/>
        <v/>
      </c>
      <c r="CL178" s="298" t="str">
        <f t="shared" si="41"/>
        <v/>
      </c>
      <c r="CM178" s="169" t="str">
        <f t="shared" si="41"/>
        <v/>
      </c>
      <c r="CN178" s="169" t="str">
        <f t="shared" si="41"/>
        <v/>
      </c>
      <c r="CO178" s="169" t="str">
        <f t="shared" si="41"/>
        <v/>
      </c>
      <c r="CP178" s="169" t="str">
        <f t="shared" si="41"/>
        <v/>
      </c>
      <c r="CQ178" s="299" t="str">
        <f t="shared" si="41"/>
        <v/>
      </c>
      <c r="CR178" s="298" t="str">
        <f t="shared" si="41"/>
        <v/>
      </c>
      <c r="CS178" s="169" t="str">
        <f t="shared" si="41"/>
        <v/>
      </c>
      <c r="CT178" s="169" t="str">
        <f t="shared" si="41"/>
        <v/>
      </c>
      <c r="CU178" s="169" t="str">
        <f t="shared" si="41"/>
        <v/>
      </c>
      <c r="CV178" s="169">
        <f>8*D178</f>
        <v>8</v>
      </c>
      <c r="CW178" s="299" t="str">
        <f t="shared" si="32"/>
        <v/>
      </c>
      <c r="CX178" s="299" t="str">
        <f t="shared" si="32"/>
        <v/>
      </c>
      <c r="CZ178" s="10"/>
      <c r="DB178" s="10">
        <f t="shared" si="23"/>
        <v>11</v>
      </c>
      <c r="DC178" s="10">
        <f t="shared" si="24"/>
        <v>5.5</v>
      </c>
    </row>
    <row r="179" spans="2:107" x14ac:dyDescent="0.25">
      <c r="B179" s="127"/>
      <c r="C179" s="526" t="str">
        <f t="shared" si="9"/>
        <v>Sink F-water tower (10153 (OSM))</v>
      </c>
      <c r="D179" s="527">
        <f t="shared" si="10"/>
        <v>1</v>
      </c>
      <c r="G179" s="40"/>
      <c r="I179" s="10" t="s">
        <v>23</v>
      </c>
      <c r="Q179" s="47"/>
      <c r="S179" s="298" t="str">
        <f t="shared" si="35"/>
        <v/>
      </c>
      <c r="T179" s="169" t="str">
        <f t="shared" si="35"/>
        <v/>
      </c>
      <c r="U179" s="169" t="str">
        <f t="shared" si="35"/>
        <v/>
      </c>
      <c r="V179" s="169" t="str">
        <f t="shared" si="35"/>
        <v/>
      </c>
      <c r="W179" s="169" t="str">
        <f t="shared" si="35"/>
        <v/>
      </c>
      <c r="X179" s="169" t="str">
        <f t="shared" si="35"/>
        <v/>
      </c>
      <c r="Y179" s="169" t="str">
        <f t="shared" si="35"/>
        <v/>
      </c>
      <c r="Z179" s="169" t="str">
        <f t="shared" si="35"/>
        <v/>
      </c>
      <c r="AA179" s="299" t="str">
        <f t="shared" si="35"/>
        <v/>
      </c>
      <c r="AB179" s="169" t="str">
        <f t="shared" si="36"/>
        <v/>
      </c>
      <c r="AC179" s="169" t="str">
        <f t="shared" si="36"/>
        <v/>
      </c>
      <c r="AD179" s="169" t="str">
        <f t="shared" si="36"/>
        <v/>
      </c>
      <c r="AE179" s="169" t="str">
        <f t="shared" si="36"/>
        <v/>
      </c>
      <c r="AF179" s="169" t="str">
        <f t="shared" si="36"/>
        <v/>
      </c>
      <c r="AG179" s="169" t="str">
        <f t="shared" si="36"/>
        <v/>
      </c>
      <c r="AH179" s="169" t="str">
        <f t="shared" si="36"/>
        <v/>
      </c>
      <c r="AI179" s="169" t="str">
        <f t="shared" si="36"/>
        <v/>
      </c>
      <c r="AJ179" s="299" t="str">
        <f t="shared" si="36"/>
        <v/>
      </c>
      <c r="AK179" s="298" t="str">
        <f t="shared" si="13"/>
        <v/>
      </c>
      <c r="AL179" s="299" t="str">
        <f t="shared" si="13"/>
        <v/>
      </c>
      <c r="AM179" s="169">
        <f t="shared" si="37"/>
        <v>11</v>
      </c>
      <c r="AN179" s="169" t="str">
        <f t="shared" si="37"/>
        <v/>
      </c>
      <c r="AO179" s="169" t="str">
        <f t="shared" si="37"/>
        <v/>
      </c>
      <c r="AP179" s="169" t="str">
        <f t="shared" si="37"/>
        <v/>
      </c>
      <c r="AQ179" s="169" t="str">
        <f t="shared" si="37"/>
        <v/>
      </c>
      <c r="AR179" s="169" t="str">
        <f t="shared" si="37"/>
        <v/>
      </c>
      <c r="AS179" s="169" t="str">
        <f t="shared" si="37"/>
        <v/>
      </c>
      <c r="AT179" s="169" t="str">
        <f t="shared" si="37"/>
        <v/>
      </c>
      <c r="AU179" s="299" t="str">
        <f t="shared" si="37"/>
        <v/>
      </c>
      <c r="AV179" s="169" t="str">
        <f t="shared" si="25"/>
        <v/>
      </c>
      <c r="AW179" s="169" t="str">
        <f t="shared" si="34"/>
        <v/>
      </c>
      <c r="AX179" s="169" t="str">
        <f t="shared" si="34"/>
        <v/>
      </c>
      <c r="AY179" s="169" t="str">
        <f t="shared" si="26"/>
        <v/>
      </c>
      <c r="AZ179" s="169" t="str">
        <f t="shared" si="26"/>
        <v/>
      </c>
      <c r="BA179" s="299" t="str">
        <f t="shared" si="26"/>
        <v/>
      </c>
      <c r="BB179" s="169" t="str">
        <f t="shared" si="29"/>
        <v/>
      </c>
      <c r="BC179" s="169" t="str">
        <f t="shared" si="33"/>
        <v/>
      </c>
      <c r="BD179" s="169" t="str">
        <f t="shared" si="30"/>
        <v/>
      </c>
      <c r="BE179" s="169" t="str">
        <f t="shared" si="27"/>
        <v/>
      </c>
      <c r="BF179" s="169" t="str">
        <f t="shared" si="27"/>
        <v/>
      </c>
      <c r="BG179" s="169" t="str">
        <f t="shared" si="27"/>
        <v/>
      </c>
      <c r="BH179" s="298" t="str">
        <f t="shared" si="17"/>
        <v/>
      </c>
      <c r="BI179" s="169" t="str">
        <f t="shared" si="28"/>
        <v/>
      </c>
      <c r="BJ179" s="169" t="str">
        <f t="shared" si="18"/>
        <v/>
      </c>
      <c r="BK179" s="169" t="str">
        <f t="shared" si="18"/>
        <v/>
      </c>
      <c r="BL179" s="169" t="str">
        <f t="shared" si="18"/>
        <v/>
      </c>
      <c r="BM179" s="299" t="str">
        <f t="shared" si="18"/>
        <v/>
      </c>
      <c r="BN179" s="298" t="str">
        <f t="shared" si="38"/>
        <v/>
      </c>
      <c r="BO179" s="169" t="str">
        <f t="shared" si="38"/>
        <v/>
      </c>
      <c r="BP179" s="169" t="str">
        <f t="shared" si="38"/>
        <v/>
      </c>
      <c r="BQ179" s="169" t="str">
        <f t="shared" si="38"/>
        <v/>
      </c>
      <c r="BR179" s="169" t="str">
        <f t="shared" si="38"/>
        <v/>
      </c>
      <c r="BS179" s="169" t="str">
        <f t="shared" si="38"/>
        <v/>
      </c>
      <c r="BT179" s="169" t="str">
        <f t="shared" si="38"/>
        <v/>
      </c>
      <c r="BU179" s="169" t="str">
        <f t="shared" si="38"/>
        <v/>
      </c>
      <c r="BV179" s="299" t="str">
        <f t="shared" si="38"/>
        <v/>
      </c>
      <c r="BW179" s="298" t="str">
        <f t="shared" si="39"/>
        <v/>
      </c>
      <c r="BX179" s="169" t="str">
        <f t="shared" si="39"/>
        <v/>
      </c>
      <c r="BY179" s="169" t="str">
        <f t="shared" si="39"/>
        <v/>
      </c>
      <c r="BZ179" s="169" t="str">
        <f t="shared" si="39"/>
        <v/>
      </c>
      <c r="CA179" s="169" t="str">
        <f t="shared" si="39"/>
        <v/>
      </c>
      <c r="CB179" s="169" t="str">
        <f t="shared" si="39"/>
        <v/>
      </c>
      <c r="CC179" s="169" t="str">
        <f t="shared" si="39"/>
        <v/>
      </c>
      <c r="CD179" s="169" t="str">
        <f t="shared" si="39"/>
        <v/>
      </c>
      <c r="CE179" s="299" t="str">
        <f t="shared" si="39"/>
        <v/>
      </c>
      <c r="CF179" s="298" t="str">
        <f t="shared" si="40"/>
        <v/>
      </c>
      <c r="CG179" s="169" t="str">
        <f t="shared" si="40"/>
        <v/>
      </c>
      <c r="CH179" s="169" t="str">
        <f t="shared" si="40"/>
        <v/>
      </c>
      <c r="CI179" s="169" t="str">
        <f t="shared" si="40"/>
        <v/>
      </c>
      <c r="CJ179" s="169" t="str">
        <f t="shared" si="40"/>
        <v/>
      </c>
      <c r="CK179" s="299" t="str">
        <f t="shared" si="40"/>
        <v/>
      </c>
      <c r="CL179" s="298" t="str">
        <f t="shared" si="41"/>
        <v/>
      </c>
      <c r="CM179" s="169" t="str">
        <f t="shared" si="41"/>
        <v/>
      </c>
      <c r="CN179" s="169" t="str">
        <f t="shared" si="41"/>
        <v/>
      </c>
      <c r="CO179" s="169" t="str">
        <f t="shared" si="41"/>
        <v/>
      </c>
      <c r="CP179" s="169" t="str">
        <f t="shared" si="41"/>
        <v/>
      </c>
      <c r="CQ179" s="299" t="str">
        <f t="shared" si="41"/>
        <v/>
      </c>
      <c r="CR179" s="298" t="str">
        <f t="shared" si="41"/>
        <v/>
      </c>
      <c r="CS179" s="169" t="str">
        <f t="shared" si="41"/>
        <v/>
      </c>
      <c r="CT179" s="169" t="str">
        <f t="shared" si="41"/>
        <v/>
      </c>
      <c r="CU179" s="169" t="str">
        <f t="shared" si="41"/>
        <v/>
      </c>
      <c r="CV179" s="169" t="str">
        <f t="shared" ref="CV179:CV195" si="42">IF($P179=CV$159,$DC179,"")</f>
        <v/>
      </c>
      <c r="CW179" s="299" t="str">
        <f t="shared" si="32"/>
        <v/>
      </c>
      <c r="CX179" s="299" t="str">
        <f t="shared" si="32"/>
        <v/>
      </c>
      <c r="CZ179" s="10"/>
      <c r="DB179" s="10">
        <f t="shared" si="23"/>
        <v>11</v>
      </c>
      <c r="DC179" s="10">
        <f t="shared" si="24"/>
        <v>5.5</v>
      </c>
    </row>
    <row r="180" spans="2:107" x14ac:dyDescent="0.25">
      <c r="B180" s="127"/>
      <c r="C180" s="526" t="str">
        <f t="shared" si="9"/>
        <v>Sink F-single lab (10943 (OSM))</v>
      </c>
      <c r="D180" s="527">
        <f t="shared" si="10"/>
        <v>1</v>
      </c>
      <c r="G180" s="40" t="s">
        <v>23</v>
      </c>
      <c r="Q180" s="47"/>
      <c r="S180" s="298">
        <f t="shared" si="35"/>
        <v>11</v>
      </c>
      <c r="T180" s="169" t="str">
        <f t="shared" si="35"/>
        <v/>
      </c>
      <c r="U180" s="169" t="str">
        <f t="shared" si="35"/>
        <v/>
      </c>
      <c r="V180" s="169" t="str">
        <f t="shared" si="35"/>
        <v/>
      </c>
      <c r="W180" s="169" t="str">
        <f t="shared" si="35"/>
        <v/>
      </c>
      <c r="X180" s="169" t="str">
        <f t="shared" si="35"/>
        <v/>
      </c>
      <c r="Y180" s="169" t="str">
        <f t="shared" si="35"/>
        <v/>
      </c>
      <c r="Z180" s="169" t="str">
        <f t="shared" si="35"/>
        <v/>
      </c>
      <c r="AA180" s="299" t="str">
        <f t="shared" si="35"/>
        <v/>
      </c>
      <c r="AB180" s="169" t="str">
        <f t="shared" si="36"/>
        <v/>
      </c>
      <c r="AC180" s="169" t="str">
        <f t="shared" si="36"/>
        <v/>
      </c>
      <c r="AD180" s="169" t="str">
        <f t="shared" si="36"/>
        <v/>
      </c>
      <c r="AE180" s="169" t="str">
        <f t="shared" si="36"/>
        <v/>
      </c>
      <c r="AF180" s="169" t="str">
        <f t="shared" si="36"/>
        <v/>
      </c>
      <c r="AG180" s="169" t="str">
        <f t="shared" si="36"/>
        <v/>
      </c>
      <c r="AH180" s="169" t="str">
        <f t="shared" si="36"/>
        <v/>
      </c>
      <c r="AI180" s="169" t="str">
        <f t="shared" si="36"/>
        <v/>
      </c>
      <c r="AJ180" s="299" t="str">
        <f t="shared" si="36"/>
        <v/>
      </c>
      <c r="AK180" s="298" t="str">
        <f t="shared" si="13"/>
        <v/>
      </c>
      <c r="AL180" s="299" t="str">
        <f t="shared" si="13"/>
        <v/>
      </c>
      <c r="AM180" s="169" t="str">
        <f t="shared" si="37"/>
        <v/>
      </c>
      <c r="AN180" s="169" t="str">
        <f t="shared" si="37"/>
        <v/>
      </c>
      <c r="AO180" s="169" t="str">
        <f t="shared" si="37"/>
        <v/>
      </c>
      <c r="AP180" s="169" t="str">
        <f t="shared" si="37"/>
        <v/>
      </c>
      <c r="AQ180" s="169" t="str">
        <f t="shared" si="37"/>
        <v/>
      </c>
      <c r="AR180" s="169" t="str">
        <f t="shared" si="37"/>
        <v/>
      </c>
      <c r="AS180" s="169" t="str">
        <f t="shared" si="37"/>
        <v/>
      </c>
      <c r="AT180" s="169" t="str">
        <f t="shared" si="37"/>
        <v/>
      </c>
      <c r="AU180" s="299" t="str">
        <f t="shared" si="37"/>
        <v/>
      </c>
      <c r="AV180" s="169" t="str">
        <f t="shared" si="25"/>
        <v/>
      </c>
      <c r="AW180" s="169" t="str">
        <f t="shared" si="34"/>
        <v/>
      </c>
      <c r="AX180" s="169" t="str">
        <f t="shared" si="34"/>
        <v/>
      </c>
      <c r="AY180" s="169" t="str">
        <f t="shared" si="26"/>
        <v/>
      </c>
      <c r="AZ180" s="169" t="str">
        <f t="shared" si="26"/>
        <v/>
      </c>
      <c r="BA180" s="299" t="str">
        <f t="shared" si="26"/>
        <v/>
      </c>
      <c r="BB180" s="169" t="str">
        <f t="shared" si="29"/>
        <v/>
      </c>
      <c r="BC180" s="169" t="str">
        <f t="shared" si="33"/>
        <v/>
      </c>
      <c r="BD180" s="169" t="str">
        <f t="shared" si="30"/>
        <v/>
      </c>
      <c r="BE180" s="169" t="str">
        <f t="shared" si="27"/>
        <v/>
      </c>
      <c r="BF180" s="169" t="str">
        <f t="shared" si="27"/>
        <v/>
      </c>
      <c r="BG180" s="169" t="str">
        <f t="shared" si="27"/>
        <v/>
      </c>
      <c r="BH180" s="298" t="str">
        <f t="shared" si="17"/>
        <v/>
      </c>
      <c r="BI180" s="169" t="str">
        <f t="shared" si="28"/>
        <v/>
      </c>
      <c r="BJ180" s="169" t="str">
        <f t="shared" si="18"/>
        <v/>
      </c>
      <c r="BK180" s="169" t="str">
        <f t="shared" si="18"/>
        <v/>
      </c>
      <c r="BL180" s="169" t="str">
        <f t="shared" si="18"/>
        <v/>
      </c>
      <c r="BM180" s="299" t="str">
        <f t="shared" si="18"/>
        <v/>
      </c>
      <c r="BN180" s="298" t="str">
        <f t="shared" si="38"/>
        <v/>
      </c>
      <c r="BO180" s="169" t="str">
        <f t="shared" si="38"/>
        <v/>
      </c>
      <c r="BP180" s="169" t="str">
        <f t="shared" si="38"/>
        <v/>
      </c>
      <c r="BQ180" s="169" t="str">
        <f t="shared" si="38"/>
        <v/>
      </c>
      <c r="BR180" s="169" t="str">
        <f t="shared" si="38"/>
        <v/>
      </c>
      <c r="BS180" s="169" t="str">
        <f t="shared" si="38"/>
        <v/>
      </c>
      <c r="BT180" s="169" t="str">
        <f t="shared" si="38"/>
        <v/>
      </c>
      <c r="BU180" s="169" t="str">
        <f t="shared" si="38"/>
        <v/>
      </c>
      <c r="BV180" s="299" t="str">
        <f t="shared" si="38"/>
        <v/>
      </c>
      <c r="BW180" s="298" t="str">
        <f t="shared" si="39"/>
        <v/>
      </c>
      <c r="BX180" s="169" t="str">
        <f t="shared" si="39"/>
        <v/>
      </c>
      <c r="BY180" s="169" t="str">
        <f t="shared" si="39"/>
        <v/>
      </c>
      <c r="BZ180" s="169" t="str">
        <f t="shared" si="39"/>
        <v/>
      </c>
      <c r="CA180" s="169" t="str">
        <f t="shared" si="39"/>
        <v/>
      </c>
      <c r="CB180" s="169" t="str">
        <f t="shared" si="39"/>
        <v/>
      </c>
      <c r="CC180" s="169" t="str">
        <f t="shared" si="39"/>
        <v/>
      </c>
      <c r="CD180" s="169" t="str">
        <f t="shared" si="39"/>
        <v/>
      </c>
      <c r="CE180" s="299" t="str">
        <f t="shared" si="39"/>
        <v/>
      </c>
      <c r="CF180" s="298" t="str">
        <f t="shared" si="40"/>
        <v/>
      </c>
      <c r="CG180" s="169" t="str">
        <f t="shared" si="40"/>
        <v/>
      </c>
      <c r="CH180" s="169" t="str">
        <f t="shared" si="40"/>
        <v/>
      </c>
      <c r="CI180" s="169" t="str">
        <f t="shared" si="40"/>
        <v/>
      </c>
      <c r="CJ180" s="169" t="str">
        <f t="shared" si="40"/>
        <v/>
      </c>
      <c r="CK180" s="299" t="str">
        <f t="shared" si="40"/>
        <v/>
      </c>
      <c r="CL180" s="298" t="str">
        <f t="shared" si="41"/>
        <v/>
      </c>
      <c r="CM180" s="169" t="str">
        <f t="shared" si="41"/>
        <v/>
      </c>
      <c r="CN180" s="169" t="str">
        <f t="shared" si="41"/>
        <v/>
      </c>
      <c r="CO180" s="169" t="str">
        <f t="shared" si="41"/>
        <v/>
      </c>
      <c r="CP180" s="169" t="str">
        <f t="shared" si="41"/>
        <v/>
      </c>
      <c r="CQ180" s="299" t="str">
        <f t="shared" si="41"/>
        <v/>
      </c>
      <c r="CR180" s="298" t="str">
        <f t="shared" si="41"/>
        <v/>
      </c>
      <c r="CS180" s="169" t="str">
        <f t="shared" si="41"/>
        <v/>
      </c>
      <c r="CT180" s="169" t="str">
        <f t="shared" si="41"/>
        <v/>
      </c>
      <c r="CU180" s="169" t="str">
        <f t="shared" si="41"/>
        <v/>
      </c>
      <c r="CV180" s="169" t="str">
        <f t="shared" si="42"/>
        <v/>
      </c>
      <c r="CW180" s="299" t="str">
        <f t="shared" si="32"/>
        <v/>
      </c>
      <c r="CX180" s="299" t="str">
        <f t="shared" si="32"/>
        <v/>
      </c>
      <c r="CZ180" s="10"/>
      <c r="DB180" s="10">
        <f t="shared" si="23"/>
        <v>11</v>
      </c>
      <c r="DC180" s="10">
        <f t="shared" si="24"/>
        <v>5.5</v>
      </c>
    </row>
    <row r="181" spans="2:107" x14ac:dyDescent="0.25">
      <c r="B181" s="127"/>
      <c r="C181" s="526" t="str">
        <f t="shared" si="9"/>
        <v>Faucet-single handle (10597 (OSM))</v>
      </c>
      <c r="D181" s="527">
        <f t="shared" si="10"/>
        <v>2</v>
      </c>
      <c r="G181" s="40" t="s">
        <v>23</v>
      </c>
      <c r="H181" s="10" t="s">
        <v>23</v>
      </c>
      <c r="Q181" s="47"/>
      <c r="S181" s="298">
        <f t="shared" si="35"/>
        <v>22</v>
      </c>
      <c r="T181" s="169" t="str">
        <f t="shared" si="35"/>
        <v/>
      </c>
      <c r="U181" s="169" t="str">
        <f t="shared" si="35"/>
        <v/>
      </c>
      <c r="V181" s="169" t="str">
        <f t="shared" si="35"/>
        <v/>
      </c>
      <c r="W181" s="169" t="str">
        <f t="shared" si="35"/>
        <v/>
      </c>
      <c r="X181" s="169" t="str">
        <f t="shared" si="35"/>
        <v/>
      </c>
      <c r="Y181" s="169" t="str">
        <f t="shared" si="35"/>
        <v/>
      </c>
      <c r="Z181" s="169" t="str">
        <f t="shared" si="35"/>
        <v/>
      </c>
      <c r="AA181" s="299" t="str">
        <f t="shared" si="35"/>
        <v/>
      </c>
      <c r="AB181" s="169">
        <f t="shared" si="36"/>
        <v>22</v>
      </c>
      <c r="AC181" s="169" t="str">
        <f t="shared" si="36"/>
        <v/>
      </c>
      <c r="AD181" s="169" t="str">
        <f t="shared" si="36"/>
        <v/>
      </c>
      <c r="AE181" s="169" t="str">
        <f t="shared" si="36"/>
        <v/>
      </c>
      <c r="AF181" s="169" t="str">
        <f t="shared" si="36"/>
        <v/>
      </c>
      <c r="AG181" s="169" t="str">
        <f t="shared" si="36"/>
        <v/>
      </c>
      <c r="AH181" s="169" t="str">
        <f t="shared" si="36"/>
        <v/>
      </c>
      <c r="AI181" s="169" t="str">
        <f t="shared" si="36"/>
        <v/>
      </c>
      <c r="AJ181" s="299" t="str">
        <f t="shared" si="36"/>
        <v/>
      </c>
      <c r="AK181" s="298" t="str">
        <f t="shared" si="13"/>
        <v/>
      </c>
      <c r="AL181" s="299" t="str">
        <f t="shared" si="13"/>
        <v/>
      </c>
      <c r="AM181" s="169" t="str">
        <f t="shared" si="37"/>
        <v/>
      </c>
      <c r="AN181" s="169" t="str">
        <f t="shared" si="37"/>
        <v/>
      </c>
      <c r="AO181" s="169" t="str">
        <f t="shared" si="37"/>
        <v/>
      </c>
      <c r="AP181" s="169" t="str">
        <f t="shared" si="37"/>
        <v/>
      </c>
      <c r="AQ181" s="169" t="str">
        <f t="shared" si="37"/>
        <v/>
      </c>
      <c r="AR181" s="169" t="str">
        <f t="shared" si="37"/>
        <v/>
      </c>
      <c r="AS181" s="169" t="str">
        <f t="shared" si="37"/>
        <v/>
      </c>
      <c r="AT181" s="169" t="str">
        <f t="shared" si="37"/>
        <v/>
      </c>
      <c r="AU181" s="299" t="str">
        <f t="shared" si="37"/>
        <v/>
      </c>
      <c r="AV181" s="169" t="str">
        <f t="shared" si="25"/>
        <v/>
      </c>
      <c r="AW181" s="169" t="str">
        <f t="shared" si="34"/>
        <v/>
      </c>
      <c r="AX181" s="169" t="str">
        <f t="shared" si="34"/>
        <v/>
      </c>
      <c r="AY181" s="169" t="str">
        <f t="shared" si="26"/>
        <v/>
      </c>
      <c r="AZ181" s="169" t="str">
        <f t="shared" si="26"/>
        <v/>
      </c>
      <c r="BA181" s="299" t="str">
        <f t="shared" si="26"/>
        <v/>
      </c>
      <c r="BB181" s="169" t="str">
        <f t="shared" si="29"/>
        <v/>
      </c>
      <c r="BC181" s="169" t="str">
        <f t="shared" si="33"/>
        <v/>
      </c>
      <c r="BD181" s="169" t="str">
        <f t="shared" si="30"/>
        <v/>
      </c>
      <c r="BE181" s="169" t="str">
        <f t="shared" si="27"/>
        <v/>
      </c>
      <c r="BF181" s="169" t="str">
        <f t="shared" si="27"/>
        <v/>
      </c>
      <c r="BG181" s="169" t="str">
        <f t="shared" si="27"/>
        <v/>
      </c>
      <c r="BH181" s="298" t="str">
        <f t="shared" si="17"/>
        <v/>
      </c>
      <c r="BI181" s="169" t="str">
        <f t="shared" si="28"/>
        <v/>
      </c>
      <c r="BJ181" s="169" t="str">
        <f t="shared" si="18"/>
        <v/>
      </c>
      <c r="BK181" s="169" t="str">
        <f t="shared" si="18"/>
        <v/>
      </c>
      <c r="BL181" s="169" t="str">
        <f t="shared" si="18"/>
        <v/>
      </c>
      <c r="BM181" s="299" t="str">
        <f t="shared" si="18"/>
        <v/>
      </c>
      <c r="BN181" s="298" t="str">
        <f t="shared" si="38"/>
        <v/>
      </c>
      <c r="BO181" s="169" t="str">
        <f t="shared" si="38"/>
        <v/>
      </c>
      <c r="BP181" s="169" t="str">
        <f t="shared" si="38"/>
        <v/>
      </c>
      <c r="BQ181" s="169" t="str">
        <f t="shared" si="38"/>
        <v/>
      </c>
      <c r="BR181" s="169" t="str">
        <f t="shared" si="38"/>
        <v/>
      </c>
      <c r="BS181" s="169" t="str">
        <f t="shared" si="38"/>
        <v/>
      </c>
      <c r="BT181" s="169" t="str">
        <f t="shared" si="38"/>
        <v/>
      </c>
      <c r="BU181" s="169" t="str">
        <f t="shared" si="38"/>
        <v/>
      </c>
      <c r="BV181" s="299" t="str">
        <f t="shared" si="38"/>
        <v/>
      </c>
      <c r="BW181" s="298" t="str">
        <f t="shared" si="39"/>
        <v/>
      </c>
      <c r="BX181" s="169" t="str">
        <f t="shared" si="39"/>
        <v/>
      </c>
      <c r="BY181" s="169" t="str">
        <f t="shared" si="39"/>
        <v/>
      </c>
      <c r="BZ181" s="169" t="str">
        <f t="shared" si="39"/>
        <v/>
      </c>
      <c r="CA181" s="169" t="str">
        <f t="shared" si="39"/>
        <v/>
      </c>
      <c r="CB181" s="169" t="str">
        <f t="shared" si="39"/>
        <v/>
      </c>
      <c r="CC181" s="169" t="str">
        <f t="shared" si="39"/>
        <v/>
      </c>
      <c r="CD181" s="169" t="str">
        <f t="shared" si="39"/>
        <v/>
      </c>
      <c r="CE181" s="299" t="str">
        <f t="shared" si="39"/>
        <v/>
      </c>
      <c r="CF181" s="298" t="str">
        <f t="shared" si="40"/>
        <v/>
      </c>
      <c r="CG181" s="169" t="str">
        <f t="shared" si="40"/>
        <v/>
      </c>
      <c r="CH181" s="169" t="str">
        <f t="shared" si="40"/>
        <v/>
      </c>
      <c r="CI181" s="169" t="str">
        <f t="shared" si="40"/>
        <v/>
      </c>
      <c r="CJ181" s="169" t="str">
        <f t="shared" si="40"/>
        <v/>
      </c>
      <c r="CK181" s="299" t="str">
        <f t="shared" si="40"/>
        <v/>
      </c>
      <c r="CL181" s="298" t="str">
        <f t="shared" si="41"/>
        <v/>
      </c>
      <c r="CM181" s="169" t="str">
        <f t="shared" si="41"/>
        <v/>
      </c>
      <c r="CN181" s="169" t="str">
        <f t="shared" si="41"/>
        <v/>
      </c>
      <c r="CO181" s="169" t="str">
        <f t="shared" si="41"/>
        <v/>
      </c>
      <c r="CP181" s="169" t="str">
        <f t="shared" si="41"/>
        <v/>
      </c>
      <c r="CQ181" s="299" t="str">
        <f t="shared" si="41"/>
        <v/>
      </c>
      <c r="CR181" s="298" t="str">
        <f t="shared" si="41"/>
        <v/>
      </c>
      <c r="CS181" s="169" t="str">
        <f t="shared" si="41"/>
        <v/>
      </c>
      <c r="CT181" s="169" t="str">
        <f t="shared" si="41"/>
        <v/>
      </c>
      <c r="CU181" s="169" t="str">
        <f t="shared" si="41"/>
        <v/>
      </c>
      <c r="CV181" s="169" t="str">
        <f t="shared" si="42"/>
        <v/>
      </c>
      <c r="CW181" s="299" t="str">
        <f t="shared" si="32"/>
        <v/>
      </c>
      <c r="CX181" s="299" t="str">
        <f t="shared" si="32"/>
        <v/>
      </c>
      <c r="CZ181" s="10"/>
      <c r="DB181" s="10">
        <f t="shared" si="23"/>
        <v>22</v>
      </c>
      <c r="DC181" s="10">
        <f t="shared" si="24"/>
        <v>11</v>
      </c>
    </row>
    <row r="182" spans="2:107" x14ac:dyDescent="0.25">
      <c r="B182" s="127"/>
      <c r="C182" s="526">
        <f t="shared" si="9"/>
        <v>0</v>
      </c>
      <c r="D182" s="527">
        <f t="shared" si="10"/>
        <v>0</v>
      </c>
      <c r="G182" s="40"/>
      <c r="Q182" s="47"/>
      <c r="S182" s="298" t="str">
        <f t="shared" ref="S182:AA191" si="43">IF($G182=S$159,$DB182,"")</f>
        <v/>
      </c>
      <c r="T182" s="169" t="str">
        <f t="shared" si="43"/>
        <v/>
      </c>
      <c r="U182" s="169" t="str">
        <f t="shared" si="43"/>
        <v/>
      </c>
      <c r="V182" s="169" t="str">
        <f t="shared" si="43"/>
        <v/>
      </c>
      <c r="W182" s="169" t="str">
        <f t="shared" si="43"/>
        <v/>
      </c>
      <c r="X182" s="169" t="str">
        <f t="shared" si="43"/>
        <v/>
      </c>
      <c r="Y182" s="169" t="str">
        <f t="shared" si="43"/>
        <v/>
      </c>
      <c r="Z182" s="169" t="str">
        <f t="shared" si="43"/>
        <v/>
      </c>
      <c r="AA182" s="299" t="str">
        <f t="shared" si="43"/>
        <v/>
      </c>
      <c r="AB182" s="169" t="str">
        <f t="shared" ref="AB182:AJ191" si="44">IF($H182=AB$159,$DB182,"")</f>
        <v/>
      </c>
      <c r="AC182" s="169" t="str">
        <f t="shared" si="44"/>
        <v/>
      </c>
      <c r="AD182" s="169" t="str">
        <f t="shared" si="44"/>
        <v/>
      </c>
      <c r="AE182" s="169" t="str">
        <f t="shared" si="44"/>
        <v/>
      </c>
      <c r="AF182" s="169" t="str">
        <f t="shared" si="44"/>
        <v/>
      </c>
      <c r="AG182" s="169" t="str">
        <f t="shared" si="44"/>
        <v/>
      </c>
      <c r="AH182" s="169" t="str">
        <f t="shared" si="44"/>
        <v/>
      </c>
      <c r="AI182" s="169" t="str">
        <f t="shared" si="44"/>
        <v/>
      </c>
      <c r="AJ182" s="299" t="str">
        <f t="shared" si="44"/>
        <v/>
      </c>
      <c r="AK182" s="298" t="str">
        <f t="shared" si="13"/>
        <v/>
      </c>
      <c r="AL182" s="299" t="str">
        <f t="shared" si="13"/>
        <v/>
      </c>
      <c r="AM182" s="169" t="str">
        <f t="shared" ref="AM182:AU191" si="45">IF($I182=AM$159,$DB182,"")</f>
        <v/>
      </c>
      <c r="AN182" s="169" t="str">
        <f t="shared" si="45"/>
        <v/>
      </c>
      <c r="AO182" s="169" t="str">
        <f t="shared" si="45"/>
        <v/>
      </c>
      <c r="AP182" s="169" t="str">
        <f t="shared" si="45"/>
        <v/>
      </c>
      <c r="AQ182" s="169" t="str">
        <f t="shared" si="45"/>
        <v/>
      </c>
      <c r="AR182" s="169" t="str">
        <f t="shared" si="45"/>
        <v/>
      </c>
      <c r="AS182" s="169" t="str">
        <f t="shared" si="45"/>
        <v/>
      </c>
      <c r="AT182" s="169" t="str">
        <f t="shared" si="45"/>
        <v/>
      </c>
      <c r="AU182" s="299" t="str">
        <f t="shared" si="45"/>
        <v/>
      </c>
      <c r="AV182" s="169" t="str">
        <f t="shared" si="25"/>
        <v/>
      </c>
      <c r="AW182" s="169" t="str">
        <f t="shared" si="34"/>
        <v/>
      </c>
      <c r="AX182" s="169" t="str">
        <f t="shared" si="34"/>
        <v/>
      </c>
      <c r="AY182" s="169" t="str">
        <f t="shared" si="26"/>
        <v/>
      </c>
      <c r="AZ182" s="169" t="str">
        <f t="shared" si="26"/>
        <v/>
      </c>
      <c r="BA182" s="299" t="str">
        <f t="shared" si="26"/>
        <v/>
      </c>
      <c r="BB182" s="169" t="str">
        <f t="shared" si="29"/>
        <v/>
      </c>
      <c r="BC182" s="169" t="str">
        <f t="shared" si="33"/>
        <v/>
      </c>
      <c r="BD182" s="169" t="str">
        <f t="shared" si="30"/>
        <v/>
      </c>
      <c r="BE182" s="169" t="str">
        <f t="shared" si="27"/>
        <v/>
      </c>
      <c r="BF182" s="169" t="str">
        <f t="shared" si="27"/>
        <v/>
      </c>
      <c r="BG182" s="169" t="str">
        <f t="shared" si="27"/>
        <v/>
      </c>
      <c r="BH182" s="298" t="str">
        <f t="shared" si="17"/>
        <v/>
      </c>
      <c r="BI182" s="169" t="str">
        <f t="shared" si="28"/>
        <v/>
      </c>
      <c r="BJ182" s="169" t="str">
        <f t="shared" ref="BJ182:BM203" si="46">IF($L182=BJ$159,$DC182,"")</f>
        <v/>
      </c>
      <c r="BK182" s="169" t="str">
        <f t="shared" si="46"/>
        <v/>
      </c>
      <c r="BL182" s="169" t="str">
        <f t="shared" si="46"/>
        <v/>
      </c>
      <c r="BM182" s="299" t="str">
        <f t="shared" si="46"/>
        <v/>
      </c>
      <c r="BN182" s="298" t="str">
        <f t="shared" ref="BN182:BV191" si="47">IF($M182=BN$159,$DB182,"")</f>
        <v/>
      </c>
      <c r="BO182" s="169" t="str">
        <f t="shared" si="47"/>
        <v/>
      </c>
      <c r="BP182" s="169" t="str">
        <f t="shared" si="47"/>
        <v/>
      </c>
      <c r="BQ182" s="169" t="str">
        <f t="shared" si="47"/>
        <v/>
      </c>
      <c r="BR182" s="169" t="str">
        <f t="shared" si="47"/>
        <v/>
      </c>
      <c r="BS182" s="169" t="str">
        <f t="shared" si="47"/>
        <v/>
      </c>
      <c r="BT182" s="169" t="str">
        <f t="shared" si="47"/>
        <v/>
      </c>
      <c r="BU182" s="169" t="str">
        <f t="shared" si="47"/>
        <v/>
      </c>
      <c r="BV182" s="299" t="str">
        <f t="shared" si="47"/>
        <v/>
      </c>
      <c r="BW182" s="298" t="str">
        <f t="shared" ref="BW182:CE191" si="48">IF($N182=BW$159,$DB182,"")</f>
        <v/>
      </c>
      <c r="BX182" s="169" t="str">
        <f t="shared" si="48"/>
        <v/>
      </c>
      <c r="BY182" s="169" t="str">
        <f t="shared" si="48"/>
        <v/>
      </c>
      <c r="BZ182" s="169" t="str">
        <f t="shared" si="48"/>
        <v/>
      </c>
      <c r="CA182" s="169" t="str">
        <f t="shared" si="48"/>
        <v/>
      </c>
      <c r="CB182" s="169" t="str">
        <f t="shared" si="48"/>
        <v/>
      </c>
      <c r="CC182" s="169" t="str">
        <f t="shared" si="48"/>
        <v/>
      </c>
      <c r="CD182" s="169" t="str">
        <f t="shared" si="48"/>
        <v/>
      </c>
      <c r="CE182" s="299" t="str">
        <f t="shared" si="48"/>
        <v/>
      </c>
      <c r="CF182" s="298" t="str">
        <f t="shared" ref="CF182:CK191" si="49">IF($O182=CF$159,$DC182,"")</f>
        <v/>
      </c>
      <c r="CG182" s="169" t="str">
        <f t="shared" si="49"/>
        <v/>
      </c>
      <c r="CH182" s="169" t="str">
        <f t="shared" si="49"/>
        <v/>
      </c>
      <c r="CI182" s="169" t="str">
        <f t="shared" si="49"/>
        <v/>
      </c>
      <c r="CJ182" s="169" t="str">
        <f t="shared" si="49"/>
        <v/>
      </c>
      <c r="CK182" s="299" t="str">
        <f t="shared" si="49"/>
        <v/>
      </c>
      <c r="CL182" s="298" t="str">
        <f t="shared" si="41"/>
        <v/>
      </c>
      <c r="CM182" s="169" t="str">
        <f t="shared" si="41"/>
        <v/>
      </c>
      <c r="CN182" s="169" t="str">
        <f t="shared" si="41"/>
        <v/>
      </c>
      <c r="CO182" s="169" t="str">
        <f t="shared" si="41"/>
        <v/>
      </c>
      <c r="CP182" s="169" t="str">
        <f t="shared" si="41"/>
        <v/>
      </c>
      <c r="CQ182" s="299" t="str">
        <f t="shared" si="41"/>
        <v/>
      </c>
      <c r="CR182" s="298" t="str">
        <f t="shared" si="41"/>
        <v/>
      </c>
      <c r="CS182" s="169" t="str">
        <f t="shared" si="41"/>
        <v/>
      </c>
      <c r="CT182" s="169" t="str">
        <f t="shared" si="41"/>
        <v/>
      </c>
      <c r="CU182" s="169" t="str">
        <f t="shared" si="41"/>
        <v/>
      </c>
      <c r="CV182" s="169" t="str">
        <f t="shared" si="42"/>
        <v/>
      </c>
      <c r="CW182" s="299" t="str">
        <f t="shared" si="32"/>
        <v/>
      </c>
      <c r="CX182" s="299" t="str">
        <f t="shared" si="32"/>
        <v/>
      </c>
      <c r="CZ182" s="10"/>
      <c r="DB182" s="10">
        <f t="shared" si="23"/>
        <v>0</v>
      </c>
      <c r="DC182" s="10">
        <f t="shared" si="24"/>
        <v>0</v>
      </c>
    </row>
    <row r="183" spans="2:107" x14ac:dyDescent="0.25">
      <c r="B183" s="127"/>
      <c r="C183" s="1" t="s">
        <v>81</v>
      </c>
      <c r="D183" s="45"/>
      <c r="G183" s="40"/>
      <c r="Q183" s="47"/>
      <c r="S183" s="298" t="str">
        <f t="shared" si="43"/>
        <v/>
      </c>
      <c r="T183" s="169" t="str">
        <f t="shared" si="43"/>
        <v/>
      </c>
      <c r="U183" s="169" t="str">
        <f t="shared" si="43"/>
        <v/>
      </c>
      <c r="V183" s="169" t="str">
        <f t="shared" si="43"/>
        <v/>
      </c>
      <c r="W183" s="169" t="str">
        <f t="shared" si="43"/>
        <v/>
      </c>
      <c r="X183" s="169" t="str">
        <f t="shared" si="43"/>
        <v/>
      </c>
      <c r="Y183" s="169" t="str">
        <f t="shared" si="43"/>
        <v/>
      </c>
      <c r="Z183" s="169" t="str">
        <f t="shared" si="43"/>
        <v/>
      </c>
      <c r="AA183" s="299" t="str">
        <f t="shared" si="43"/>
        <v/>
      </c>
      <c r="AB183" s="169" t="str">
        <f t="shared" si="44"/>
        <v/>
      </c>
      <c r="AC183" s="169" t="str">
        <f t="shared" si="44"/>
        <v/>
      </c>
      <c r="AD183" s="169" t="str">
        <f t="shared" si="44"/>
        <v/>
      </c>
      <c r="AE183" s="169" t="str">
        <f t="shared" si="44"/>
        <v/>
      </c>
      <c r="AF183" s="169" t="str">
        <f t="shared" si="44"/>
        <v/>
      </c>
      <c r="AG183" s="169" t="str">
        <f t="shared" si="44"/>
        <v/>
      </c>
      <c r="AH183" s="169" t="str">
        <f t="shared" si="44"/>
        <v/>
      </c>
      <c r="AI183" s="169" t="str">
        <f t="shared" si="44"/>
        <v/>
      </c>
      <c r="AJ183" s="299" t="str">
        <f t="shared" si="44"/>
        <v/>
      </c>
      <c r="AK183" s="298" t="str">
        <f t="shared" si="13"/>
        <v/>
      </c>
      <c r="AL183" s="299" t="str">
        <f t="shared" si="13"/>
        <v/>
      </c>
      <c r="AM183" s="169" t="str">
        <f t="shared" si="45"/>
        <v/>
      </c>
      <c r="AN183" s="169" t="str">
        <f t="shared" si="45"/>
        <v/>
      </c>
      <c r="AO183" s="169" t="str">
        <f t="shared" si="45"/>
        <v/>
      </c>
      <c r="AP183" s="169" t="str">
        <f t="shared" si="45"/>
        <v/>
      </c>
      <c r="AQ183" s="169" t="str">
        <f t="shared" si="45"/>
        <v/>
      </c>
      <c r="AR183" s="169" t="str">
        <f t="shared" si="45"/>
        <v/>
      </c>
      <c r="AS183" s="169" t="str">
        <f t="shared" si="45"/>
        <v/>
      </c>
      <c r="AT183" s="169" t="str">
        <f t="shared" si="45"/>
        <v/>
      </c>
      <c r="AU183" s="299" t="str">
        <f t="shared" si="45"/>
        <v/>
      </c>
      <c r="AV183" s="169" t="str">
        <f t="shared" si="25"/>
        <v/>
      </c>
      <c r="AW183" s="169" t="str">
        <f t="shared" si="34"/>
        <v/>
      </c>
      <c r="AX183" s="169" t="str">
        <f t="shared" si="34"/>
        <v/>
      </c>
      <c r="AY183" s="169" t="str">
        <f t="shared" ref="AY183:BA202" si="50">IF($J183=AY$159,$DC183,"")</f>
        <v/>
      </c>
      <c r="AZ183" s="169" t="str">
        <f t="shared" si="50"/>
        <v/>
      </c>
      <c r="BA183" s="299" t="str">
        <f t="shared" si="50"/>
        <v/>
      </c>
      <c r="BB183" s="169" t="str">
        <f t="shared" si="29"/>
        <v/>
      </c>
      <c r="BC183" s="169" t="str">
        <f t="shared" si="33"/>
        <v/>
      </c>
      <c r="BD183" s="169" t="str">
        <f t="shared" si="30"/>
        <v/>
      </c>
      <c r="BE183" s="169" t="str">
        <f t="shared" ref="BE183:BG202" si="51">IF($K183=BE$159,$DC183,"")</f>
        <v/>
      </c>
      <c r="BF183" s="169" t="str">
        <f t="shared" si="51"/>
        <v/>
      </c>
      <c r="BG183" s="169" t="str">
        <f t="shared" si="51"/>
        <v/>
      </c>
      <c r="BH183" s="298" t="str">
        <f t="shared" si="17"/>
        <v/>
      </c>
      <c r="BI183" s="169" t="str">
        <f t="shared" si="28"/>
        <v/>
      </c>
      <c r="BJ183" s="169" t="str">
        <f t="shared" si="46"/>
        <v/>
      </c>
      <c r="BK183" s="169" t="str">
        <f t="shared" si="46"/>
        <v/>
      </c>
      <c r="BL183" s="169" t="str">
        <f t="shared" si="46"/>
        <v/>
      </c>
      <c r="BM183" s="299" t="str">
        <f t="shared" si="46"/>
        <v/>
      </c>
      <c r="BN183" s="298" t="str">
        <f t="shared" si="47"/>
        <v/>
      </c>
      <c r="BO183" s="169" t="str">
        <f t="shared" si="47"/>
        <v/>
      </c>
      <c r="BP183" s="169" t="str">
        <f t="shared" si="47"/>
        <v/>
      </c>
      <c r="BQ183" s="169" t="str">
        <f t="shared" si="47"/>
        <v/>
      </c>
      <c r="BR183" s="169" t="str">
        <f t="shared" si="47"/>
        <v/>
      </c>
      <c r="BS183" s="169" t="str">
        <f t="shared" si="47"/>
        <v/>
      </c>
      <c r="BT183" s="169" t="str">
        <f t="shared" si="47"/>
        <v/>
      </c>
      <c r="BU183" s="169" t="str">
        <f t="shared" si="47"/>
        <v/>
      </c>
      <c r="BV183" s="299" t="str">
        <f t="shared" si="47"/>
        <v/>
      </c>
      <c r="BW183" s="298" t="str">
        <f t="shared" si="48"/>
        <v/>
      </c>
      <c r="BX183" s="169" t="str">
        <f t="shared" si="48"/>
        <v/>
      </c>
      <c r="BY183" s="169" t="str">
        <f t="shared" si="48"/>
        <v/>
      </c>
      <c r="BZ183" s="169" t="str">
        <f t="shared" si="48"/>
        <v/>
      </c>
      <c r="CA183" s="169" t="str">
        <f t="shared" si="48"/>
        <v/>
      </c>
      <c r="CB183" s="169" t="str">
        <f t="shared" si="48"/>
        <v/>
      </c>
      <c r="CC183" s="169" t="str">
        <f t="shared" si="48"/>
        <v/>
      </c>
      <c r="CD183" s="169" t="str">
        <f t="shared" si="48"/>
        <v/>
      </c>
      <c r="CE183" s="299" t="str">
        <f t="shared" si="48"/>
        <v/>
      </c>
      <c r="CF183" s="298" t="str">
        <f t="shared" si="49"/>
        <v/>
      </c>
      <c r="CG183" s="169" t="str">
        <f t="shared" si="49"/>
        <v/>
      </c>
      <c r="CH183" s="169" t="str">
        <f t="shared" si="49"/>
        <v/>
      </c>
      <c r="CI183" s="169" t="str">
        <f t="shared" si="49"/>
        <v/>
      </c>
      <c r="CJ183" s="169" t="str">
        <f t="shared" si="49"/>
        <v/>
      </c>
      <c r="CK183" s="299" t="str">
        <f t="shared" si="49"/>
        <v/>
      </c>
      <c r="CL183" s="298" t="str">
        <f t="shared" si="41"/>
        <v/>
      </c>
      <c r="CM183" s="169" t="str">
        <f t="shared" si="41"/>
        <v/>
      </c>
      <c r="CN183" s="169" t="str">
        <f t="shared" si="41"/>
        <v/>
      </c>
      <c r="CO183" s="169" t="str">
        <f t="shared" si="41"/>
        <v/>
      </c>
      <c r="CP183" s="169" t="str">
        <f t="shared" si="41"/>
        <v/>
      </c>
      <c r="CQ183" s="299" t="str">
        <f t="shared" si="41"/>
        <v/>
      </c>
      <c r="CR183" s="298" t="str">
        <f t="shared" si="41"/>
        <v/>
      </c>
      <c r="CS183" s="169" t="str">
        <f t="shared" si="41"/>
        <v/>
      </c>
      <c r="CT183" s="169" t="str">
        <f t="shared" si="41"/>
        <v/>
      </c>
      <c r="CU183" s="169" t="str">
        <f t="shared" si="41"/>
        <v/>
      </c>
      <c r="CV183" s="169" t="str">
        <f t="shared" si="42"/>
        <v/>
      </c>
      <c r="CW183" s="299" t="str">
        <f t="shared" si="32"/>
        <v/>
      </c>
      <c r="CX183" s="299" t="str">
        <f t="shared" si="32"/>
        <v/>
      </c>
      <c r="CZ183" s="10"/>
      <c r="DB183" s="10">
        <f t="shared" si="23"/>
        <v>0</v>
      </c>
      <c r="DC183" s="10">
        <f t="shared" si="24"/>
        <v>0</v>
      </c>
    </row>
    <row r="184" spans="2:107" x14ac:dyDescent="0.25">
      <c r="B184" s="127"/>
      <c r="C184" s="526" t="str">
        <f t="shared" ref="C184:C203" si="52">IF(C31&gt;0,B31 &amp; " (" &amp;C31 &amp; ")",B31)</f>
        <v>Water heater (22232)</v>
      </c>
      <c r="D184" s="527">
        <f t="shared" ref="D184:D203" si="53">E31</f>
        <v>1</v>
      </c>
      <c r="G184" s="40"/>
      <c r="H184" s="10" t="s">
        <v>25</v>
      </c>
      <c r="Q184" s="47"/>
      <c r="S184" s="298" t="str">
        <f t="shared" si="43"/>
        <v/>
      </c>
      <c r="T184" s="169" t="str">
        <f t="shared" si="43"/>
        <v/>
      </c>
      <c r="U184" s="169" t="str">
        <f t="shared" si="43"/>
        <v/>
      </c>
      <c r="V184" s="169" t="str">
        <f t="shared" si="43"/>
        <v/>
      </c>
      <c r="W184" s="169" t="str">
        <f t="shared" si="43"/>
        <v/>
      </c>
      <c r="X184" s="169" t="str">
        <f t="shared" si="43"/>
        <v/>
      </c>
      <c r="Y184" s="169" t="str">
        <f t="shared" si="43"/>
        <v/>
      </c>
      <c r="Z184" s="169" t="str">
        <f t="shared" si="43"/>
        <v/>
      </c>
      <c r="AA184" s="299" t="str">
        <f t="shared" si="43"/>
        <v/>
      </c>
      <c r="AB184" s="169" t="str">
        <f t="shared" si="44"/>
        <v/>
      </c>
      <c r="AC184" s="169" t="str">
        <f t="shared" si="44"/>
        <v/>
      </c>
      <c r="AD184" s="169">
        <f t="shared" si="44"/>
        <v>11</v>
      </c>
      <c r="AE184" s="169" t="str">
        <f t="shared" si="44"/>
        <v/>
      </c>
      <c r="AF184" s="169" t="str">
        <f t="shared" si="44"/>
        <v/>
      </c>
      <c r="AG184" s="169" t="str">
        <f t="shared" si="44"/>
        <v/>
      </c>
      <c r="AH184" s="169" t="str">
        <f t="shared" si="44"/>
        <v/>
      </c>
      <c r="AI184" s="169" t="str">
        <f t="shared" si="44"/>
        <v/>
      </c>
      <c r="AJ184" s="299" t="str">
        <f t="shared" si="44"/>
        <v/>
      </c>
      <c r="AK184" s="298" t="str">
        <f t="shared" ref="AK184:AK200" si="54">IF($P184=AK$159,$DC184,"")</f>
        <v/>
      </c>
      <c r="AL184" s="299">
        <v>11</v>
      </c>
      <c r="AM184" s="169" t="str">
        <f t="shared" si="45"/>
        <v/>
      </c>
      <c r="AN184" s="169" t="str">
        <f t="shared" si="45"/>
        <v/>
      </c>
      <c r="AO184" s="169" t="str">
        <f t="shared" si="45"/>
        <v/>
      </c>
      <c r="AP184" s="169" t="str">
        <f t="shared" si="45"/>
        <v/>
      </c>
      <c r="AQ184" s="169" t="str">
        <f t="shared" si="45"/>
        <v/>
      </c>
      <c r="AR184" s="169" t="str">
        <f t="shared" si="45"/>
        <v/>
      </c>
      <c r="AS184" s="169" t="str">
        <f t="shared" si="45"/>
        <v/>
      </c>
      <c r="AT184" s="169" t="str">
        <f t="shared" si="45"/>
        <v/>
      </c>
      <c r="AU184" s="299" t="str">
        <f t="shared" si="45"/>
        <v/>
      </c>
      <c r="AV184" s="169" t="str">
        <f t="shared" si="25"/>
        <v/>
      </c>
      <c r="AW184" s="169" t="str">
        <f t="shared" si="34"/>
        <v/>
      </c>
      <c r="AX184" s="169" t="str">
        <f t="shared" si="34"/>
        <v/>
      </c>
      <c r="AY184" s="169" t="str">
        <f t="shared" si="50"/>
        <v/>
      </c>
      <c r="AZ184" s="169" t="str">
        <f t="shared" si="50"/>
        <v/>
      </c>
      <c r="BA184" s="299" t="str">
        <f t="shared" si="50"/>
        <v/>
      </c>
      <c r="BB184" s="169" t="str">
        <f t="shared" si="29"/>
        <v/>
      </c>
      <c r="BC184" s="169" t="str">
        <f t="shared" si="33"/>
        <v/>
      </c>
      <c r="BD184" s="169" t="str">
        <f t="shared" si="30"/>
        <v/>
      </c>
      <c r="BE184" s="169" t="str">
        <f t="shared" si="51"/>
        <v/>
      </c>
      <c r="BF184" s="169" t="str">
        <f t="shared" si="51"/>
        <v/>
      </c>
      <c r="BG184" s="169" t="str">
        <f t="shared" si="51"/>
        <v/>
      </c>
      <c r="BH184" s="298" t="str">
        <f t="shared" si="17"/>
        <v/>
      </c>
      <c r="BI184" s="169" t="str">
        <f t="shared" si="28"/>
        <v/>
      </c>
      <c r="BJ184" s="169" t="str">
        <f t="shared" si="46"/>
        <v/>
      </c>
      <c r="BK184" s="169" t="str">
        <f t="shared" si="46"/>
        <v/>
      </c>
      <c r="BL184" s="169" t="str">
        <f t="shared" si="46"/>
        <v/>
      </c>
      <c r="BM184" s="299" t="str">
        <f t="shared" si="46"/>
        <v/>
      </c>
      <c r="BN184" s="298" t="str">
        <f t="shared" si="47"/>
        <v/>
      </c>
      <c r="BO184" s="169" t="str">
        <f t="shared" si="47"/>
        <v/>
      </c>
      <c r="BP184" s="169" t="str">
        <f t="shared" si="47"/>
        <v/>
      </c>
      <c r="BQ184" s="169" t="str">
        <f t="shared" si="47"/>
        <v/>
      </c>
      <c r="BR184" s="169" t="str">
        <f t="shared" si="47"/>
        <v/>
      </c>
      <c r="BS184" s="169" t="str">
        <f t="shared" si="47"/>
        <v/>
      </c>
      <c r="BT184" s="169" t="str">
        <f t="shared" si="47"/>
        <v/>
      </c>
      <c r="BU184" s="169" t="str">
        <f t="shared" si="47"/>
        <v/>
      </c>
      <c r="BV184" s="299" t="str">
        <f t="shared" si="47"/>
        <v/>
      </c>
      <c r="BW184" s="298" t="str">
        <f t="shared" si="48"/>
        <v/>
      </c>
      <c r="BX184" s="169" t="str">
        <f t="shared" si="48"/>
        <v/>
      </c>
      <c r="BY184" s="169" t="str">
        <f t="shared" si="48"/>
        <v/>
      </c>
      <c r="BZ184" s="169" t="str">
        <f t="shared" si="48"/>
        <v/>
      </c>
      <c r="CA184" s="169" t="str">
        <f t="shared" si="48"/>
        <v/>
      </c>
      <c r="CB184" s="169" t="str">
        <f t="shared" si="48"/>
        <v/>
      </c>
      <c r="CC184" s="169" t="str">
        <f t="shared" si="48"/>
        <v/>
      </c>
      <c r="CD184" s="169" t="str">
        <f t="shared" si="48"/>
        <v/>
      </c>
      <c r="CE184" s="299" t="str">
        <f t="shared" si="48"/>
        <v/>
      </c>
      <c r="CF184" s="298" t="str">
        <f t="shared" si="49"/>
        <v/>
      </c>
      <c r="CG184" s="169" t="str">
        <f t="shared" si="49"/>
        <v/>
      </c>
      <c r="CH184" s="169" t="str">
        <f t="shared" si="49"/>
        <v/>
      </c>
      <c r="CI184" s="169" t="str">
        <f t="shared" si="49"/>
        <v/>
      </c>
      <c r="CJ184" s="169" t="str">
        <f t="shared" si="49"/>
        <v/>
      </c>
      <c r="CK184" s="299" t="str">
        <f t="shared" si="49"/>
        <v/>
      </c>
      <c r="CL184" s="298" t="str">
        <f t="shared" si="41"/>
        <v/>
      </c>
      <c r="CM184" s="169" t="str">
        <f t="shared" si="41"/>
        <v/>
      </c>
      <c r="CN184" s="169" t="str">
        <f t="shared" si="41"/>
        <v/>
      </c>
      <c r="CO184" s="169" t="str">
        <f t="shared" si="41"/>
        <v/>
      </c>
      <c r="CP184" s="169" t="str">
        <f t="shared" si="41"/>
        <v/>
      </c>
      <c r="CQ184" s="299" t="str">
        <f t="shared" si="41"/>
        <v/>
      </c>
      <c r="CR184" s="298" t="str">
        <f t="shared" si="41"/>
        <v/>
      </c>
      <c r="CS184" s="169" t="str">
        <f t="shared" si="41"/>
        <v/>
      </c>
      <c r="CT184" s="169" t="str">
        <f t="shared" si="41"/>
        <v/>
      </c>
      <c r="CU184" s="169" t="str">
        <f t="shared" si="41"/>
        <v/>
      </c>
      <c r="CV184" s="169" t="str">
        <f t="shared" si="42"/>
        <v/>
      </c>
      <c r="CW184" s="299" t="str">
        <f t="shared" si="32"/>
        <v/>
      </c>
      <c r="CX184" s="299" t="str">
        <f t="shared" si="32"/>
        <v/>
      </c>
      <c r="CZ184" s="10"/>
      <c r="DB184" s="10">
        <f t="shared" si="23"/>
        <v>11</v>
      </c>
      <c r="DC184" s="10">
        <f t="shared" si="24"/>
        <v>5.5</v>
      </c>
    </row>
    <row r="185" spans="2:107" x14ac:dyDescent="0.25">
      <c r="B185" s="127"/>
      <c r="C185" s="526" t="str">
        <f t="shared" si="52"/>
        <v>Recirculating pump (X2500)</v>
      </c>
      <c r="D185" s="527">
        <f t="shared" si="53"/>
        <v>1</v>
      </c>
      <c r="G185" s="40"/>
      <c r="Q185" s="47"/>
      <c r="S185" s="298" t="str">
        <f t="shared" si="43"/>
        <v/>
      </c>
      <c r="T185" s="169" t="str">
        <f t="shared" si="43"/>
        <v/>
      </c>
      <c r="U185" s="169" t="str">
        <f t="shared" si="43"/>
        <v/>
      </c>
      <c r="V185" s="169" t="str">
        <f t="shared" si="43"/>
        <v/>
      </c>
      <c r="W185" s="169" t="str">
        <f t="shared" si="43"/>
        <v/>
      </c>
      <c r="X185" s="169" t="str">
        <f t="shared" si="43"/>
        <v/>
      </c>
      <c r="Y185" s="169" t="str">
        <f t="shared" si="43"/>
        <v/>
      </c>
      <c r="Z185" s="169" t="str">
        <f t="shared" si="43"/>
        <v/>
      </c>
      <c r="AA185" s="299" t="str">
        <f t="shared" si="43"/>
        <v/>
      </c>
      <c r="AB185" s="169" t="str">
        <f t="shared" si="44"/>
        <v/>
      </c>
      <c r="AC185" s="169" t="str">
        <f t="shared" si="44"/>
        <v/>
      </c>
      <c r="AD185" s="169" t="str">
        <f t="shared" si="44"/>
        <v/>
      </c>
      <c r="AE185" s="169" t="str">
        <f t="shared" si="44"/>
        <v/>
      </c>
      <c r="AF185" s="169" t="str">
        <f t="shared" si="44"/>
        <v/>
      </c>
      <c r="AG185" s="169" t="str">
        <f t="shared" si="44"/>
        <v/>
      </c>
      <c r="AH185" s="169" t="str">
        <f t="shared" si="44"/>
        <v/>
      </c>
      <c r="AI185" s="169" t="str">
        <f t="shared" si="44"/>
        <v/>
      </c>
      <c r="AJ185" s="299" t="str">
        <f t="shared" si="44"/>
        <v/>
      </c>
      <c r="AK185" s="298" t="str">
        <f t="shared" si="54"/>
        <v/>
      </c>
      <c r="AL185" s="299" t="str">
        <f t="shared" ref="AL185:AL200" si="55">IF($P185=AL$159,$DC185,"")</f>
        <v/>
      </c>
      <c r="AM185" s="169" t="str">
        <f t="shared" si="45"/>
        <v/>
      </c>
      <c r="AN185" s="169" t="str">
        <f t="shared" si="45"/>
        <v/>
      </c>
      <c r="AO185" s="169" t="str">
        <f t="shared" si="45"/>
        <v/>
      </c>
      <c r="AP185" s="169" t="str">
        <f t="shared" si="45"/>
        <v/>
      </c>
      <c r="AQ185" s="169" t="str">
        <f t="shared" si="45"/>
        <v/>
      </c>
      <c r="AR185" s="169" t="str">
        <f t="shared" si="45"/>
        <v/>
      </c>
      <c r="AS185" s="169" t="str">
        <f t="shared" si="45"/>
        <v/>
      </c>
      <c r="AT185" s="169" t="str">
        <f t="shared" si="45"/>
        <v/>
      </c>
      <c r="AU185" s="299" t="str">
        <f t="shared" si="45"/>
        <v/>
      </c>
      <c r="AV185" s="169" t="str">
        <f t="shared" si="25"/>
        <v/>
      </c>
      <c r="AW185" s="169" t="str">
        <f t="shared" si="34"/>
        <v/>
      </c>
      <c r="AX185" s="169" t="str">
        <f t="shared" si="34"/>
        <v/>
      </c>
      <c r="AY185" s="169" t="str">
        <f t="shared" si="50"/>
        <v/>
      </c>
      <c r="AZ185" s="169" t="str">
        <f t="shared" si="50"/>
        <v/>
      </c>
      <c r="BA185" s="299" t="str">
        <f t="shared" si="50"/>
        <v/>
      </c>
      <c r="BB185" s="169" t="str">
        <f t="shared" si="29"/>
        <v/>
      </c>
      <c r="BC185" s="169" t="str">
        <f t="shared" si="33"/>
        <v/>
      </c>
      <c r="BD185" s="169" t="str">
        <f t="shared" si="30"/>
        <v/>
      </c>
      <c r="BE185" s="169" t="str">
        <f t="shared" si="51"/>
        <v/>
      </c>
      <c r="BF185" s="169" t="str">
        <f t="shared" si="51"/>
        <v/>
      </c>
      <c r="BG185" s="169" t="str">
        <f t="shared" si="51"/>
        <v/>
      </c>
      <c r="BH185" s="298" t="str">
        <f t="shared" si="17"/>
        <v/>
      </c>
      <c r="BI185" s="169" t="str">
        <f t="shared" si="28"/>
        <v/>
      </c>
      <c r="BJ185" s="169" t="str">
        <f t="shared" si="46"/>
        <v/>
      </c>
      <c r="BK185" s="169" t="str">
        <f t="shared" si="46"/>
        <v/>
      </c>
      <c r="BL185" s="169" t="str">
        <f t="shared" si="46"/>
        <v/>
      </c>
      <c r="BM185" s="299" t="str">
        <f t="shared" si="46"/>
        <v/>
      </c>
      <c r="BN185" s="298" t="str">
        <f t="shared" si="47"/>
        <v/>
      </c>
      <c r="BO185" s="169" t="str">
        <f t="shared" si="47"/>
        <v/>
      </c>
      <c r="BP185" s="169" t="str">
        <f t="shared" si="47"/>
        <v/>
      </c>
      <c r="BQ185" s="169" t="str">
        <f t="shared" si="47"/>
        <v/>
      </c>
      <c r="BR185" s="169" t="str">
        <f t="shared" si="47"/>
        <v/>
      </c>
      <c r="BS185" s="169" t="str">
        <f t="shared" si="47"/>
        <v/>
      </c>
      <c r="BT185" s="169" t="str">
        <f t="shared" si="47"/>
        <v/>
      </c>
      <c r="BU185" s="169" t="str">
        <f t="shared" si="47"/>
        <v/>
      </c>
      <c r="BV185" s="299" t="str">
        <f t="shared" si="47"/>
        <v/>
      </c>
      <c r="BW185" s="298" t="str">
        <f t="shared" si="48"/>
        <v/>
      </c>
      <c r="BX185" s="169" t="str">
        <f t="shared" si="48"/>
        <v/>
      </c>
      <c r="BY185" s="169" t="str">
        <f t="shared" si="48"/>
        <v/>
      </c>
      <c r="BZ185" s="169" t="str">
        <f t="shared" si="48"/>
        <v/>
      </c>
      <c r="CA185" s="169" t="str">
        <f t="shared" si="48"/>
        <v/>
      </c>
      <c r="CB185" s="169" t="str">
        <f t="shared" si="48"/>
        <v/>
      </c>
      <c r="CC185" s="169" t="str">
        <f t="shared" si="48"/>
        <v/>
      </c>
      <c r="CD185" s="169" t="str">
        <f t="shared" si="48"/>
        <v/>
      </c>
      <c r="CE185" s="299" t="str">
        <f t="shared" si="48"/>
        <v/>
      </c>
      <c r="CF185" s="298" t="str">
        <f t="shared" si="49"/>
        <v/>
      </c>
      <c r="CG185" s="169" t="str">
        <f t="shared" si="49"/>
        <v/>
      </c>
      <c r="CH185" s="169" t="str">
        <f t="shared" si="49"/>
        <v/>
      </c>
      <c r="CI185" s="169" t="str">
        <f t="shared" si="49"/>
        <v/>
      </c>
      <c r="CJ185" s="169" t="str">
        <f t="shared" si="49"/>
        <v/>
      </c>
      <c r="CK185" s="299" t="str">
        <f t="shared" si="49"/>
        <v/>
      </c>
      <c r="CL185" s="298" t="str">
        <f t="shared" ref="CL185:CU195" si="56">IF($P185=CL$159,$DC185,"")</f>
        <v/>
      </c>
      <c r="CM185" s="169" t="str">
        <f t="shared" si="56"/>
        <v/>
      </c>
      <c r="CN185" s="169" t="str">
        <f t="shared" si="56"/>
        <v/>
      </c>
      <c r="CO185" s="169" t="str">
        <f t="shared" si="56"/>
        <v/>
      </c>
      <c r="CP185" s="169" t="str">
        <f t="shared" si="56"/>
        <v/>
      </c>
      <c r="CQ185" s="299" t="str">
        <f t="shared" si="56"/>
        <v/>
      </c>
      <c r="CR185" s="298" t="str">
        <f t="shared" si="56"/>
        <v/>
      </c>
      <c r="CS185" s="169" t="str">
        <f t="shared" si="56"/>
        <v/>
      </c>
      <c r="CT185" s="169" t="str">
        <f t="shared" si="56"/>
        <v/>
      </c>
      <c r="CU185" s="169" t="str">
        <f t="shared" si="56"/>
        <v/>
      </c>
      <c r="CV185" s="169" t="str">
        <f t="shared" si="42"/>
        <v/>
      </c>
      <c r="CW185" s="299" t="str">
        <f t="shared" si="32"/>
        <v/>
      </c>
      <c r="CX185" s="299" t="str">
        <f t="shared" si="32"/>
        <v/>
      </c>
      <c r="CZ185" s="10"/>
      <c r="DB185" s="10">
        <f t="shared" si="23"/>
        <v>11</v>
      </c>
      <c r="DC185" s="10">
        <f t="shared" si="24"/>
        <v>5.5</v>
      </c>
    </row>
    <row r="186" spans="2:107" x14ac:dyDescent="0.25">
      <c r="B186" s="127"/>
      <c r="C186" s="526" t="str">
        <f t="shared" si="52"/>
        <v>Filter - RO (12501 (SB-VD))</v>
      </c>
      <c r="D186" s="527">
        <f t="shared" si="53"/>
        <v>1</v>
      </c>
      <c r="G186" s="40"/>
      <c r="Q186" s="47"/>
      <c r="S186" s="298" t="str">
        <f t="shared" si="43"/>
        <v/>
      </c>
      <c r="T186" s="169" t="str">
        <f t="shared" si="43"/>
        <v/>
      </c>
      <c r="U186" s="169" t="str">
        <f t="shared" si="43"/>
        <v/>
      </c>
      <c r="V186" s="169" t="str">
        <f t="shared" si="43"/>
        <v/>
      </c>
      <c r="W186" s="169" t="str">
        <f t="shared" si="43"/>
        <v/>
      </c>
      <c r="X186" s="169" t="str">
        <f t="shared" si="43"/>
        <v/>
      </c>
      <c r="Y186" s="169" t="str">
        <f t="shared" si="43"/>
        <v/>
      </c>
      <c r="Z186" s="169" t="str">
        <f t="shared" si="43"/>
        <v/>
      </c>
      <c r="AA186" s="299" t="str">
        <f t="shared" si="43"/>
        <v/>
      </c>
      <c r="AB186" s="169" t="str">
        <f t="shared" si="44"/>
        <v/>
      </c>
      <c r="AC186" s="169" t="str">
        <f t="shared" si="44"/>
        <v/>
      </c>
      <c r="AD186" s="169" t="str">
        <f t="shared" si="44"/>
        <v/>
      </c>
      <c r="AE186" s="169" t="str">
        <f t="shared" si="44"/>
        <v/>
      </c>
      <c r="AF186" s="169" t="str">
        <f t="shared" si="44"/>
        <v/>
      </c>
      <c r="AG186" s="169" t="str">
        <f t="shared" si="44"/>
        <v/>
      </c>
      <c r="AH186" s="169" t="str">
        <f t="shared" si="44"/>
        <v/>
      </c>
      <c r="AI186" s="169" t="str">
        <f t="shared" si="44"/>
        <v/>
      </c>
      <c r="AJ186" s="299" t="str">
        <f t="shared" si="44"/>
        <v/>
      </c>
      <c r="AK186" s="298" t="str">
        <f t="shared" si="54"/>
        <v/>
      </c>
      <c r="AL186" s="299" t="str">
        <f t="shared" si="55"/>
        <v/>
      </c>
      <c r="AM186" s="169" t="str">
        <f t="shared" si="45"/>
        <v/>
      </c>
      <c r="AN186" s="169" t="str">
        <f t="shared" si="45"/>
        <v/>
      </c>
      <c r="AO186" s="169" t="str">
        <f t="shared" si="45"/>
        <v/>
      </c>
      <c r="AP186" s="169" t="str">
        <f t="shared" si="45"/>
        <v/>
      </c>
      <c r="AQ186" s="169" t="str">
        <f t="shared" si="45"/>
        <v/>
      </c>
      <c r="AR186" s="169" t="str">
        <f t="shared" si="45"/>
        <v/>
      </c>
      <c r="AS186" s="169" t="str">
        <f t="shared" si="45"/>
        <v/>
      </c>
      <c r="AT186" s="169" t="str">
        <f t="shared" si="45"/>
        <v/>
      </c>
      <c r="AU186" s="299" t="str">
        <f t="shared" si="45"/>
        <v/>
      </c>
      <c r="AV186" s="169" t="str">
        <f t="shared" si="25"/>
        <v/>
      </c>
      <c r="AW186" s="169" t="str">
        <f t="shared" si="34"/>
        <v/>
      </c>
      <c r="AX186" s="169" t="str">
        <f t="shared" si="34"/>
        <v/>
      </c>
      <c r="AY186" s="169" t="str">
        <f t="shared" si="50"/>
        <v/>
      </c>
      <c r="AZ186" s="169" t="str">
        <f t="shared" si="50"/>
        <v/>
      </c>
      <c r="BA186" s="299" t="str">
        <f t="shared" si="50"/>
        <v/>
      </c>
      <c r="BB186" s="169" t="str">
        <f t="shared" si="29"/>
        <v/>
      </c>
      <c r="BC186" s="169" t="str">
        <f t="shared" si="33"/>
        <v/>
      </c>
      <c r="BD186" s="169" t="str">
        <f t="shared" si="30"/>
        <v/>
      </c>
      <c r="BE186" s="169" t="str">
        <f t="shared" si="51"/>
        <v/>
      </c>
      <c r="BF186" s="169" t="str">
        <f t="shared" si="51"/>
        <v/>
      </c>
      <c r="BG186" s="169" t="str">
        <f t="shared" si="51"/>
        <v/>
      </c>
      <c r="BH186" s="298" t="str">
        <f t="shared" si="17"/>
        <v/>
      </c>
      <c r="BI186" s="169" t="str">
        <f t="shared" si="28"/>
        <v/>
      </c>
      <c r="BJ186" s="169" t="str">
        <f t="shared" si="46"/>
        <v/>
      </c>
      <c r="BK186" s="169" t="str">
        <f t="shared" si="46"/>
        <v/>
      </c>
      <c r="BL186" s="169" t="str">
        <f t="shared" si="46"/>
        <v/>
      </c>
      <c r="BM186" s="299" t="str">
        <f t="shared" si="46"/>
        <v/>
      </c>
      <c r="BN186" s="298" t="str">
        <f t="shared" si="47"/>
        <v/>
      </c>
      <c r="BO186" s="169" t="str">
        <f t="shared" si="47"/>
        <v/>
      </c>
      <c r="BP186" s="169" t="str">
        <f t="shared" si="47"/>
        <v/>
      </c>
      <c r="BQ186" s="169" t="str">
        <f t="shared" si="47"/>
        <v/>
      </c>
      <c r="BR186" s="169" t="str">
        <f t="shared" si="47"/>
        <v/>
      </c>
      <c r="BS186" s="169" t="str">
        <f t="shared" si="47"/>
        <v/>
      </c>
      <c r="BT186" s="169" t="str">
        <f t="shared" si="47"/>
        <v/>
      </c>
      <c r="BU186" s="169" t="str">
        <f t="shared" si="47"/>
        <v/>
      </c>
      <c r="BV186" s="299" t="str">
        <f t="shared" si="47"/>
        <v/>
      </c>
      <c r="BW186" s="298" t="str">
        <f t="shared" si="48"/>
        <v/>
      </c>
      <c r="BX186" s="169" t="str">
        <f t="shared" si="48"/>
        <v/>
      </c>
      <c r="BY186" s="169" t="str">
        <f t="shared" si="48"/>
        <v/>
      </c>
      <c r="BZ186" s="169" t="str">
        <f t="shared" si="48"/>
        <v/>
      </c>
      <c r="CA186" s="169" t="str">
        <f t="shared" si="48"/>
        <v/>
      </c>
      <c r="CB186" s="169" t="str">
        <f t="shared" si="48"/>
        <v/>
      </c>
      <c r="CC186" s="169" t="str">
        <f t="shared" si="48"/>
        <v/>
      </c>
      <c r="CD186" s="169" t="str">
        <f t="shared" si="48"/>
        <v/>
      </c>
      <c r="CE186" s="299" t="str">
        <f t="shared" si="48"/>
        <v/>
      </c>
      <c r="CF186" s="298" t="str">
        <f t="shared" si="49"/>
        <v/>
      </c>
      <c r="CG186" s="169" t="str">
        <f t="shared" si="49"/>
        <v/>
      </c>
      <c r="CH186" s="169" t="str">
        <f t="shared" si="49"/>
        <v/>
      </c>
      <c r="CI186" s="169" t="str">
        <f t="shared" si="49"/>
        <v/>
      </c>
      <c r="CJ186" s="169" t="str">
        <f t="shared" si="49"/>
        <v/>
      </c>
      <c r="CK186" s="299" t="str">
        <f t="shared" si="49"/>
        <v/>
      </c>
      <c r="CL186" s="298" t="str">
        <f t="shared" si="56"/>
        <v/>
      </c>
      <c r="CM186" s="169" t="str">
        <f t="shared" si="56"/>
        <v/>
      </c>
      <c r="CN186" s="169" t="str">
        <f t="shared" si="56"/>
        <v/>
      </c>
      <c r="CO186" s="169" t="str">
        <f t="shared" si="56"/>
        <v/>
      </c>
      <c r="CP186" s="169" t="str">
        <f t="shared" si="56"/>
        <v/>
      </c>
      <c r="CQ186" s="299" t="str">
        <f t="shared" si="56"/>
        <v/>
      </c>
      <c r="CR186" s="298" t="str">
        <f t="shared" si="56"/>
        <v/>
      </c>
      <c r="CS186" s="169" t="str">
        <f t="shared" si="56"/>
        <v/>
      </c>
      <c r="CT186" s="169" t="str">
        <f t="shared" si="56"/>
        <v/>
      </c>
      <c r="CU186" s="169" t="str">
        <f t="shared" si="56"/>
        <v/>
      </c>
      <c r="CV186" s="169" t="str">
        <f t="shared" si="42"/>
        <v/>
      </c>
      <c r="CW186" s="299" t="str">
        <f t="shared" si="32"/>
        <v/>
      </c>
      <c r="CX186" s="299" t="str">
        <f t="shared" si="32"/>
        <v/>
      </c>
      <c r="CZ186" s="10"/>
      <c r="DB186" s="10">
        <f t="shared" si="23"/>
        <v>11</v>
      </c>
      <c r="DC186" s="10">
        <f t="shared" si="24"/>
        <v>5.5</v>
      </c>
    </row>
    <row r="187" spans="2:107" x14ac:dyDescent="0.25">
      <c r="B187" s="127"/>
      <c r="C187" s="526" t="str">
        <f t="shared" si="52"/>
        <v>Filter - Booster Pump (23355 (SB-VD))</v>
      </c>
      <c r="D187" s="527">
        <f t="shared" si="53"/>
        <v>1</v>
      </c>
      <c r="G187" s="40"/>
      <c r="Q187" s="47"/>
      <c r="S187" s="298" t="str">
        <f t="shared" si="43"/>
        <v/>
      </c>
      <c r="T187" s="169" t="str">
        <f t="shared" si="43"/>
        <v/>
      </c>
      <c r="U187" s="169" t="str">
        <f t="shared" si="43"/>
        <v/>
      </c>
      <c r="V187" s="169" t="str">
        <f t="shared" si="43"/>
        <v/>
      </c>
      <c r="W187" s="169" t="str">
        <f t="shared" si="43"/>
        <v/>
      </c>
      <c r="X187" s="169" t="str">
        <f t="shared" si="43"/>
        <v/>
      </c>
      <c r="Y187" s="169" t="str">
        <f t="shared" si="43"/>
        <v/>
      </c>
      <c r="Z187" s="169" t="str">
        <f t="shared" si="43"/>
        <v/>
      </c>
      <c r="AA187" s="299" t="str">
        <f t="shared" si="43"/>
        <v/>
      </c>
      <c r="AB187" s="169" t="str">
        <f t="shared" si="44"/>
        <v/>
      </c>
      <c r="AC187" s="169" t="str">
        <f t="shared" si="44"/>
        <v/>
      </c>
      <c r="AD187" s="169" t="str">
        <f t="shared" si="44"/>
        <v/>
      </c>
      <c r="AE187" s="169" t="str">
        <f t="shared" si="44"/>
        <v/>
      </c>
      <c r="AF187" s="169" t="str">
        <f t="shared" si="44"/>
        <v/>
      </c>
      <c r="AG187" s="169" t="str">
        <f t="shared" si="44"/>
        <v/>
      </c>
      <c r="AH187" s="169" t="str">
        <f t="shared" si="44"/>
        <v/>
      </c>
      <c r="AI187" s="169" t="str">
        <f t="shared" si="44"/>
        <v/>
      </c>
      <c r="AJ187" s="299" t="str">
        <f t="shared" si="44"/>
        <v/>
      </c>
      <c r="AK187" s="298" t="str">
        <f t="shared" si="54"/>
        <v/>
      </c>
      <c r="AL187" s="299" t="str">
        <f t="shared" si="55"/>
        <v/>
      </c>
      <c r="AM187" s="169" t="str">
        <f t="shared" si="45"/>
        <v/>
      </c>
      <c r="AN187" s="169" t="str">
        <f t="shared" si="45"/>
        <v/>
      </c>
      <c r="AO187" s="169" t="str">
        <f t="shared" si="45"/>
        <v/>
      </c>
      <c r="AP187" s="169" t="str">
        <f t="shared" si="45"/>
        <v/>
      </c>
      <c r="AQ187" s="169" t="str">
        <f t="shared" si="45"/>
        <v/>
      </c>
      <c r="AR187" s="169" t="str">
        <f t="shared" si="45"/>
        <v/>
      </c>
      <c r="AS187" s="169" t="str">
        <f t="shared" si="45"/>
        <v/>
      </c>
      <c r="AT187" s="169" t="str">
        <f t="shared" si="45"/>
        <v/>
      </c>
      <c r="AU187" s="299" t="str">
        <f t="shared" si="45"/>
        <v/>
      </c>
      <c r="AV187" s="169" t="str">
        <f t="shared" si="25"/>
        <v/>
      </c>
      <c r="AW187" s="169" t="str">
        <f t="shared" si="34"/>
        <v/>
      </c>
      <c r="AX187" s="169" t="str">
        <f t="shared" si="34"/>
        <v/>
      </c>
      <c r="AY187" s="169" t="str">
        <f t="shared" si="50"/>
        <v/>
      </c>
      <c r="AZ187" s="169" t="str">
        <f t="shared" si="50"/>
        <v/>
      </c>
      <c r="BA187" s="299" t="str">
        <f t="shared" si="50"/>
        <v/>
      </c>
      <c r="BB187" s="169" t="str">
        <f t="shared" si="29"/>
        <v/>
      </c>
      <c r="BC187" s="169" t="str">
        <f t="shared" si="33"/>
        <v/>
      </c>
      <c r="BD187" s="169" t="str">
        <f t="shared" si="30"/>
        <v/>
      </c>
      <c r="BE187" s="169" t="str">
        <f t="shared" si="51"/>
        <v/>
      </c>
      <c r="BF187" s="169" t="str">
        <f t="shared" si="51"/>
        <v/>
      </c>
      <c r="BG187" s="169" t="str">
        <f t="shared" si="51"/>
        <v/>
      </c>
      <c r="BH187" s="298" t="str">
        <f t="shared" si="17"/>
        <v/>
      </c>
      <c r="BI187" s="169" t="str">
        <f t="shared" si="28"/>
        <v/>
      </c>
      <c r="BJ187" s="169" t="str">
        <f t="shared" si="46"/>
        <v/>
      </c>
      <c r="BK187" s="169" t="str">
        <f t="shared" si="46"/>
        <v/>
      </c>
      <c r="BL187" s="169" t="str">
        <f t="shared" si="46"/>
        <v/>
      </c>
      <c r="BM187" s="299" t="str">
        <f t="shared" si="46"/>
        <v/>
      </c>
      <c r="BN187" s="298" t="str">
        <f t="shared" si="47"/>
        <v/>
      </c>
      <c r="BO187" s="169" t="str">
        <f t="shared" si="47"/>
        <v/>
      </c>
      <c r="BP187" s="169" t="str">
        <f t="shared" si="47"/>
        <v/>
      </c>
      <c r="BQ187" s="169" t="str">
        <f t="shared" si="47"/>
        <v/>
      </c>
      <c r="BR187" s="169" t="str">
        <f t="shared" si="47"/>
        <v/>
      </c>
      <c r="BS187" s="169" t="str">
        <f t="shared" si="47"/>
        <v/>
      </c>
      <c r="BT187" s="169" t="str">
        <f t="shared" si="47"/>
        <v/>
      </c>
      <c r="BU187" s="169" t="str">
        <f t="shared" si="47"/>
        <v/>
      </c>
      <c r="BV187" s="299" t="str">
        <f t="shared" si="47"/>
        <v/>
      </c>
      <c r="BW187" s="298" t="str">
        <f t="shared" si="48"/>
        <v/>
      </c>
      <c r="BX187" s="169" t="str">
        <f t="shared" si="48"/>
        <v/>
      </c>
      <c r="BY187" s="169" t="str">
        <f t="shared" si="48"/>
        <v/>
      </c>
      <c r="BZ187" s="169" t="str">
        <f t="shared" si="48"/>
        <v/>
      </c>
      <c r="CA187" s="169" t="str">
        <f t="shared" si="48"/>
        <v/>
      </c>
      <c r="CB187" s="169" t="str">
        <f t="shared" si="48"/>
        <v/>
      </c>
      <c r="CC187" s="169" t="str">
        <f t="shared" si="48"/>
        <v/>
      </c>
      <c r="CD187" s="169" t="str">
        <f t="shared" si="48"/>
        <v/>
      </c>
      <c r="CE187" s="299" t="str">
        <f t="shared" si="48"/>
        <v/>
      </c>
      <c r="CF187" s="298" t="str">
        <f t="shared" si="49"/>
        <v/>
      </c>
      <c r="CG187" s="169" t="str">
        <f t="shared" si="49"/>
        <v/>
      </c>
      <c r="CH187" s="169" t="str">
        <f t="shared" si="49"/>
        <v/>
      </c>
      <c r="CI187" s="169" t="str">
        <f t="shared" si="49"/>
        <v/>
      </c>
      <c r="CJ187" s="169" t="str">
        <f t="shared" si="49"/>
        <v/>
      </c>
      <c r="CK187" s="299" t="str">
        <f t="shared" si="49"/>
        <v/>
      </c>
      <c r="CL187" s="298" t="str">
        <f t="shared" si="56"/>
        <v/>
      </c>
      <c r="CM187" s="169" t="str">
        <f t="shared" si="56"/>
        <v/>
      </c>
      <c r="CN187" s="169" t="str">
        <f t="shared" si="56"/>
        <v/>
      </c>
      <c r="CO187" s="169" t="str">
        <f t="shared" si="56"/>
        <v/>
      </c>
      <c r="CP187" s="169" t="str">
        <f t="shared" si="56"/>
        <v/>
      </c>
      <c r="CQ187" s="299" t="str">
        <f t="shared" si="56"/>
        <v/>
      </c>
      <c r="CR187" s="298" t="str">
        <f t="shared" si="56"/>
        <v/>
      </c>
      <c r="CS187" s="169" t="str">
        <f t="shared" si="56"/>
        <v/>
      </c>
      <c r="CT187" s="169" t="str">
        <f t="shared" si="56"/>
        <v/>
      </c>
      <c r="CU187" s="169" t="str">
        <f t="shared" si="56"/>
        <v/>
      </c>
      <c r="CV187" s="169" t="str">
        <f t="shared" si="42"/>
        <v/>
      </c>
      <c r="CW187" s="299" t="str">
        <f t="shared" si="32"/>
        <v/>
      </c>
      <c r="CX187" s="299" t="str">
        <f t="shared" si="32"/>
        <v/>
      </c>
      <c r="CZ187" s="10"/>
      <c r="DB187" s="10">
        <f t="shared" si="23"/>
        <v>11</v>
      </c>
      <c r="DC187" s="10">
        <f t="shared" si="24"/>
        <v>5.5</v>
      </c>
    </row>
    <row r="188" spans="2:107" x14ac:dyDescent="0.25">
      <c r="B188" s="127"/>
      <c r="C188" s="526" t="str">
        <f t="shared" si="52"/>
        <v>Filter-Water softener (13082 (SB-VD))</v>
      </c>
      <c r="D188" s="527">
        <f t="shared" si="53"/>
        <v>1</v>
      </c>
      <c r="G188" s="40"/>
      <c r="Q188" s="47"/>
      <c r="S188" s="298" t="str">
        <f t="shared" si="43"/>
        <v/>
      </c>
      <c r="T188" s="169" t="str">
        <f t="shared" si="43"/>
        <v/>
      </c>
      <c r="U188" s="169" t="str">
        <f t="shared" si="43"/>
        <v/>
      </c>
      <c r="V188" s="169" t="str">
        <f t="shared" si="43"/>
        <v/>
      </c>
      <c r="W188" s="169" t="str">
        <f t="shared" si="43"/>
        <v/>
      </c>
      <c r="X188" s="169" t="str">
        <f t="shared" si="43"/>
        <v/>
      </c>
      <c r="Y188" s="169" t="str">
        <f t="shared" si="43"/>
        <v/>
      </c>
      <c r="Z188" s="169" t="str">
        <f t="shared" si="43"/>
        <v/>
      </c>
      <c r="AA188" s="299" t="str">
        <f t="shared" si="43"/>
        <v/>
      </c>
      <c r="AB188" s="169" t="str">
        <f t="shared" si="44"/>
        <v/>
      </c>
      <c r="AC188" s="169" t="str">
        <f t="shared" si="44"/>
        <v/>
      </c>
      <c r="AD188" s="169" t="str">
        <f t="shared" si="44"/>
        <v/>
      </c>
      <c r="AE188" s="169" t="str">
        <f t="shared" si="44"/>
        <v/>
      </c>
      <c r="AF188" s="169" t="str">
        <f t="shared" si="44"/>
        <v/>
      </c>
      <c r="AG188" s="169" t="str">
        <f t="shared" si="44"/>
        <v/>
      </c>
      <c r="AH188" s="169" t="str">
        <f t="shared" si="44"/>
        <v/>
      </c>
      <c r="AI188" s="169" t="str">
        <f t="shared" si="44"/>
        <v/>
      </c>
      <c r="AJ188" s="299" t="str">
        <f t="shared" si="44"/>
        <v/>
      </c>
      <c r="AK188" s="298" t="str">
        <f t="shared" si="54"/>
        <v/>
      </c>
      <c r="AL188" s="299" t="str">
        <f t="shared" si="55"/>
        <v/>
      </c>
      <c r="AM188" s="169" t="str">
        <f t="shared" si="45"/>
        <v/>
      </c>
      <c r="AN188" s="169" t="str">
        <f t="shared" si="45"/>
        <v/>
      </c>
      <c r="AO188" s="169" t="str">
        <f t="shared" si="45"/>
        <v/>
      </c>
      <c r="AP188" s="169" t="str">
        <f t="shared" si="45"/>
        <v/>
      </c>
      <c r="AQ188" s="169" t="str">
        <f t="shared" si="45"/>
        <v/>
      </c>
      <c r="AR188" s="169" t="str">
        <f t="shared" si="45"/>
        <v/>
      </c>
      <c r="AS188" s="169" t="str">
        <f t="shared" si="45"/>
        <v/>
      </c>
      <c r="AT188" s="169" t="str">
        <f t="shared" si="45"/>
        <v/>
      </c>
      <c r="AU188" s="299" t="str">
        <f t="shared" si="45"/>
        <v/>
      </c>
      <c r="AV188" s="169" t="str">
        <f t="shared" si="25"/>
        <v/>
      </c>
      <c r="AW188" s="169" t="str">
        <f t="shared" si="34"/>
        <v/>
      </c>
      <c r="AX188" s="169" t="str">
        <f t="shared" si="34"/>
        <v/>
      </c>
      <c r="AY188" s="169" t="str">
        <f t="shared" si="50"/>
        <v/>
      </c>
      <c r="AZ188" s="169" t="str">
        <f t="shared" si="50"/>
        <v/>
      </c>
      <c r="BA188" s="299" t="str">
        <f t="shared" si="50"/>
        <v/>
      </c>
      <c r="BB188" s="169" t="str">
        <f t="shared" si="29"/>
        <v/>
      </c>
      <c r="BC188" s="169" t="str">
        <f t="shared" si="33"/>
        <v/>
      </c>
      <c r="BD188" s="169" t="str">
        <f t="shared" si="30"/>
        <v/>
      </c>
      <c r="BE188" s="169" t="str">
        <f t="shared" si="51"/>
        <v/>
      </c>
      <c r="BF188" s="169" t="str">
        <f t="shared" si="51"/>
        <v/>
      </c>
      <c r="BG188" s="169" t="str">
        <f t="shared" si="51"/>
        <v/>
      </c>
      <c r="BH188" s="298" t="str">
        <f t="shared" si="17"/>
        <v/>
      </c>
      <c r="BI188" s="169" t="str">
        <f t="shared" si="28"/>
        <v/>
      </c>
      <c r="BJ188" s="169" t="str">
        <f t="shared" si="46"/>
        <v/>
      </c>
      <c r="BK188" s="169" t="str">
        <f t="shared" si="46"/>
        <v/>
      </c>
      <c r="BL188" s="169" t="str">
        <f t="shared" si="46"/>
        <v/>
      </c>
      <c r="BM188" s="299" t="str">
        <f t="shared" si="46"/>
        <v/>
      </c>
      <c r="BN188" s="298" t="str">
        <f t="shared" si="47"/>
        <v/>
      </c>
      <c r="BO188" s="169" t="str">
        <f t="shared" si="47"/>
        <v/>
      </c>
      <c r="BP188" s="169" t="str">
        <f t="shared" si="47"/>
        <v/>
      </c>
      <c r="BQ188" s="169" t="str">
        <f t="shared" si="47"/>
        <v/>
      </c>
      <c r="BR188" s="169" t="str">
        <f t="shared" si="47"/>
        <v/>
      </c>
      <c r="BS188" s="169" t="str">
        <f t="shared" si="47"/>
        <v/>
      </c>
      <c r="BT188" s="169" t="str">
        <f t="shared" si="47"/>
        <v/>
      </c>
      <c r="BU188" s="169" t="str">
        <f t="shared" si="47"/>
        <v/>
      </c>
      <c r="BV188" s="299" t="str">
        <f t="shared" si="47"/>
        <v/>
      </c>
      <c r="BW188" s="298" t="str">
        <f t="shared" si="48"/>
        <v/>
      </c>
      <c r="BX188" s="169" t="str">
        <f t="shared" si="48"/>
        <v/>
      </c>
      <c r="BY188" s="169" t="str">
        <f t="shared" si="48"/>
        <v/>
      </c>
      <c r="BZ188" s="169" t="str">
        <f t="shared" si="48"/>
        <v/>
      </c>
      <c r="CA188" s="169" t="str">
        <f t="shared" si="48"/>
        <v/>
      </c>
      <c r="CB188" s="169" t="str">
        <f t="shared" si="48"/>
        <v/>
      </c>
      <c r="CC188" s="169" t="str">
        <f t="shared" si="48"/>
        <v/>
      </c>
      <c r="CD188" s="169" t="str">
        <f t="shared" si="48"/>
        <v/>
      </c>
      <c r="CE188" s="299" t="str">
        <f t="shared" si="48"/>
        <v/>
      </c>
      <c r="CF188" s="298" t="str">
        <f t="shared" si="49"/>
        <v/>
      </c>
      <c r="CG188" s="169" t="str">
        <f t="shared" si="49"/>
        <v/>
      </c>
      <c r="CH188" s="169" t="str">
        <f t="shared" si="49"/>
        <v/>
      </c>
      <c r="CI188" s="169" t="str">
        <f t="shared" si="49"/>
        <v/>
      </c>
      <c r="CJ188" s="169" t="str">
        <f t="shared" si="49"/>
        <v/>
      </c>
      <c r="CK188" s="299" t="str">
        <f t="shared" si="49"/>
        <v/>
      </c>
      <c r="CL188" s="298" t="str">
        <f t="shared" si="56"/>
        <v/>
      </c>
      <c r="CM188" s="169" t="str">
        <f t="shared" si="56"/>
        <v/>
      </c>
      <c r="CN188" s="169" t="str">
        <f t="shared" si="56"/>
        <v/>
      </c>
      <c r="CO188" s="169" t="str">
        <f t="shared" si="56"/>
        <v/>
      </c>
      <c r="CP188" s="169" t="str">
        <f t="shared" si="56"/>
        <v/>
      </c>
      <c r="CQ188" s="299" t="str">
        <f t="shared" si="56"/>
        <v/>
      </c>
      <c r="CR188" s="298" t="str">
        <f t="shared" si="56"/>
        <v/>
      </c>
      <c r="CS188" s="169" t="str">
        <f t="shared" si="56"/>
        <v/>
      </c>
      <c r="CT188" s="169" t="str">
        <f t="shared" si="56"/>
        <v/>
      </c>
      <c r="CU188" s="169" t="str">
        <f t="shared" si="56"/>
        <v/>
      </c>
      <c r="CV188" s="169" t="str">
        <f t="shared" si="42"/>
        <v/>
      </c>
      <c r="CW188" s="299" t="str">
        <f t="shared" si="32"/>
        <v/>
      </c>
      <c r="CX188" s="299" t="str">
        <f t="shared" si="32"/>
        <v/>
      </c>
      <c r="CZ188" s="10"/>
      <c r="DB188" s="10">
        <f t="shared" si="23"/>
        <v>11</v>
      </c>
      <c r="DC188" s="10">
        <f t="shared" si="24"/>
        <v>5.5</v>
      </c>
    </row>
    <row r="189" spans="2:107" x14ac:dyDescent="0.25">
      <c r="B189" s="127"/>
      <c r="C189" s="526" t="str">
        <f t="shared" si="52"/>
        <v>Filter-Pre-filtration (13076 (SB-VD))</v>
      </c>
      <c r="D189" s="527">
        <f t="shared" si="53"/>
        <v>1</v>
      </c>
      <c r="G189" s="40"/>
      <c r="Q189" s="47"/>
      <c r="S189" s="298" t="str">
        <f t="shared" si="43"/>
        <v/>
      </c>
      <c r="T189" s="169" t="str">
        <f t="shared" si="43"/>
        <v/>
      </c>
      <c r="U189" s="169" t="str">
        <f t="shared" si="43"/>
        <v/>
      </c>
      <c r="V189" s="169" t="str">
        <f t="shared" si="43"/>
        <v/>
      </c>
      <c r="W189" s="169" t="str">
        <f t="shared" si="43"/>
        <v/>
      </c>
      <c r="X189" s="169" t="str">
        <f t="shared" si="43"/>
        <v/>
      </c>
      <c r="Y189" s="169" t="str">
        <f t="shared" si="43"/>
        <v/>
      </c>
      <c r="Z189" s="169" t="str">
        <f t="shared" si="43"/>
        <v/>
      </c>
      <c r="AA189" s="299" t="str">
        <f t="shared" si="43"/>
        <v/>
      </c>
      <c r="AB189" s="169" t="str">
        <f t="shared" si="44"/>
        <v/>
      </c>
      <c r="AC189" s="169" t="str">
        <f t="shared" si="44"/>
        <v/>
      </c>
      <c r="AD189" s="169" t="str">
        <f t="shared" si="44"/>
        <v/>
      </c>
      <c r="AE189" s="169" t="str">
        <f t="shared" si="44"/>
        <v/>
      </c>
      <c r="AF189" s="169" t="str">
        <f t="shared" si="44"/>
        <v/>
      </c>
      <c r="AG189" s="169" t="str">
        <f t="shared" si="44"/>
        <v/>
      </c>
      <c r="AH189" s="169" t="str">
        <f t="shared" si="44"/>
        <v/>
      </c>
      <c r="AI189" s="169" t="str">
        <f t="shared" si="44"/>
        <v/>
      </c>
      <c r="AJ189" s="299" t="str">
        <f t="shared" si="44"/>
        <v/>
      </c>
      <c r="AK189" s="298" t="str">
        <f t="shared" si="54"/>
        <v/>
      </c>
      <c r="AL189" s="299" t="str">
        <f t="shared" si="55"/>
        <v/>
      </c>
      <c r="AM189" s="169" t="str">
        <f t="shared" si="45"/>
        <v/>
      </c>
      <c r="AN189" s="169" t="str">
        <f t="shared" si="45"/>
        <v/>
      </c>
      <c r="AO189" s="169" t="str">
        <f t="shared" si="45"/>
        <v/>
      </c>
      <c r="AP189" s="169" t="str">
        <f t="shared" si="45"/>
        <v/>
      </c>
      <c r="AQ189" s="169" t="str">
        <f t="shared" si="45"/>
        <v/>
      </c>
      <c r="AR189" s="169" t="str">
        <f t="shared" si="45"/>
        <v/>
      </c>
      <c r="AS189" s="169" t="str">
        <f t="shared" si="45"/>
        <v/>
      </c>
      <c r="AT189" s="169" t="str">
        <f t="shared" si="45"/>
        <v/>
      </c>
      <c r="AU189" s="299" t="str">
        <f t="shared" si="45"/>
        <v/>
      </c>
      <c r="AV189" s="169" t="str">
        <f t="shared" si="25"/>
        <v/>
      </c>
      <c r="AW189" s="169" t="str">
        <f t="shared" si="34"/>
        <v/>
      </c>
      <c r="AX189" s="169" t="str">
        <f t="shared" si="34"/>
        <v/>
      </c>
      <c r="AY189" s="169" t="str">
        <f t="shared" si="50"/>
        <v/>
      </c>
      <c r="AZ189" s="169" t="str">
        <f t="shared" si="50"/>
        <v/>
      </c>
      <c r="BA189" s="299" t="str">
        <f t="shared" si="50"/>
        <v/>
      </c>
      <c r="BB189" s="169" t="str">
        <f t="shared" si="29"/>
        <v/>
      </c>
      <c r="BC189" s="169" t="str">
        <f t="shared" si="33"/>
        <v/>
      </c>
      <c r="BD189" s="169" t="str">
        <f t="shared" si="30"/>
        <v/>
      </c>
      <c r="BE189" s="169" t="str">
        <f t="shared" si="51"/>
        <v/>
      </c>
      <c r="BF189" s="169" t="str">
        <f t="shared" si="51"/>
        <v/>
      </c>
      <c r="BG189" s="169" t="str">
        <f t="shared" si="51"/>
        <v/>
      </c>
      <c r="BH189" s="298" t="str">
        <f t="shared" si="17"/>
        <v/>
      </c>
      <c r="BI189" s="169" t="str">
        <f t="shared" si="28"/>
        <v/>
      </c>
      <c r="BJ189" s="169" t="str">
        <f t="shared" si="46"/>
        <v/>
      </c>
      <c r="BK189" s="169" t="str">
        <f t="shared" si="46"/>
        <v/>
      </c>
      <c r="BL189" s="169" t="str">
        <f t="shared" si="46"/>
        <v/>
      </c>
      <c r="BM189" s="299" t="str">
        <f t="shared" si="46"/>
        <v/>
      </c>
      <c r="BN189" s="298" t="str">
        <f t="shared" si="47"/>
        <v/>
      </c>
      <c r="BO189" s="169" t="str">
        <f t="shared" si="47"/>
        <v/>
      </c>
      <c r="BP189" s="169" t="str">
        <f t="shared" si="47"/>
        <v/>
      </c>
      <c r="BQ189" s="169" t="str">
        <f t="shared" si="47"/>
        <v/>
      </c>
      <c r="BR189" s="169" t="str">
        <f t="shared" si="47"/>
        <v/>
      </c>
      <c r="BS189" s="169" t="str">
        <f t="shared" si="47"/>
        <v/>
      </c>
      <c r="BT189" s="169" t="str">
        <f t="shared" si="47"/>
        <v/>
      </c>
      <c r="BU189" s="169" t="str">
        <f t="shared" si="47"/>
        <v/>
      </c>
      <c r="BV189" s="299" t="str">
        <f t="shared" si="47"/>
        <v/>
      </c>
      <c r="BW189" s="298" t="str">
        <f t="shared" si="48"/>
        <v/>
      </c>
      <c r="BX189" s="169" t="str">
        <f t="shared" si="48"/>
        <v/>
      </c>
      <c r="BY189" s="169" t="str">
        <f t="shared" si="48"/>
        <v/>
      </c>
      <c r="BZ189" s="169" t="str">
        <f t="shared" si="48"/>
        <v/>
      </c>
      <c r="CA189" s="169" t="str">
        <f t="shared" si="48"/>
        <v/>
      </c>
      <c r="CB189" s="169" t="str">
        <f t="shared" si="48"/>
        <v/>
      </c>
      <c r="CC189" s="169" t="str">
        <f t="shared" si="48"/>
        <v/>
      </c>
      <c r="CD189" s="169" t="str">
        <f t="shared" si="48"/>
        <v/>
      </c>
      <c r="CE189" s="299" t="str">
        <f t="shared" si="48"/>
        <v/>
      </c>
      <c r="CF189" s="298" t="str">
        <f t="shared" si="49"/>
        <v/>
      </c>
      <c r="CG189" s="169" t="str">
        <f t="shared" si="49"/>
        <v/>
      </c>
      <c r="CH189" s="169" t="str">
        <f t="shared" si="49"/>
        <v/>
      </c>
      <c r="CI189" s="169" t="str">
        <f t="shared" si="49"/>
        <v/>
      </c>
      <c r="CJ189" s="169" t="str">
        <f t="shared" si="49"/>
        <v/>
      </c>
      <c r="CK189" s="299" t="str">
        <f t="shared" si="49"/>
        <v/>
      </c>
      <c r="CL189" s="298" t="str">
        <f t="shared" si="56"/>
        <v/>
      </c>
      <c r="CM189" s="169" t="str">
        <f t="shared" si="56"/>
        <v/>
      </c>
      <c r="CN189" s="169" t="str">
        <f t="shared" si="56"/>
        <v/>
      </c>
      <c r="CO189" s="169" t="str">
        <f t="shared" si="56"/>
        <v/>
      </c>
      <c r="CP189" s="169" t="str">
        <f t="shared" si="56"/>
        <v/>
      </c>
      <c r="CQ189" s="299" t="str">
        <f t="shared" si="56"/>
        <v/>
      </c>
      <c r="CR189" s="298" t="str">
        <f t="shared" si="56"/>
        <v/>
      </c>
      <c r="CS189" s="169" t="str">
        <f t="shared" si="56"/>
        <v/>
      </c>
      <c r="CT189" s="169" t="str">
        <f t="shared" si="56"/>
        <v/>
      </c>
      <c r="CU189" s="169" t="str">
        <f t="shared" si="56"/>
        <v/>
      </c>
      <c r="CV189" s="169" t="str">
        <f t="shared" si="42"/>
        <v/>
      </c>
      <c r="CW189" s="299" t="str">
        <f t="shared" si="32"/>
        <v/>
      </c>
      <c r="CX189" s="299" t="str">
        <f t="shared" si="32"/>
        <v/>
      </c>
      <c r="CZ189" s="10"/>
      <c r="DB189" s="10">
        <f t="shared" si="23"/>
        <v>11</v>
      </c>
      <c r="DC189" s="10">
        <f t="shared" si="24"/>
        <v>5.5</v>
      </c>
    </row>
    <row r="190" spans="2:107" x14ac:dyDescent="0.25">
      <c r="B190" s="127"/>
      <c r="C190" s="526" t="str">
        <f t="shared" si="52"/>
        <v>Filter-Polyglass vessel (12899 (SB-VD))</v>
      </c>
      <c r="D190" s="527">
        <f t="shared" si="53"/>
        <v>2</v>
      </c>
      <c r="G190" s="40"/>
      <c r="Q190" s="47"/>
      <c r="S190" s="298" t="str">
        <f t="shared" si="43"/>
        <v/>
      </c>
      <c r="T190" s="169" t="str">
        <f t="shared" si="43"/>
        <v/>
      </c>
      <c r="U190" s="169" t="str">
        <f t="shared" si="43"/>
        <v/>
      </c>
      <c r="V190" s="169" t="str">
        <f t="shared" si="43"/>
        <v/>
      </c>
      <c r="W190" s="169" t="str">
        <f t="shared" si="43"/>
        <v/>
      </c>
      <c r="X190" s="169" t="str">
        <f t="shared" si="43"/>
        <v/>
      </c>
      <c r="Y190" s="169" t="str">
        <f t="shared" si="43"/>
        <v/>
      </c>
      <c r="Z190" s="169" t="str">
        <f t="shared" si="43"/>
        <v/>
      </c>
      <c r="AA190" s="299" t="str">
        <f t="shared" si="43"/>
        <v/>
      </c>
      <c r="AB190" s="169" t="str">
        <f t="shared" si="44"/>
        <v/>
      </c>
      <c r="AC190" s="169" t="str">
        <f t="shared" si="44"/>
        <v/>
      </c>
      <c r="AD190" s="169" t="str">
        <f t="shared" si="44"/>
        <v/>
      </c>
      <c r="AE190" s="169" t="str">
        <f t="shared" si="44"/>
        <v/>
      </c>
      <c r="AF190" s="169" t="str">
        <f t="shared" si="44"/>
        <v/>
      </c>
      <c r="AG190" s="169" t="str">
        <f t="shared" si="44"/>
        <v/>
      </c>
      <c r="AH190" s="169" t="str">
        <f t="shared" si="44"/>
        <v/>
      </c>
      <c r="AI190" s="169" t="str">
        <f t="shared" si="44"/>
        <v/>
      </c>
      <c r="AJ190" s="299" t="str">
        <f t="shared" si="44"/>
        <v/>
      </c>
      <c r="AK190" s="298" t="str">
        <f t="shared" si="54"/>
        <v/>
      </c>
      <c r="AL190" s="299" t="str">
        <f t="shared" si="55"/>
        <v/>
      </c>
      <c r="AM190" s="169" t="str">
        <f t="shared" si="45"/>
        <v/>
      </c>
      <c r="AN190" s="169" t="str">
        <f t="shared" si="45"/>
        <v/>
      </c>
      <c r="AO190" s="169" t="str">
        <f t="shared" si="45"/>
        <v/>
      </c>
      <c r="AP190" s="169" t="str">
        <f t="shared" si="45"/>
        <v/>
      </c>
      <c r="AQ190" s="169" t="str">
        <f t="shared" si="45"/>
        <v/>
      </c>
      <c r="AR190" s="169" t="str">
        <f t="shared" si="45"/>
        <v/>
      </c>
      <c r="AS190" s="169" t="str">
        <f t="shared" si="45"/>
        <v/>
      </c>
      <c r="AT190" s="169" t="str">
        <f t="shared" si="45"/>
        <v/>
      </c>
      <c r="AU190" s="299" t="str">
        <f t="shared" si="45"/>
        <v/>
      </c>
      <c r="AV190" s="169" t="str">
        <f t="shared" si="25"/>
        <v/>
      </c>
      <c r="AW190" s="169" t="str">
        <f t="shared" si="34"/>
        <v/>
      </c>
      <c r="AX190" s="169" t="str">
        <f t="shared" si="34"/>
        <v/>
      </c>
      <c r="AY190" s="169" t="str">
        <f t="shared" si="50"/>
        <v/>
      </c>
      <c r="AZ190" s="169" t="str">
        <f t="shared" si="50"/>
        <v/>
      </c>
      <c r="BA190" s="299" t="str">
        <f t="shared" si="50"/>
        <v/>
      </c>
      <c r="BB190" s="169" t="str">
        <f t="shared" si="29"/>
        <v/>
      </c>
      <c r="BC190" s="169" t="str">
        <f t="shared" si="33"/>
        <v/>
      </c>
      <c r="BD190" s="169" t="str">
        <f t="shared" si="30"/>
        <v/>
      </c>
      <c r="BE190" s="169" t="str">
        <f t="shared" si="51"/>
        <v/>
      </c>
      <c r="BF190" s="169" t="str">
        <f t="shared" si="51"/>
        <v/>
      </c>
      <c r="BG190" s="169" t="str">
        <f t="shared" si="51"/>
        <v/>
      </c>
      <c r="BH190" s="298" t="str">
        <f t="shared" si="17"/>
        <v/>
      </c>
      <c r="BI190" s="169" t="str">
        <f t="shared" si="28"/>
        <v/>
      </c>
      <c r="BJ190" s="169" t="str">
        <f t="shared" si="46"/>
        <v/>
      </c>
      <c r="BK190" s="169" t="str">
        <f t="shared" si="46"/>
        <v/>
      </c>
      <c r="BL190" s="169" t="str">
        <f t="shared" si="46"/>
        <v/>
      </c>
      <c r="BM190" s="299" t="str">
        <f t="shared" si="46"/>
        <v/>
      </c>
      <c r="BN190" s="298" t="str">
        <f t="shared" si="47"/>
        <v/>
      </c>
      <c r="BO190" s="169" t="str">
        <f t="shared" si="47"/>
        <v/>
      </c>
      <c r="BP190" s="169" t="str">
        <f t="shared" si="47"/>
        <v/>
      </c>
      <c r="BQ190" s="169" t="str">
        <f t="shared" si="47"/>
        <v/>
      </c>
      <c r="BR190" s="169" t="str">
        <f t="shared" si="47"/>
        <v/>
      </c>
      <c r="BS190" s="169" t="str">
        <f t="shared" si="47"/>
        <v/>
      </c>
      <c r="BT190" s="169" t="str">
        <f t="shared" si="47"/>
        <v/>
      </c>
      <c r="BU190" s="169" t="str">
        <f t="shared" si="47"/>
        <v/>
      </c>
      <c r="BV190" s="299" t="str">
        <f t="shared" si="47"/>
        <v/>
      </c>
      <c r="BW190" s="298" t="str">
        <f t="shared" si="48"/>
        <v/>
      </c>
      <c r="BX190" s="169" t="str">
        <f t="shared" si="48"/>
        <v/>
      </c>
      <c r="BY190" s="169" t="str">
        <f t="shared" si="48"/>
        <v/>
      </c>
      <c r="BZ190" s="169" t="str">
        <f t="shared" si="48"/>
        <v/>
      </c>
      <c r="CA190" s="169" t="str">
        <f t="shared" si="48"/>
        <v/>
      </c>
      <c r="CB190" s="169" t="str">
        <f t="shared" si="48"/>
        <v/>
      </c>
      <c r="CC190" s="169" t="str">
        <f t="shared" si="48"/>
        <v/>
      </c>
      <c r="CD190" s="169" t="str">
        <f t="shared" si="48"/>
        <v/>
      </c>
      <c r="CE190" s="299" t="str">
        <f t="shared" si="48"/>
        <v/>
      </c>
      <c r="CF190" s="298" t="str">
        <f t="shared" si="49"/>
        <v/>
      </c>
      <c r="CG190" s="169" t="str">
        <f t="shared" si="49"/>
        <v/>
      </c>
      <c r="CH190" s="169" t="str">
        <f t="shared" si="49"/>
        <v/>
      </c>
      <c r="CI190" s="169" t="str">
        <f t="shared" si="49"/>
        <v/>
      </c>
      <c r="CJ190" s="169" t="str">
        <f t="shared" si="49"/>
        <v/>
      </c>
      <c r="CK190" s="299" t="str">
        <f t="shared" si="49"/>
        <v/>
      </c>
      <c r="CL190" s="298" t="str">
        <f t="shared" si="56"/>
        <v/>
      </c>
      <c r="CM190" s="169" t="str">
        <f t="shared" si="56"/>
        <v/>
      </c>
      <c r="CN190" s="169" t="str">
        <f t="shared" si="56"/>
        <v/>
      </c>
      <c r="CO190" s="169" t="str">
        <f t="shared" si="56"/>
        <v/>
      </c>
      <c r="CP190" s="169" t="str">
        <f t="shared" si="56"/>
        <v/>
      </c>
      <c r="CQ190" s="299" t="str">
        <f t="shared" si="56"/>
        <v/>
      </c>
      <c r="CR190" s="298" t="str">
        <f t="shared" si="56"/>
        <v/>
      </c>
      <c r="CS190" s="169" t="str">
        <f t="shared" si="56"/>
        <v/>
      </c>
      <c r="CT190" s="169" t="str">
        <f t="shared" si="56"/>
        <v/>
      </c>
      <c r="CU190" s="169" t="str">
        <f t="shared" si="56"/>
        <v/>
      </c>
      <c r="CV190" s="169" t="str">
        <f t="shared" si="42"/>
        <v/>
      </c>
      <c r="CW190" s="299" t="str">
        <f t="shared" si="32"/>
        <v/>
      </c>
      <c r="CX190" s="299" t="str">
        <f t="shared" si="32"/>
        <v/>
      </c>
      <c r="CZ190" s="10"/>
      <c r="DB190" s="10">
        <f t="shared" si="23"/>
        <v>22</v>
      </c>
      <c r="DC190" s="10">
        <f t="shared" si="24"/>
        <v>11</v>
      </c>
    </row>
    <row r="191" spans="2:107" x14ac:dyDescent="0.25">
      <c r="B191" s="127"/>
      <c r="C191" s="526" t="str">
        <f t="shared" si="52"/>
        <v>Filter-Brine Tank (12896 (SB-VD))</v>
      </c>
      <c r="D191" s="527">
        <f t="shared" si="53"/>
        <v>1</v>
      </c>
      <c r="G191" s="40"/>
      <c r="Q191" s="47"/>
      <c r="S191" s="298" t="str">
        <f t="shared" si="43"/>
        <v/>
      </c>
      <c r="T191" s="169" t="str">
        <f t="shared" si="43"/>
        <v/>
      </c>
      <c r="U191" s="169" t="str">
        <f t="shared" si="43"/>
        <v/>
      </c>
      <c r="V191" s="169" t="str">
        <f t="shared" si="43"/>
        <v/>
      </c>
      <c r="W191" s="169" t="str">
        <f t="shared" si="43"/>
        <v/>
      </c>
      <c r="X191" s="169" t="str">
        <f t="shared" si="43"/>
        <v/>
      </c>
      <c r="Y191" s="169" t="str">
        <f t="shared" si="43"/>
        <v/>
      </c>
      <c r="Z191" s="169" t="str">
        <f t="shared" si="43"/>
        <v/>
      </c>
      <c r="AA191" s="299" t="str">
        <f t="shared" si="43"/>
        <v/>
      </c>
      <c r="AB191" s="169" t="str">
        <f t="shared" si="44"/>
        <v/>
      </c>
      <c r="AC191" s="169" t="str">
        <f t="shared" si="44"/>
        <v/>
      </c>
      <c r="AD191" s="169" t="str">
        <f t="shared" si="44"/>
        <v/>
      </c>
      <c r="AE191" s="169" t="str">
        <f t="shared" si="44"/>
        <v/>
      </c>
      <c r="AF191" s="169" t="str">
        <f t="shared" si="44"/>
        <v/>
      </c>
      <c r="AG191" s="169" t="str">
        <f t="shared" si="44"/>
        <v/>
      </c>
      <c r="AH191" s="169" t="str">
        <f t="shared" si="44"/>
        <v/>
      </c>
      <c r="AI191" s="169" t="str">
        <f t="shared" si="44"/>
        <v/>
      </c>
      <c r="AJ191" s="299" t="str">
        <f t="shared" si="44"/>
        <v/>
      </c>
      <c r="AK191" s="298" t="str">
        <f t="shared" si="54"/>
        <v/>
      </c>
      <c r="AL191" s="299" t="str">
        <f t="shared" si="55"/>
        <v/>
      </c>
      <c r="AM191" s="169" t="str">
        <f t="shared" si="45"/>
        <v/>
      </c>
      <c r="AN191" s="169" t="str">
        <f t="shared" si="45"/>
        <v/>
      </c>
      <c r="AO191" s="169" t="str">
        <f t="shared" si="45"/>
        <v/>
      </c>
      <c r="AP191" s="169" t="str">
        <f t="shared" si="45"/>
        <v/>
      </c>
      <c r="AQ191" s="169" t="str">
        <f t="shared" si="45"/>
        <v/>
      </c>
      <c r="AR191" s="169" t="str">
        <f t="shared" si="45"/>
        <v/>
      </c>
      <c r="AS191" s="169" t="str">
        <f t="shared" si="45"/>
        <v/>
      </c>
      <c r="AT191" s="169" t="str">
        <f t="shared" si="45"/>
        <v/>
      </c>
      <c r="AU191" s="299" t="str">
        <f t="shared" si="45"/>
        <v/>
      </c>
      <c r="AV191" s="169" t="str">
        <f t="shared" si="25"/>
        <v/>
      </c>
      <c r="AW191" s="169" t="str">
        <f t="shared" ref="AW191:AX210" si="57">IF($J191=AW$159,$DC191,"")</f>
        <v/>
      </c>
      <c r="AX191" s="169" t="str">
        <f t="shared" si="57"/>
        <v/>
      </c>
      <c r="AY191" s="169" t="str">
        <f t="shared" si="50"/>
        <v/>
      </c>
      <c r="AZ191" s="169" t="str">
        <f t="shared" si="50"/>
        <v/>
      </c>
      <c r="BA191" s="299" t="str">
        <f t="shared" si="50"/>
        <v/>
      </c>
      <c r="BB191" s="169" t="str">
        <f t="shared" si="29"/>
        <v/>
      </c>
      <c r="BC191" s="169" t="str">
        <f t="shared" si="33"/>
        <v/>
      </c>
      <c r="BD191" s="169" t="str">
        <f t="shared" si="30"/>
        <v/>
      </c>
      <c r="BE191" s="169" t="str">
        <f t="shared" si="51"/>
        <v/>
      </c>
      <c r="BF191" s="169" t="str">
        <f t="shared" si="51"/>
        <v/>
      </c>
      <c r="BG191" s="169" t="str">
        <f t="shared" si="51"/>
        <v/>
      </c>
      <c r="BH191" s="298" t="str">
        <f t="shared" si="17"/>
        <v/>
      </c>
      <c r="BI191" s="169" t="str">
        <f t="shared" si="28"/>
        <v/>
      </c>
      <c r="BJ191" s="169" t="str">
        <f t="shared" si="46"/>
        <v/>
      </c>
      <c r="BK191" s="169" t="str">
        <f t="shared" si="46"/>
        <v/>
      </c>
      <c r="BL191" s="169" t="str">
        <f t="shared" si="46"/>
        <v/>
      </c>
      <c r="BM191" s="299" t="str">
        <f t="shared" si="46"/>
        <v/>
      </c>
      <c r="BN191" s="298" t="str">
        <f t="shared" si="47"/>
        <v/>
      </c>
      <c r="BO191" s="169" t="str">
        <f t="shared" si="47"/>
        <v/>
      </c>
      <c r="BP191" s="169" t="str">
        <f t="shared" si="47"/>
        <v/>
      </c>
      <c r="BQ191" s="169" t="str">
        <f t="shared" si="47"/>
        <v/>
      </c>
      <c r="BR191" s="169" t="str">
        <f t="shared" si="47"/>
        <v/>
      </c>
      <c r="BS191" s="169" t="str">
        <f t="shared" si="47"/>
        <v/>
      </c>
      <c r="BT191" s="169" t="str">
        <f t="shared" si="47"/>
        <v/>
      </c>
      <c r="BU191" s="169" t="str">
        <f t="shared" si="47"/>
        <v/>
      </c>
      <c r="BV191" s="299" t="str">
        <f t="shared" si="47"/>
        <v/>
      </c>
      <c r="BW191" s="298" t="str">
        <f t="shared" si="48"/>
        <v/>
      </c>
      <c r="BX191" s="169" t="str">
        <f t="shared" si="48"/>
        <v/>
      </c>
      <c r="BY191" s="169" t="str">
        <f t="shared" si="48"/>
        <v/>
      </c>
      <c r="BZ191" s="169" t="str">
        <f t="shared" si="48"/>
        <v/>
      </c>
      <c r="CA191" s="169" t="str">
        <f t="shared" si="48"/>
        <v/>
      </c>
      <c r="CB191" s="169" t="str">
        <f t="shared" si="48"/>
        <v/>
      </c>
      <c r="CC191" s="169" t="str">
        <f t="shared" si="48"/>
        <v/>
      </c>
      <c r="CD191" s="169" t="str">
        <f t="shared" si="48"/>
        <v/>
      </c>
      <c r="CE191" s="299" t="str">
        <f t="shared" si="48"/>
        <v/>
      </c>
      <c r="CF191" s="298" t="str">
        <f t="shared" si="49"/>
        <v/>
      </c>
      <c r="CG191" s="169" t="str">
        <f t="shared" si="49"/>
        <v/>
      </c>
      <c r="CH191" s="169" t="str">
        <f t="shared" si="49"/>
        <v/>
      </c>
      <c r="CI191" s="169" t="str">
        <f t="shared" si="49"/>
        <v/>
      </c>
      <c r="CJ191" s="169" t="str">
        <f t="shared" si="49"/>
        <v/>
      </c>
      <c r="CK191" s="299" t="str">
        <f t="shared" si="49"/>
        <v/>
      </c>
      <c r="CL191" s="298" t="str">
        <f t="shared" si="56"/>
        <v/>
      </c>
      <c r="CM191" s="169" t="str">
        <f t="shared" si="56"/>
        <v/>
      </c>
      <c r="CN191" s="169" t="str">
        <f t="shared" si="56"/>
        <v/>
      </c>
      <c r="CO191" s="169" t="str">
        <f t="shared" si="56"/>
        <v/>
      </c>
      <c r="CP191" s="169" t="str">
        <f t="shared" si="56"/>
        <v/>
      </c>
      <c r="CQ191" s="299" t="str">
        <f t="shared" si="56"/>
        <v/>
      </c>
      <c r="CR191" s="298" t="str">
        <f t="shared" si="56"/>
        <v/>
      </c>
      <c r="CS191" s="169" t="str">
        <f t="shared" si="56"/>
        <v/>
      </c>
      <c r="CT191" s="169" t="str">
        <f t="shared" si="56"/>
        <v/>
      </c>
      <c r="CU191" s="169" t="str">
        <f t="shared" si="56"/>
        <v/>
      </c>
      <c r="CV191" s="169" t="str">
        <f t="shared" si="42"/>
        <v/>
      </c>
      <c r="CW191" s="299" t="str">
        <f t="shared" si="32"/>
        <v/>
      </c>
      <c r="CX191" s="299" t="str">
        <f t="shared" si="32"/>
        <v/>
      </c>
      <c r="CZ191" s="10"/>
      <c r="DB191" s="10">
        <f t="shared" si="23"/>
        <v>11</v>
      </c>
      <c r="DC191" s="10">
        <f t="shared" si="24"/>
        <v>5.5</v>
      </c>
    </row>
    <row r="192" spans="2:107" x14ac:dyDescent="0.25">
      <c r="B192" s="127"/>
      <c r="C192" s="526" t="str">
        <f t="shared" si="52"/>
        <v>Filter - RO storage tank (12507 (SB-VD))</v>
      </c>
      <c r="D192" s="527">
        <f t="shared" si="53"/>
        <v>1</v>
      </c>
      <c r="G192" s="40"/>
      <c r="Q192" s="47"/>
      <c r="S192" s="298" t="str">
        <f t="shared" ref="S192:AA201" si="58">IF($G192=S$159,$DB192,"")</f>
        <v/>
      </c>
      <c r="T192" s="169" t="str">
        <f t="shared" si="58"/>
        <v/>
      </c>
      <c r="U192" s="169" t="str">
        <f t="shared" si="58"/>
        <v/>
      </c>
      <c r="V192" s="169" t="str">
        <f t="shared" si="58"/>
        <v/>
      </c>
      <c r="W192" s="169" t="str">
        <f t="shared" si="58"/>
        <v/>
      </c>
      <c r="X192" s="169" t="str">
        <f t="shared" si="58"/>
        <v/>
      </c>
      <c r="Y192" s="169" t="str">
        <f t="shared" si="58"/>
        <v/>
      </c>
      <c r="Z192" s="169" t="str">
        <f t="shared" si="58"/>
        <v/>
      </c>
      <c r="AA192" s="299" t="str">
        <f t="shared" si="58"/>
        <v/>
      </c>
      <c r="AB192" s="169" t="str">
        <f t="shared" ref="AB192:AJ201" si="59">IF($H192=AB$159,$DB192,"")</f>
        <v/>
      </c>
      <c r="AC192" s="169" t="str">
        <f t="shared" si="59"/>
        <v/>
      </c>
      <c r="AD192" s="169" t="str">
        <f t="shared" si="59"/>
        <v/>
      </c>
      <c r="AE192" s="169" t="str">
        <f t="shared" si="59"/>
        <v/>
      </c>
      <c r="AF192" s="169" t="str">
        <f t="shared" si="59"/>
        <v/>
      </c>
      <c r="AG192" s="169" t="str">
        <f t="shared" si="59"/>
        <v/>
      </c>
      <c r="AH192" s="169" t="str">
        <f t="shared" si="59"/>
        <v/>
      </c>
      <c r="AI192" s="169" t="str">
        <f t="shared" si="59"/>
        <v/>
      </c>
      <c r="AJ192" s="299" t="str">
        <f t="shared" si="59"/>
        <v/>
      </c>
      <c r="AK192" s="298" t="str">
        <f t="shared" si="54"/>
        <v/>
      </c>
      <c r="AL192" s="299" t="str">
        <f t="shared" si="55"/>
        <v/>
      </c>
      <c r="AM192" s="169" t="str">
        <f t="shared" ref="AM192:AU201" si="60">IF($I192=AM$159,$DB192,"")</f>
        <v/>
      </c>
      <c r="AN192" s="169" t="str">
        <f t="shared" si="60"/>
        <v/>
      </c>
      <c r="AO192" s="169" t="str">
        <f t="shared" si="60"/>
        <v/>
      </c>
      <c r="AP192" s="169" t="str">
        <f t="shared" si="60"/>
        <v/>
      </c>
      <c r="AQ192" s="169" t="str">
        <f t="shared" si="60"/>
        <v/>
      </c>
      <c r="AR192" s="169" t="str">
        <f t="shared" si="60"/>
        <v/>
      </c>
      <c r="AS192" s="169" t="str">
        <f t="shared" si="60"/>
        <v/>
      </c>
      <c r="AT192" s="169" t="str">
        <f t="shared" si="60"/>
        <v/>
      </c>
      <c r="AU192" s="299" t="str">
        <f t="shared" si="60"/>
        <v/>
      </c>
      <c r="AV192" s="169" t="str">
        <f t="shared" si="25"/>
        <v/>
      </c>
      <c r="AW192" s="169" t="str">
        <f t="shared" si="57"/>
        <v/>
      </c>
      <c r="AX192" s="169" t="str">
        <f t="shared" si="57"/>
        <v/>
      </c>
      <c r="AY192" s="169" t="str">
        <f t="shared" si="50"/>
        <v/>
      </c>
      <c r="AZ192" s="169" t="str">
        <f t="shared" si="50"/>
        <v/>
      </c>
      <c r="BA192" s="299" t="str">
        <f t="shared" si="50"/>
        <v/>
      </c>
      <c r="BB192" s="169" t="str">
        <f t="shared" si="29"/>
        <v/>
      </c>
      <c r="BC192" s="169" t="str">
        <f t="shared" si="33"/>
        <v/>
      </c>
      <c r="BD192" s="169" t="str">
        <f t="shared" si="30"/>
        <v/>
      </c>
      <c r="BE192" s="169" t="str">
        <f t="shared" si="51"/>
        <v/>
      </c>
      <c r="BF192" s="169" t="str">
        <f t="shared" si="51"/>
        <v/>
      </c>
      <c r="BG192" s="169" t="str">
        <f t="shared" si="51"/>
        <v/>
      </c>
      <c r="BH192" s="298" t="str">
        <f t="shared" si="17"/>
        <v/>
      </c>
      <c r="BI192" s="169" t="str">
        <f t="shared" si="28"/>
        <v/>
      </c>
      <c r="BJ192" s="169" t="str">
        <f t="shared" si="46"/>
        <v/>
      </c>
      <c r="BK192" s="169" t="str">
        <f t="shared" si="46"/>
        <v/>
      </c>
      <c r="BL192" s="169" t="str">
        <f t="shared" si="46"/>
        <v/>
      </c>
      <c r="BM192" s="299" t="str">
        <f t="shared" si="46"/>
        <v/>
      </c>
      <c r="BN192" s="298" t="str">
        <f t="shared" ref="BN192:BV201" si="61">IF($M192=BN$159,$DB192,"")</f>
        <v/>
      </c>
      <c r="BO192" s="169" t="str">
        <f t="shared" si="61"/>
        <v/>
      </c>
      <c r="BP192" s="169" t="str">
        <f t="shared" si="61"/>
        <v/>
      </c>
      <c r="BQ192" s="169" t="str">
        <f t="shared" si="61"/>
        <v/>
      </c>
      <c r="BR192" s="169" t="str">
        <f t="shared" si="61"/>
        <v/>
      </c>
      <c r="BS192" s="169" t="str">
        <f t="shared" si="61"/>
        <v/>
      </c>
      <c r="BT192" s="169" t="str">
        <f t="shared" si="61"/>
        <v/>
      </c>
      <c r="BU192" s="169" t="str">
        <f t="shared" si="61"/>
        <v/>
      </c>
      <c r="BV192" s="299" t="str">
        <f t="shared" si="61"/>
        <v/>
      </c>
      <c r="BW192" s="298" t="str">
        <f t="shared" ref="BW192:CE201" si="62">IF($N192=BW$159,$DB192,"")</f>
        <v/>
      </c>
      <c r="BX192" s="169" t="str">
        <f t="shared" si="62"/>
        <v/>
      </c>
      <c r="BY192" s="169" t="str">
        <f t="shared" si="62"/>
        <v/>
      </c>
      <c r="BZ192" s="169" t="str">
        <f t="shared" si="62"/>
        <v/>
      </c>
      <c r="CA192" s="169" t="str">
        <f t="shared" si="62"/>
        <v/>
      </c>
      <c r="CB192" s="169" t="str">
        <f t="shared" si="62"/>
        <v/>
      </c>
      <c r="CC192" s="169" t="str">
        <f t="shared" si="62"/>
        <v/>
      </c>
      <c r="CD192" s="169" t="str">
        <f t="shared" si="62"/>
        <v/>
      </c>
      <c r="CE192" s="299" t="str">
        <f t="shared" si="62"/>
        <v/>
      </c>
      <c r="CF192" s="298" t="str">
        <f t="shared" ref="CF192:CK203" si="63">IF($O192=CF$159,$DC192,"")</f>
        <v/>
      </c>
      <c r="CG192" s="169" t="str">
        <f t="shared" si="63"/>
        <v/>
      </c>
      <c r="CH192" s="169" t="str">
        <f t="shared" si="63"/>
        <v/>
      </c>
      <c r="CI192" s="169" t="str">
        <f t="shared" si="63"/>
        <v/>
      </c>
      <c r="CJ192" s="169" t="str">
        <f t="shared" si="63"/>
        <v/>
      </c>
      <c r="CK192" s="299" t="str">
        <f t="shared" si="63"/>
        <v/>
      </c>
      <c r="CL192" s="298" t="str">
        <f t="shared" si="56"/>
        <v/>
      </c>
      <c r="CM192" s="169" t="str">
        <f t="shared" si="56"/>
        <v/>
      </c>
      <c r="CN192" s="169" t="str">
        <f t="shared" si="56"/>
        <v/>
      </c>
      <c r="CO192" s="169" t="str">
        <f t="shared" si="56"/>
        <v/>
      </c>
      <c r="CP192" s="169" t="str">
        <f t="shared" si="56"/>
        <v/>
      </c>
      <c r="CQ192" s="299" t="str">
        <f t="shared" si="56"/>
        <v/>
      </c>
      <c r="CR192" s="298" t="str">
        <f t="shared" si="56"/>
        <v/>
      </c>
      <c r="CS192" s="169" t="str">
        <f t="shared" si="56"/>
        <v/>
      </c>
      <c r="CT192" s="169" t="str">
        <f t="shared" si="56"/>
        <v/>
      </c>
      <c r="CU192" s="169" t="str">
        <f t="shared" si="56"/>
        <v/>
      </c>
      <c r="CV192" s="169" t="str">
        <f t="shared" si="42"/>
        <v/>
      </c>
      <c r="CW192" s="299" t="str">
        <f t="shared" si="32"/>
        <v/>
      </c>
      <c r="CX192" s="299" t="str">
        <f t="shared" si="32"/>
        <v/>
      </c>
      <c r="CZ192" s="10"/>
      <c r="DB192" s="10">
        <f t="shared" si="23"/>
        <v>11</v>
      </c>
      <c r="DC192" s="10">
        <f t="shared" si="24"/>
        <v>5.5</v>
      </c>
    </row>
    <row r="193" spans="2:107" x14ac:dyDescent="0.25">
      <c r="B193" s="127"/>
      <c r="C193" s="526" t="str">
        <f t="shared" si="52"/>
        <v>Booster pump (BP)</v>
      </c>
      <c r="D193" s="527">
        <f t="shared" si="53"/>
        <v>1</v>
      </c>
      <c r="G193" s="40"/>
      <c r="Q193" s="47"/>
      <c r="S193" s="298" t="str">
        <f t="shared" si="58"/>
        <v/>
      </c>
      <c r="T193" s="169" t="str">
        <f t="shared" si="58"/>
        <v/>
      </c>
      <c r="U193" s="169" t="str">
        <f t="shared" si="58"/>
        <v/>
      </c>
      <c r="V193" s="169" t="str">
        <f t="shared" si="58"/>
        <v/>
      </c>
      <c r="W193" s="169" t="str">
        <f t="shared" si="58"/>
        <v/>
      </c>
      <c r="X193" s="169" t="str">
        <f t="shared" si="58"/>
        <v/>
      </c>
      <c r="Y193" s="169" t="str">
        <f t="shared" si="58"/>
        <v/>
      </c>
      <c r="Z193" s="169" t="str">
        <f t="shared" si="58"/>
        <v/>
      </c>
      <c r="AA193" s="299" t="str">
        <f t="shared" si="58"/>
        <v/>
      </c>
      <c r="AB193" s="169" t="str">
        <f t="shared" si="59"/>
        <v/>
      </c>
      <c r="AC193" s="169" t="str">
        <f t="shared" si="59"/>
        <v/>
      </c>
      <c r="AD193" s="169" t="str">
        <f t="shared" si="59"/>
        <v/>
      </c>
      <c r="AE193" s="169" t="str">
        <f t="shared" si="59"/>
        <v/>
      </c>
      <c r="AF193" s="169" t="str">
        <f t="shared" si="59"/>
        <v/>
      </c>
      <c r="AG193" s="169" t="str">
        <f t="shared" si="59"/>
        <v/>
      </c>
      <c r="AH193" s="169" t="str">
        <f t="shared" si="59"/>
        <v/>
      </c>
      <c r="AI193" s="169" t="str">
        <f t="shared" si="59"/>
        <v/>
      </c>
      <c r="AJ193" s="299" t="str">
        <f t="shared" si="59"/>
        <v/>
      </c>
      <c r="AK193" s="298" t="str">
        <f t="shared" si="54"/>
        <v/>
      </c>
      <c r="AL193" s="299" t="str">
        <f t="shared" si="55"/>
        <v/>
      </c>
      <c r="AM193" s="169" t="str">
        <f t="shared" si="60"/>
        <v/>
      </c>
      <c r="AN193" s="169" t="str">
        <f t="shared" si="60"/>
        <v/>
      </c>
      <c r="AO193" s="169" t="str">
        <f t="shared" si="60"/>
        <v/>
      </c>
      <c r="AP193" s="169" t="str">
        <f t="shared" si="60"/>
        <v/>
      </c>
      <c r="AQ193" s="169" t="str">
        <f t="shared" si="60"/>
        <v/>
      </c>
      <c r="AR193" s="169" t="str">
        <f t="shared" si="60"/>
        <v/>
      </c>
      <c r="AS193" s="169" t="str">
        <f t="shared" si="60"/>
        <v/>
      </c>
      <c r="AT193" s="169" t="str">
        <f t="shared" si="60"/>
        <v/>
      </c>
      <c r="AU193" s="299" t="str">
        <f t="shared" si="60"/>
        <v/>
      </c>
      <c r="AV193" s="169" t="str">
        <f t="shared" si="25"/>
        <v/>
      </c>
      <c r="AW193" s="169" t="str">
        <f t="shared" si="57"/>
        <v/>
      </c>
      <c r="AX193" s="169" t="str">
        <f t="shared" si="57"/>
        <v/>
      </c>
      <c r="AY193" s="169" t="str">
        <f t="shared" si="50"/>
        <v/>
      </c>
      <c r="AZ193" s="169" t="str">
        <f t="shared" si="50"/>
        <v/>
      </c>
      <c r="BA193" s="299" t="str">
        <f t="shared" si="50"/>
        <v/>
      </c>
      <c r="BB193" s="169" t="str">
        <f t="shared" si="29"/>
        <v/>
      </c>
      <c r="BC193" s="169" t="str">
        <f t="shared" si="33"/>
        <v/>
      </c>
      <c r="BD193" s="169" t="str">
        <f t="shared" si="30"/>
        <v/>
      </c>
      <c r="BE193" s="169" t="str">
        <f t="shared" si="51"/>
        <v/>
      </c>
      <c r="BF193" s="169" t="str">
        <f t="shared" si="51"/>
        <v/>
      </c>
      <c r="BG193" s="169" t="str">
        <f t="shared" si="51"/>
        <v/>
      </c>
      <c r="BH193" s="298" t="str">
        <f t="shared" si="17"/>
        <v/>
      </c>
      <c r="BI193" s="169" t="str">
        <f t="shared" si="28"/>
        <v/>
      </c>
      <c r="BJ193" s="169" t="str">
        <f t="shared" si="46"/>
        <v/>
      </c>
      <c r="BK193" s="169" t="str">
        <f t="shared" si="46"/>
        <v/>
      </c>
      <c r="BL193" s="169" t="str">
        <f t="shared" si="46"/>
        <v/>
      </c>
      <c r="BM193" s="299" t="str">
        <f t="shared" si="46"/>
        <v/>
      </c>
      <c r="BN193" s="298" t="str">
        <f t="shared" si="61"/>
        <v/>
      </c>
      <c r="BO193" s="169" t="str">
        <f t="shared" si="61"/>
        <v/>
      </c>
      <c r="BP193" s="169" t="str">
        <f t="shared" si="61"/>
        <v/>
      </c>
      <c r="BQ193" s="169" t="str">
        <f t="shared" si="61"/>
        <v/>
      </c>
      <c r="BR193" s="169" t="str">
        <f t="shared" si="61"/>
        <v/>
      </c>
      <c r="BS193" s="169" t="str">
        <f t="shared" si="61"/>
        <v/>
      </c>
      <c r="BT193" s="169" t="str">
        <f t="shared" si="61"/>
        <v/>
      </c>
      <c r="BU193" s="169" t="str">
        <f t="shared" si="61"/>
        <v/>
      </c>
      <c r="BV193" s="299" t="str">
        <f t="shared" si="61"/>
        <v/>
      </c>
      <c r="BW193" s="298" t="str">
        <f t="shared" si="62"/>
        <v/>
      </c>
      <c r="BX193" s="169" t="str">
        <f t="shared" si="62"/>
        <v/>
      </c>
      <c r="BY193" s="169" t="str">
        <f t="shared" si="62"/>
        <v/>
      </c>
      <c r="BZ193" s="169" t="str">
        <f t="shared" si="62"/>
        <v/>
      </c>
      <c r="CA193" s="169" t="str">
        <f t="shared" si="62"/>
        <v/>
      </c>
      <c r="CB193" s="169" t="str">
        <f t="shared" si="62"/>
        <v/>
      </c>
      <c r="CC193" s="169" t="str">
        <f t="shared" si="62"/>
        <v/>
      </c>
      <c r="CD193" s="169" t="str">
        <f t="shared" si="62"/>
        <v/>
      </c>
      <c r="CE193" s="299" t="str">
        <f t="shared" si="62"/>
        <v/>
      </c>
      <c r="CF193" s="298" t="str">
        <f t="shared" si="63"/>
        <v/>
      </c>
      <c r="CG193" s="169" t="str">
        <f t="shared" si="63"/>
        <v/>
      </c>
      <c r="CH193" s="169" t="str">
        <f t="shared" si="63"/>
        <v/>
      </c>
      <c r="CI193" s="169" t="str">
        <f t="shared" si="63"/>
        <v/>
      </c>
      <c r="CJ193" s="169" t="str">
        <f t="shared" si="63"/>
        <v/>
      </c>
      <c r="CK193" s="299" t="str">
        <f t="shared" si="63"/>
        <v/>
      </c>
      <c r="CL193" s="298" t="str">
        <f t="shared" si="56"/>
        <v/>
      </c>
      <c r="CM193" s="169" t="str">
        <f t="shared" si="56"/>
        <v/>
      </c>
      <c r="CN193" s="169" t="str">
        <f t="shared" si="56"/>
        <v/>
      </c>
      <c r="CO193" s="169" t="str">
        <f t="shared" si="56"/>
        <v/>
      </c>
      <c r="CP193" s="169" t="str">
        <f t="shared" si="56"/>
        <v/>
      </c>
      <c r="CQ193" s="299" t="str">
        <f t="shared" si="56"/>
        <v/>
      </c>
      <c r="CR193" s="298" t="str">
        <f t="shared" si="56"/>
        <v/>
      </c>
      <c r="CS193" s="169" t="str">
        <f t="shared" si="56"/>
        <v/>
      </c>
      <c r="CT193" s="169" t="str">
        <f t="shared" si="56"/>
        <v/>
      </c>
      <c r="CU193" s="169" t="str">
        <f t="shared" si="56"/>
        <v/>
      </c>
      <c r="CV193" s="169" t="str">
        <f t="shared" si="42"/>
        <v/>
      </c>
      <c r="CW193" s="299" t="str">
        <f t="shared" si="32"/>
        <v/>
      </c>
      <c r="CX193" s="299" t="str">
        <f t="shared" si="32"/>
        <v/>
      </c>
      <c r="CZ193" s="10"/>
      <c r="DB193" s="10">
        <f t="shared" si="23"/>
        <v>11</v>
      </c>
      <c r="DC193" s="10">
        <f t="shared" si="24"/>
        <v>5.5</v>
      </c>
    </row>
    <row r="194" spans="2:107" x14ac:dyDescent="0.25">
      <c r="B194" s="127"/>
      <c r="C194" s="526">
        <f t="shared" si="52"/>
        <v>0</v>
      </c>
      <c r="D194" s="527">
        <f t="shared" si="53"/>
        <v>0</v>
      </c>
      <c r="G194" s="40"/>
      <c r="Q194" s="47"/>
      <c r="S194" s="298" t="str">
        <f t="shared" si="58"/>
        <v/>
      </c>
      <c r="T194" s="169" t="str">
        <f t="shared" si="58"/>
        <v/>
      </c>
      <c r="U194" s="169" t="str">
        <f t="shared" si="58"/>
        <v/>
      </c>
      <c r="V194" s="169" t="str">
        <f t="shared" si="58"/>
        <v/>
      </c>
      <c r="W194" s="169" t="str">
        <f t="shared" si="58"/>
        <v/>
      </c>
      <c r="X194" s="169" t="str">
        <f t="shared" si="58"/>
        <v/>
      </c>
      <c r="Y194" s="169" t="str">
        <f t="shared" si="58"/>
        <v/>
      </c>
      <c r="Z194" s="169" t="str">
        <f t="shared" si="58"/>
        <v/>
      </c>
      <c r="AA194" s="299" t="str">
        <f t="shared" si="58"/>
        <v/>
      </c>
      <c r="AB194" s="169" t="str">
        <f t="shared" si="59"/>
        <v/>
      </c>
      <c r="AC194" s="169" t="str">
        <f t="shared" si="59"/>
        <v/>
      </c>
      <c r="AD194" s="169" t="str">
        <f t="shared" si="59"/>
        <v/>
      </c>
      <c r="AE194" s="169" t="str">
        <f t="shared" si="59"/>
        <v/>
      </c>
      <c r="AF194" s="169" t="str">
        <f t="shared" si="59"/>
        <v/>
      </c>
      <c r="AG194" s="169" t="str">
        <f t="shared" si="59"/>
        <v/>
      </c>
      <c r="AH194" s="169" t="str">
        <f t="shared" si="59"/>
        <v/>
      </c>
      <c r="AI194" s="169" t="str">
        <f t="shared" si="59"/>
        <v/>
      </c>
      <c r="AJ194" s="299" t="str">
        <f t="shared" si="59"/>
        <v/>
      </c>
      <c r="AK194" s="298" t="str">
        <f t="shared" si="54"/>
        <v/>
      </c>
      <c r="AL194" s="299" t="str">
        <f t="shared" si="55"/>
        <v/>
      </c>
      <c r="AM194" s="169" t="str">
        <f t="shared" si="60"/>
        <v/>
      </c>
      <c r="AN194" s="169" t="str">
        <f t="shared" si="60"/>
        <v/>
      </c>
      <c r="AO194" s="169" t="str">
        <f t="shared" si="60"/>
        <v/>
      </c>
      <c r="AP194" s="169" t="str">
        <f t="shared" si="60"/>
        <v/>
      </c>
      <c r="AQ194" s="169" t="str">
        <f t="shared" si="60"/>
        <v/>
      </c>
      <c r="AR194" s="169" t="str">
        <f t="shared" si="60"/>
        <v/>
      </c>
      <c r="AS194" s="169" t="str">
        <f t="shared" si="60"/>
        <v/>
      </c>
      <c r="AT194" s="169" t="str">
        <f t="shared" si="60"/>
        <v/>
      </c>
      <c r="AU194" s="299" t="str">
        <f t="shared" si="60"/>
        <v/>
      </c>
      <c r="AV194" s="169" t="str">
        <f t="shared" si="25"/>
        <v/>
      </c>
      <c r="AW194" s="169" t="str">
        <f t="shared" si="57"/>
        <v/>
      </c>
      <c r="AX194" s="169" t="str">
        <f t="shared" si="57"/>
        <v/>
      </c>
      <c r="AY194" s="169" t="str">
        <f t="shared" si="50"/>
        <v/>
      </c>
      <c r="AZ194" s="169" t="str">
        <f t="shared" si="50"/>
        <v/>
      </c>
      <c r="BA194" s="299" t="str">
        <f t="shared" si="50"/>
        <v/>
      </c>
      <c r="BB194" s="169" t="str">
        <f t="shared" si="29"/>
        <v/>
      </c>
      <c r="BC194" s="169" t="str">
        <f t="shared" si="33"/>
        <v/>
      </c>
      <c r="BD194" s="169" t="str">
        <f t="shared" si="30"/>
        <v/>
      </c>
      <c r="BE194" s="169" t="str">
        <f t="shared" si="51"/>
        <v/>
      </c>
      <c r="BF194" s="169" t="str">
        <f t="shared" si="51"/>
        <v/>
      </c>
      <c r="BG194" s="169" t="str">
        <f t="shared" si="51"/>
        <v/>
      </c>
      <c r="BH194" s="298" t="str">
        <f t="shared" si="17"/>
        <v/>
      </c>
      <c r="BI194" s="169" t="str">
        <f t="shared" si="28"/>
        <v/>
      </c>
      <c r="BJ194" s="169" t="str">
        <f t="shared" si="46"/>
        <v/>
      </c>
      <c r="BK194" s="169" t="str">
        <f t="shared" si="46"/>
        <v/>
      </c>
      <c r="BL194" s="169" t="str">
        <f t="shared" si="46"/>
        <v/>
      </c>
      <c r="BM194" s="299" t="str">
        <f t="shared" si="46"/>
        <v/>
      </c>
      <c r="BN194" s="298" t="str">
        <f t="shared" si="61"/>
        <v/>
      </c>
      <c r="BO194" s="169" t="str">
        <f t="shared" si="61"/>
        <v/>
      </c>
      <c r="BP194" s="169" t="str">
        <f t="shared" si="61"/>
        <v/>
      </c>
      <c r="BQ194" s="169" t="str">
        <f t="shared" si="61"/>
        <v/>
      </c>
      <c r="BR194" s="169" t="str">
        <f t="shared" si="61"/>
        <v/>
      </c>
      <c r="BS194" s="169" t="str">
        <f t="shared" si="61"/>
        <v/>
      </c>
      <c r="BT194" s="169" t="str">
        <f t="shared" si="61"/>
        <v/>
      </c>
      <c r="BU194" s="169" t="str">
        <f t="shared" si="61"/>
        <v/>
      </c>
      <c r="BV194" s="299" t="str">
        <f t="shared" si="61"/>
        <v/>
      </c>
      <c r="BW194" s="298" t="str">
        <f t="shared" si="62"/>
        <v/>
      </c>
      <c r="BX194" s="169" t="str">
        <f t="shared" si="62"/>
        <v/>
      </c>
      <c r="BY194" s="169" t="str">
        <f t="shared" si="62"/>
        <v/>
      </c>
      <c r="BZ194" s="169" t="str">
        <f t="shared" si="62"/>
        <v/>
      </c>
      <c r="CA194" s="169" t="str">
        <f t="shared" si="62"/>
        <v/>
      </c>
      <c r="CB194" s="169" t="str">
        <f t="shared" si="62"/>
        <v/>
      </c>
      <c r="CC194" s="169" t="str">
        <f t="shared" si="62"/>
        <v/>
      </c>
      <c r="CD194" s="169" t="str">
        <f t="shared" si="62"/>
        <v/>
      </c>
      <c r="CE194" s="299" t="str">
        <f t="shared" si="62"/>
        <v/>
      </c>
      <c r="CF194" s="298" t="str">
        <f t="shared" si="63"/>
        <v/>
      </c>
      <c r="CG194" s="169" t="str">
        <f t="shared" si="63"/>
        <v/>
      </c>
      <c r="CH194" s="169" t="str">
        <f t="shared" si="63"/>
        <v/>
      </c>
      <c r="CI194" s="169" t="str">
        <f t="shared" si="63"/>
        <v/>
      </c>
      <c r="CJ194" s="169" t="str">
        <f t="shared" si="63"/>
        <v/>
      </c>
      <c r="CK194" s="299" t="str">
        <f t="shared" si="63"/>
        <v/>
      </c>
      <c r="CL194" s="298" t="str">
        <f t="shared" si="56"/>
        <v/>
      </c>
      <c r="CM194" s="169" t="str">
        <f t="shared" si="56"/>
        <v/>
      </c>
      <c r="CN194" s="169" t="str">
        <f t="shared" si="56"/>
        <v/>
      </c>
      <c r="CO194" s="169" t="str">
        <f t="shared" si="56"/>
        <v/>
      </c>
      <c r="CP194" s="169" t="str">
        <f t="shared" si="56"/>
        <v/>
      </c>
      <c r="CQ194" s="299" t="str">
        <f t="shared" si="56"/>
        <v/>
      </c>
      <c r="CR194" s="298" t="str">
        <f t="shared" si="56"/>
        <v/>
      </c>
      <c r="CS194" s="169" t="str">
        <f t="shared" si="56"/>
        <v/>
      </c>
      <c r="CT194" s="169" t="str">
        <f t="shared" si="56"/>
        <v/>
      </c>
      <c r="CU194" s="169" t="str">
        <f t="shared" si="56"/>
        <v/>
      </c>
      <c r="CV194" s="169" t="str">
        <f t="shared" si="42"/>
        <v/>
      </c>
      <c r="CW194" s="299" t="str">
        <f t="shared" si="32"/>
        <v/>
      </c>
      <c r="CX194" s="299" t="str">
        <f t="shared" si="32"/>
        <v/>
      </c>
      <c r="CZ194" s="10"/>
      <c r="DB194" s="10">
        <f t="shared" si="23"/>
        <v>0</v>
      </c>
      <c r="DC194" s="10">
        <f t="shared" si="24"/>
        <v>0</v>
      </c>
    </row>
    <row r="195" spans="2:107" x14ac:dyDescent="0.25">
      <c r="B195" s="127"/>
      <c r="C195" s="526" t="str">
        <f t="shared" si="52"/>
        <v>KITCHEN EQUIPMENT</v>
      </c>
      <c r="D195" s="527">
        <f t="shared" si="53"/>
        <v>0</v>
      </c>
      <c r="G195" s="40"/>
      <c r="Q195" s="47"/>
      <c r="S195" s="298" t="str">
        <f t="shared" si="58"/>
        <v/>
      </c>
      <c r="T195" s="169" t="str">
        <f t="shared" si="58"/>
        <v/>
      </c>
      <c r="U195" s="169" t="str">
        <f t="shared" si="58"/>
        <v/>
      </c>
      <c r="V195" s="169" t="str">
        <f t="shared" si="58"/>
        <v/>
      </c>
      <c r="W195" s="169" t="str">
        <f t="shared" si="58"/>
        <v/>
      </c>
      <c r="X195" s="169" t="str">
        <f t="shared" si="58"/>
        <v/>
      </c>
      <c r="Y195" s="169" t="str">
        <f t="shared" si="58"/>
        <v/>
      </c>
      <c r="Z195" s="169" t="str">
        <f t="shared" si="58"/>
        <v/>
      </c>
      <c r="AA195" s="299" t="str">
        <f t="shared" si="58"/>
        <v/>
      </c>
      <c r="AB195" s="169" t="str">
        <f t="shared" si="59"/>
        <v/>
      </c>
      <c r="AC195" s="169" t="str">
        <f t="shared" si="59"/>
        <v/>
      </c>
      <c r="AD195" s="169" t="str">
        <f t="shared" si="59"/>
        <v/>
      </c>
      <c r="AE195" s="169" t="str">
        <f t="shared" si="59"/>
        <v/>
      </c>
      <c r="AF195" s="169" t="str">
        <f t="shared" si="59"/>
        <v/>
      </c>
      <c r="AG195" s="169" t="str">
        <f t="shared" si="59"/>
        <v/>
      </c>
      <c r="AH195" s="169" t="str">
        <f t="shared" si="59"/>
        <v/>
      </c>
      <c r="AI195" s="169" t="str">
        <f t="shared" si="59"/>
        <v/>
      </c>
      <c r="AJ195" s="299" t="str">
        <f t="shared" si="59"/>
        <v/>
      </c>
      <c r="AK195" s="298" t="str">
        <f t="shared" si="54"/>
        <v/>
      </c>
      <c r="AL195" s="299" t="str">
        <f t="shared" si="55"/>
        <v/>
      </c>
      <c r="AM195" s="169" t="str">
        <f t="shared" si="60"/>
        <v/>
      </c>
      <c r="AN195" s="169" t="str">
        <f t="shared" si="60"/>
        <v/>
      </c>
      <c r="AO195" s="169" t="str">
        <f t="shared" si="60"/>
        <v/>
      </c>
      <c r="AP195" s="169" t="str">
        <f t="shared" si="60"/>
        <v/>
      </c>
      <c r="AQ195" s="169" t="str">
        <f t="shared" si="60"/>
        <v/>
      </c>
      <c r="AR195" s="169" t="str">
        <f t="shared" si="60"/>
        <v/>
      </c>
      <c r="AS195" s="169" t="str">
        <f t="shared" si="60"/>
        <v/>
      </c>
      <c r="AT195" s="169" t="str">
        <f t="shared" si="60"/>
        <v/>
      </c>
      <c r="AU195" s="299" t="str">
        <f t="shared" si="60"/>
        <v/>
      </c>
      <c r="AV195" s="169" t="str">
        <f t="shared" ref="AV195:AV226" si="64">IF($J195=AV$159,$DC195,"")</f>
        <v/>
      </c>
      <c r="AW195" s="169" t="str">
        <f t="shared" si="57"/>
        <v/>
      </c>
      <c r="AX195" s="169" t="str">
        <f t="shared" si="57"/>
        <v/>
      </c>
      <c r="AY195" s="169" t="str">
        <f t="shared" si="50"/>
        <v/>
      </c>
      <c r="AZ195" s="169" t="str">
        <f t="shared" si="50"/>
        <v/>
      </c>
      <c r="BA195" s="299" t="str">
        <f t="shared" si="50"/>
        <v/>
      </c>
      <c r="BB195" s="169" t="str">
        <f t="shared" si="29"/>
        <v/>
      </c>
      <c r="BC195" s="169" t="str">
        <f t="shared" si="33"/>
        <v/>
      </c>
      <c r="BD195" s="169" t="str">
        <f t="shared" si="30"/>
        <v/>
      </c>
      <c r="BE195" s="169" t="str">
        <f t="shared" si="51"/>
        <v/>
      </c>
      <c r="BF195" s="169" t="str">
        <f t="shared" si="51"/>
        <v/>
      </c>
      <c r="BG195" s="169" t="str">
        <f t="shared" si="51"/>
        <v/>
      </c>
      <c r="BH195" s="298" t="str">
        <f t="shared" si="17"/>
        <v/>
      </c>
      <c r="BI195" s="169" t="str">
        <f t="shared" si="28"/>
        <v/>
      </c>
      <c r="BJ195" s="169" t="str">
        <f t="shared" si="46"/>
        <v/>
      </c>
      <c r="BK195" s="169" t="str">
        <f t="shared" si="46"/>
        <v/>
      </c>
      <c r="BL195" s="169" t="str">
        <f t="shared" si="46"/>
        <v/>
      </c>
      <c r="BM195" s="299" t="str">
        <f t="shared" si="46"/>
        <v/>
      </c>
      <c r="BN195" s="298" t="str">
        <f t="shared" si="61"/>
        <v/>
      </c>
      <c r="BO195" s="169" t="str">
        <f t="shared" si="61"/>
        <v/>
      </c>
      <c r="BP195" s="169" t="str">
        <f t="shared" si="61"/>
        <v/>
      </c>
      <c r="BQ195" s="169" t="str">
        <f t="shared" si="61"/>
        <v/>
      </c>
      <c r="BR195" s="169" t="str">
        <f t="shared" si="61"/>
        <v/>
      </c>
      <c r="BS195" s="169" t="str">
        <f t="shared" si="61"/>
        <v/>
      </c>
      <c r="BT195" s="169" t="str">
        <f t="shared" si="61"/>
        <v/>
      </c>
      <c r="BU195" s="169" t="str">
        <f t="shared" si="61"/>
        <v/>
      </c>
      <c r="BV195" s="299" t="str">
        <f t="shared" si="61"/>
        <v/>
      </c>
      <c r="BW195" s="298" t="str">
        <f t="shared" si="62"/>
        <v/>
      </c>
      <c r="BX195" s="169" t="str">
        <f t="shared" si="62"/>
        <v/>
      </c>
      <c r="BY195" s="169" t="str">
        <f t="shared" si="62"/>
        <v/>
      </c>
      <c r="BZ195" s="169" t="str">
        <f t="shared" si="62"/>
        <v/>
      </c>
      <c r="CA195" s="169" t="str">
        <f t="shared" si="62"/>
        <v/>
      </c>
      <c r="CB195" s="169" t="str">
        <f t="shared" si="62"/>
        <v/>
      </c>
      <c r="CC195" s="169" t="str">
        <f t="shared" si="62"/>
        <v/>
      </c>
      <c r="CD195" s="169" t="str">
        <f t="shared" si="62"/>
        <v/>
      </c>
      <c r="CE195" s="299" t="str">
        <f t="shared" si="62"/>
        <v/>
      </c>
      <c r="CF195" s="298" t="str">
        <f t="shared" si="63"/>
        <v/>
      </c>
      <c r="CG195" s="169" t="str">
        <f t="shared" si="63"/>
        <v/>
      </c>
      <c r="CH195" s="169" t="str">
        <f t="shared" si="63"/>
        <v/>
      </c>
      <c r="CI195" s="169" t="str">
        <f t="shared" si="63"/>
        <v/>
      </c>
      <c r="CJ195" s="169" t="str">
        <f t="shared" si="63"/>
        <v/>
      </c>
      <c r="CK195" s="299" t="str">
        <f t="shared" si="63"/>
        <v/>
      </c>
      <c r="CL195" s="298" t="str">
        <f t="shared" si="56"/>
        <v/>
      </c>
      <c r="CM195" s="169" t="str">
        <f t="shared" si="56"/>
        <v/>
      </c>
      <c r="CN195" s="169" t="str">
        <f t="shared" si="56"/>
        <v/>
      </c>
      <c r="CO195" s="169" t="str">
        <f t="shared" si="56"/>
        <v/>
      </c>
      <c r="CP195" s="169" t="str">
        <f t="shared" si="56"/>
        <v/>
      </c>
      <c r="CQ195" s="299" t="str">
        <f t="shared" si="56"/>
        <v/>
      </c>
      <c r="CR195" s="298" t="str">
        <f t="shared" si="56"/>
        <v/>
      </c>
      <c r="CS195" s="169" t="str">
        <f t="shared" si="56"/>
        <v/>
      </c>
      <c r="CT195" s="169" t="str">
        <f t="shared" si="56"/>
        <v/>
      </c>
      <c r="CU195" s="169" t="str">
        <f t="shared" si="56"/>
        <v/>
      </c>
      <c r="CV195" s="169" t="str">
        <f t="shared" si="42"/>
        <v/>
      </c>
      <c r="CW195" s="299" t="str">
        <f t="shared" si="32"/>
        <v/>
      </c>
      <c r="CX195" s="299" t="str">
        <f t="shared" si="32"/>
        <v/>
      </c>
      <c r="CZ195" s="10"/>
      <c r="DB195" s="10">
        <f t="shared" ref="DB195:DB228" si="65">($D195*$C$158)+($D195*$B$162)</f>
        <v>0</v>
      </c>
      <c r="DC195" s="10">
        <f t="shared" ref="DC195:DC228" si="66">(($D195*$C$158)+($D195*$B$162))/2</f>
        <v>0</v>
      </c>
    </row>
    <row r="196" spans="2:107" x14ac:dyDescent="0.25">
      <c r="B196" s="127" t="s">
        <v>796</v>
      </c>
      <c r="C196" s="526" t="str">
        <f t="shared" si="52"/>
        <v>Espresso (19742 (OSM))</v>
      </c>
      <c r="D196" s="527">
        <f t="shared" si="53"/>
        <v>2</v>
      </c>
      <c r="G196" s="40"/>
      <c r="I196" s="10" t="s">
        <v>24</v>
      </c>
      <c r="Q196" s="47"/>
      <c r="S196" s="298" t="str">
        <f t="shared" si="58"/>
        <v/>
      </c>
      <c r="T196" s="169" t="str">
        <f t="shared" si="58"/>
        <v/>
      </c>
      <c r="U196" s="169" t="str">
        <f t="shared" si="58"/>
        <v/>
      </c>
      <c r="V196" s="169" t="str">
        <f t="shared" si="58"/>
        <v/>
      </c>
      <c r="W196" s="169" t="str">
        <f t="shared" si="58"/>
        <v/>
      </c>
      <c r="X196" s="169" t="str">
        <f t="shared" si="58"/>
        <v/>
      </c>
      <c r="Y196" s="169" t="str">
        <f t="shared" si="58"/>
        <v/>
      </c>
      <c r="Z196" s="169" t="str">
        <f t="shared" si="58"/>
        <v/>
      </c>
      <c r="AA196" s="299" t="str">
        <f t="shared" si="58"/>
        <v/>
      </c>
      <c r="AB196" s="169" t="str">
        <f t="shared" si="59"/>
        <v/>
      </c>
      <c r="AC196" s="169" t="str">
        <f t="shared" si="59"/>
        <v/>
      </c>
      <c r="AD196" s="169" t="str">
        <f t="shared" si="59"/>
        <v/>
      </c>
      <c r="AE196" s="169" t="str">
        <f t="shared" si="59"/>
        <v/>
      </c>
      <c r="AF196" s="169" t="str">
        <f t="shared" si="59"/>
        <v/>
      </c>
      <c r="AG196" s="169" t="str">
        <f t="shared" si="59"/>
        <v/>
      </c>
      <c r="AH196" s="169" t="str">
        <f t="shared" si="59"/>
        <v/>
      </c>
      <c r="AI196" s="169" t="str">
        <f t="shared" si="59"/>
        <v/>
      </c>
      <c r="AJ196" s="299" t="str">
        <f t="shared" si="59"/>
        <v/>
      </c>
      <c r="AK196" s="298" t="str">
        <f t="shared" si="54"/>
        <v/>
      </c>
      <c r="AL196" s="299" t="str">
        <f t="shared" si="55"/>
        <v/>
      </c>
      <c r="AM196" s="169" t="str">
        <f t="shared" si="60"/>
        <v/>
      </c>
      <c r="AN196" s="169">
        <f t="shared" si="60"/>
        <v>22</v>
      </c>
      <c r="AO196" s="169" t="str">
        <f t="shared" si="60"/>
        <v/>
      </c>
      <c r="AP196" s="169" t="str">
        <f t="shared" si="60"/>
        <v/>
      </c>
      <c r="AQ196" s="169" t="str">
        <f t="shared" si="60"/>
        <v/>
      </c>
      <c r="AR196" s="169" t="str">
        <f t="shared" si="60"/>
        <v/>
      </c>
      <c r="AS196" s="169" t="str">
        <f t="shared" si="60"/>
        <v/>
      </c>
      <c r="AT196" s="169" t="str">
        <f t="shared" si="60"/>
        <v/>
      </c>
      <c r="AU196" s="299" t="str">
        <f t="shared" si="60"/>
        <v/>
      </c>
      <c r="AV196" s="169" t="str">
        <f t="shared" si="64"/>
        <v/>
      </c>
      <c r="AW196" s="169" t="str">
        <f t="shared" si="57"/>
        <v/>
      </c>
      <c r="AX196" s="169" t="str">
        <f t="shared" si="57"/>
        <v/>
      </c>
      <c r="AY196" s="169" t="str">
        <f t="shared" si="50"/>
        <v/>
      </c>
      <c r="AZ196" s="169" t="str">
        <f t="shared" si="50"/>
        <v/>
      </c>
      <c r="BA196" s="299" t="str">
        <f t="shared" si="50"/>
        <v/>
      </c>
      <c r="BB196" s="169" t="str">
        <f t="shared" ref="BB196:BB227" si="67">IF($K196=BB$159,$DC196,"")</f>
        <v/>
      </c>
      <c r="BC196" s="169" t="str">
        <f t="shared" si="33"/>
        <v/>
      </c>
      <c r="BD196" s="169" t="str">
        <f t="shared" si="30"/>
        <v/>
      </c>
      <c r="BE196" s="169" t="str">
        <f t="shared" si="51"/>
        <v/>
      </c>
      <c r="BF196" s="169" t="str">
        <f t="shared" si="51"/>
        <v/>
      </c>
      <c r="BG196" s="169" t="str">
        <f t="shared" si="51"/>
        <v/>
      </c>
      <c r="BH196" s="298" t="str">
        <f t="shared" si="17"/>
        <v/>
      </c>
      <c r="BI196" s="169" t="str">
        <f t="shared" si="28"/>
        <v/>
      </c>
      <c r="BJ196" s="169" t="str">
        <f t="shared" si="46"/>
        <v/>
      </c>
      <c r="BK196" s="169" t="str">
        <f t="shared" si="46"/>
        <v/>
      </c>
      <c r="BL196" s="169" t="str">
        <f t="shared" si="46"/>
        <v/>
      </c>
      <c r="BM196" s="299" t="str">
        <f t="shared" si="46"/>
        <v/>
      </c>
      <c r="BN196" s="298" t="str">
        <f t="shared" si="61"/>
        <v/>
      </c>
      <c r="BO196" s="169" t="str">
        <f t="shared" si="61"/>
        <v/>
      </c>
      <c r="BP196" s="169" t="str">
        <f t="shared" si="61"/>
        <v/>
      </c>
      <c r="BQ196" s="169" t="str">
        <f t="shared" si="61"/>
        <v/>
      </c>
      <c r="BR196" s="169" t="str">
        <f t="shared" si="61"/>
        <v/>
      </c>
      <c r="BS196" s="169" t="str">
        <f t="shared" si="61"/>
        <v/>
      </c>
      <c r="BT196" s="169" t="str">
        <f t="shared" si="61"/>
        <v/>
      </c>
      <c r="BU196" s="169" t="str">
        <f t="shared" si="61"/>
        <v/>
      </c>
      <c r="BV196" s="299" t="str">
        <f t="shared" si="61"/>
        <v/>
      </c>
      <c r="BW196" s="298" t="str">
        <f t="shared" si="62"/>
        <v/>
      </c>
      <c r="BX196" s="169" t="str">
        <f t="shared" si="62"/>
        <v/>
      </c>
      <c r="BY196" s="169" t="str">
        <f t="shared" si="62"/>
        <v/>
      </c>
      <c r="BZ196" s="169" t="str">
        <f t="shared" si="62"/>
        <v/>
      </c>
      <c r="CA196" s="169" t="str">
        <f t="shared" si="62"/>
        <v/>
      </c>
      <c r="CB196" s="169" t="str">
        <f t="shared" si="62"/>
        <v/>
      </c>
      <c r="CC196" s="169" t="str">
        <f t="shared" si="62"/>
        <v/>
      </c>
      <c r="CD196" s="169" t="str">
        <f t="shared" si="62"/>
        <v/>
      </c>
      <c r="CE196" s="299" t="str">
        <f t="shared" si="62"/>
        <v/>
      </c>
      <c r="CF196" s="298" t="str">
        <f t="shared" si="63"/>
        <v/>
      </c>
      <c r="CG196" s="169" t="str">
        <f t="shared" si="63"/>
        <v/>
      </c>
      <c r="CH196" s="169" t="str">
        <f t="shared" si="63"/>
        <v/>
      </c>
      <c r="CI196" s="169" t="str">
        <f t="shared" si="63"/>
        <v/>
      </c>
      <c r="CJ196" s="169" t="str">
        <f t="shared" si="63"/>
        <v/>
      </c>
      <c r="CK196" s="299" t="str">
        <f t="shared" si="63"/>
        <v/>
      </c>
      <c r="CL196" s="298">
        <f>8*D196</f>
        <v>16</v>
      </c>
      <c r="CM196" s="169" t="str">
        <f t="shared" ref="CM196:CQ197" si="68">IF($P196=CM$159,$DC196,"")</f>
        <v/>
      </c>
      <c r="CN196" s="169" t="str">
        <f t="shared" si="68"/>
        <v/>
      </c>
      <c r="CO196" s="169" t="str">
        <f t="shared" si="68"/>
        <v/>
      </c>
      <c r="CP196" s="169" t="str">
        <f t="shared" si="68"/>
        <v/>
      </c>
      <c r="CQ196" s="299" t="str">
        <f t="shared" si="68"/>
        <v/>
      </c>
      <c r="CR196" s="298"/>
      <c r="CS196" s="169"/>
      <c r="CT196" s="169"/>
      <c r="CU196" s="169"/>
      <c r="CV196" s="169"/>
      <c r="CW196" s="299"/>
      <c r="CX196" s="299" t="str">
        <f>IF($P196=CX$159,$DC196,"")</f>
        <v/>
      </c>
      <c r="CZ196" s="10"/>
      <c r="DB196" s="10">
        <f t="shared" si="65"/>
        <v>22</v>
      </c>
      <c r="DC196" s="10">
        <f t="shared" si="66"/>
        <v>11</v>
      </c>
    </row>
    <row r="197" spans="2:107" x14ac:dyDescent="0.25">
      <c r="B197" s="127" t="s">
        <v>796</v>
      </c>
      <c r="C197" s="526" t="str">
        <f t="shared" si="52"/>
        <v>Ice Bin (19728 (OSM))</v>
      </c>
      <c r="D197" s="527">
        <f t="shared" si="53"/>
        <v>2</v>
      </c>
      <c r="G197" s="40"/>
      <c r="Q197" s="47"/>
      <c r="S197" s="298" t="str">
        <f t="shared" si="58"/>
        <v/>
      </c>
      <c r="T197" s="169" t="str">
        <f t="shared" si="58"/>
        <v/>
      </c>
      <c r="U197" s="169" t="str">
        <f t="shared" si="58"/>
        <v/>
      </c>
      <c r="V197" s="169" t="str">
        <f t="shared" si="58"/>
        <v/>
      </c>
      <c r="W197" s="169" t="str">
        <f t="shared" si="58"/>
        <v/>
      </c>
      <c r="X197" s="169" t="str">
        <f t="shared" si="58"/>
        <v/>
      </c>
      <c r="Y197" s="169" t="str">
        <f t="shared" si="58"/>
        <v/>
      </c>
      <c r="Z197" s="169" t="str">
        <f t="shared" si="58"/>
        <v/>
      </c>
      <c r="AA197" s="299" t="str">
        <f t="shared" si="58"/>
        <v/>
      </c>
      <c r="AB197" s="169" t="str">
        <f t="shared" si="59"/>
        <v/>
      </c>
      <c r="AC197" s="169" t="str">
        <f t="shared" si="59"/>
        <v/>
      </c>
      <c r="AD197" s="169" t="str">
        <f t="shared" si="59"/>
        <v/>
      </c>
      <c r="AE197" s="169" t="str">
        <f t="shared" si="59"/>
        <v/>
      </c>
      <c r="AF197" s="169" t="str">
        <f t="shared" si="59"/>
        <v/>
      </c>
      <c r="AG197" s="169" t="str">
        <f t="shared" si="59"/>
        <v/>
      </c>
      <c r="AH197" s="169" t="str">
        <f t="shared" si="59"/>
        <v/>
      </c>
      <c r="AI197" s="169" t="str">
        <f t="shared" si="59"/>
        <v/>
      </c>
      <c r="AJ197" s="299" t="str">
        <f t="shared" si="59"/>
        <v/>
      </c>
      <c r="AK197" s="298" t="str">
        <f t="shared" si="54"/>
        <v/>
      </c>
      <c r="AL197" s="299" t="str">
        <f t="shared" si="55"/>
        <v/>
      </c>
      <c r="AM197" s="169" t="str">
        <f t="shared" si="60"/>
        <v/>
      </c>
      <c r="AN197" s="169" t="str">
        <f t="shared" si="60"/>
        <v/>
      </c>
      <c r="AO197" s="169" t="str">
        <f t="shared" si="60"/>
        <v/>
      </c>
      <c r="AP197" s="169" t="str">
        <f t="shared" si="60"/>
        <v/>
      </c>
      <c r="AQ197" s="169" t="str">
        <f t="shared" si="60"/>
        <v/>
      </c>
      <c r="AR197" s="169" t="str">
        <f t="shared" si="60"/>
        <v/>
      </c>
      <c r="AS197" s="169" t="str">
        <f t="shared" si="60"/>
        <v/>
      </c>
      <c r="AT197" s="169" t="str">
        <f t="shared" si="60"/>
        <v/>
      </c>
      <c r="AU197" s="299" t="str">
        <f t="shared" si="60"/>
        <v/>
      </c>
      <c r="AV197" s="169" t="str">
        <f t="shared" si="64"/>
        <v/>
      </c>
      <c r="AW197" s="169" t="str">
        <f t="shared" si="57"/>
        <v/>
      </c>
      <c r="AX197" s="169" t="str">
        <f t="shared" si="57"/>
        <v/>
      </c>
      <c r="AY197" s="169" t="str">
        <f t="shared" si="50"/>
        <v/>
      </c>
      <c r="AZ197" s="169" t="str">
        <f t="shared" si="50"/>
        <v/>
      </c>
      <c r="BA197" s="299" t="str">
        <f t="shared" si="50"/>
        <v/>
      </c>
      <c r="BB197" s="169" t="str">
        <f t="shared" si="67"/>
        <v/>
      </c>
      <c r="BC197" s="169" t="str">
        <f t="shared" si="33"/>
        <v/>
      </c>
      <c r="BD197" s="169" t="str">
        <f t="shared" si="30"/>
        <v/>
      </c>
      <c r="BE197" s="169" t="str">
        <f t="shared" si="51"/>
        <v/>
      </c>
      <c r="BF197" s="169" t="str">
        <f t="shared" si="51"/>
        <v/>
      </c>
      <c r="BG197" s="169" t="str">
        <f t="shared" si="51"/>
        <v/>
      </c>
      <c r="BH197" s="298" t="str">
        <f t="shared" si="17"/>
        <v/>
      </c>
      <c r="BI197" s="169" t="str">
        <f t="shared" si="28"/>
        <v/>
      </c>
      <c r="BJ197" s="169" t="str">
        <f t="shared" si="46"/>
        <v/>
      </c>
      <c r="BK197" s="169" t="str">
        <f t="shared" si="46"/>
        <v/>
      </c>
      <c r="BL197" s="169" t="str">
        <f t="shared" si="46"/>
        <v/>
      </c>
      <c r="BM197" s="299" t="str">
        <f t="shared" si="46"/>
        <v/>
      </c>
      <c r="BN197" s="298" t="str">
        <f t="shared" si="61"/>
        <v/>
      </c>
      <c r="BO197" s="169" t="str">
        <f t="shared" si="61"/>
        <v/>
      </c>
      <c r="BP197" s="169" t="str">
        <f t="shared" si="61"/>
        <v/>
      </c>
      <c r="BQ197" s="169" t="str">
        <f t="shared" si="61"/>
        <v/>
      </c>
      <c r="BR197" s="169" t="str">
        <f t="shared" si="61"/>
        <v/>
      </c>
      <c r="BS197" s="169" t="str">
        <f t="shared" si="61"/>
        <v/>
      </c>
      <c r="BT197" s="169" t="str">
        <f t="shared" si="61"/>
        <v/>
      </c>
      <c r="BU197" s="169" t="str">
        <f t="shared" si="61"/>
        <v/>
      </c>
      <c r="BV197" s="299" t="str">
        <f t="shared" si="61"/>
        <v/>
      </c>
      <c r="BW197" s="298" t="str">
        <f t="shared" si="62"/>
        <v/>
      </c>
      <c r="BX197" s="169" t="str">
        <f t="shared" si="62"/>
        <v/>
      </c>
      <c r="BY197" s="169" t="str">
        <f t="shared" si="62"/>
        <v/>
      </c>
      <c r="BZ197" s="169" t="str">
        <f t="shared" si="62"/>
        <v/>
      </c>
      <c r="CA197" s="169" t="str">
        <f t="shared" si="62"/>
        <v/>
      </c>
      <c r="CB197" s="169" t="str">
        <f t="shared" si="62"/>
        <v/>
      </c>
      <c r="CC197" s="169" t="str">
        <f t="shared" si="62"/>
        <v/>
      </c>
      <c r="CD197" s="169" t="str">
        <f t="shared" si="62"/>
        <v/>
      </c>
      <c r="CE197" s="299" t="str">
        <f t="shared" si="62"/>
        <v/>
      </c>
      <c r="CF197" s="298" t="str">
        <f t="shared" si="63"/>
        <v/>
      </c>
      <c r="CG197" s="169" t="str">
        <f t="shared" si="63"/>
        <v/>
      </c>
      <c r="CH197" s="169" t="str">
        <f t="shared" si="63"/>
        <v/>
      </c>
      <c r="CI197" s="169" t="str">
        <f t="shared" si="63"/>
        <v/>
      </c>
      <c r="CJ197" s="169" t="str">
        <f t="shared" si="63"/>
        <v/>
      </c>
      <c r="CK197" s="299" t="str">
        <f t="shared" si="63"/>
        <v/>
      </c>
      <c r="CL197" s="298">
        <f>8*D197</f>
        <v>16</v>
      </c>
      <c r="CM197" s="169" t="str">
        <f t="shared" si="68"/>
        <v/>
      </c>
      <c r="CN197" s="169" t="str">
        <f t="shared" si="68"/>
        <v/>
      </c>
      <c r="CO197" s="169" t="str">
        <f t="shared" si="68"/>
        <v/>
      </c>
      <c r="CP197" s="169" t="str">
        <f t="shared" si="68"/>
        <v/>
      </c>
      <c r="CQ197" s="299" t="str">
        <f t="shared" si="68"/>
        <v/>
      </c>
      <c r="CR197" s="298"/>
      <c r="CS197" s="169"/>
      <c r="CT197" s="169"/>
      <c r="CU197" s="169"/>
      <c r="CV197" s="169"/>
      <c r="CW197" s="299"/>
      <c r="CX197" s="299" t="str">
        <f>IF($P197=CX$159,$DC197,"")</f>
        <v/>
      </c>
      <c r="CZ197" s="10"/>
      <c r="DB197" s="10">
        <f t="shared" si="65"/>
        <v>22</v>
      </c>
      <c r="DC197" s="10">
        <f t="shared" si="66"/>
        <v>11</v>
      </c>
    </row>
    <row r="198" spans="2:107" x14ac:dyDescent="0.25">
      <c r="B198" s="127" t="s">
        <v>795</v>
      </c>
      <c r="C198" s="526" t="str">
        <f t="shared" si="52"/>
        <v>Ice Bin (18029 (OSM))</v>
      </c>
      <c r="D198" s="527">
        <f t="shared" si="53"/>
        <v>1</v>
      </c>
      <c r="G198" s="40"/>
      <c r="Q198" s="47"/>
      <c r="S198" s="298" t="str">
        <f t="shared" si="58"/>
        <v/>
      </c>
      <c r="T198" s="169" t="str">
        <f t="shared" si="58"/>
        <v/>
      </c>
      <c r="U198" s="169" t="str">
        <f t="shared" si="58"/>
        <v/>
      </c>
      <c r="V198" s="169" t="str">
        <f t="shared" si="58"/>
        <v/>
      </c>
      <c r="W198" s="169" t="str">
        <f t="shared" si="58"/>
        <v/>
      </c>
      <c r="X198" s="169" t="str">
        <f t="shared" si="58"/>
        <v/>
      </c>
      <c r="Y198" s="169" t="str">
        <f t="shared" si="58"/>
        <v/>
      </c>
      <c r="Z198" s="169" t="str">
        <f t="shared" si="58"/>
        <v/>
      </c>
      <c r="AA198" s="299" t="str">
        <f t="shared" si="58"/>
        <v/>
      </c>
      <c r="AB198" s="169" t="str">
        <f t="shared" si="59"/>
        <v/>
      </c>
      <c r="AC198" s="169" t="str">
        <f t="shared" si="59"/>
        <v/>
      </c>
      <c r="AD198" s="169" t="str">
        <f t="shared" si="59"/>
        <v/>
      </c>
      <c r="AE198" s="169" t="str">
        <f t="shared" si="59"/>
        <v/>
      </c>
      <c r="AF198" s="169" t="str">
        <f t="shared" si="59"/>
        <v/>
      </c>
      <c r="AG198" s="169" t="str">
        <f t="shared" si="59"/>
        <v/>
      </c>
      <c r="AH198" s="169" t="str">
        <f t="shared" si="59"/>
        <v/>
      </c>
      <c r="AI198" s="169" t="str">
        <f t="shared" si="59"/>
        <v/>
      </c>
      <c r="AJ198" s="299" t="str">
        <f t="shared" si="59"/>
        <v/>
      </c>
      <c r="AK198" s="298" t="str">
        <f t="shared" si="54"/>
        <v/>
      </c>
      <c r="AL198" s="299" t="str">
        <f t="shared" si="55"/>
        <v/>
      </c>
      <c r="AM198" s="169" t="str">
        <f t="shared" si="60"/>
        <v/>
      </c>
      <c r="AN198" s="169" t="str">
        <f t="shared" si="60"/>
        <v/>
      </c>
      <c r="AO198" s="169" t="str">
        <f t="shared" si="60"/>
        <v/>
      </c>
      <c r="AP198" s="169" t="str">
        <f t="shared" si="60"/>
        <v/>
      </c>
      <c r="AQ198" s="169" t="str">
        <f t="shared" si="60"/>
        <v/>
      </c>
      <c r="AR198" s="169" t="str">
        <f t="shared" si="60"/>
        <v/>
      </c>
      <c r="AS198" s="169" t="str">
        <f t="shared" si="60"/>
        <v/>
      </c>
      <c r="AT198" s="169" t="str">
        <f t="shared" si="60"/>
        <v/>
      </c>
      <c r="AU198" s="299" t="str">
        <f t="shared" si="60"/>
        <v/>
      </c>
      <c r="AV198" s="169" t="str">
        <f t="shared" si="64"/>
        <v/>
      </c>
      <c r="AW198" s="169" t="str">
        <f t="shared" si="57"/>
        <v/>
      </c>
      <c r="AX198" s="169" t="str">
        <f t="shared" si="57"/>
        <v/>
      </c>
      <c r="AY198" s="169" t="str">
        <f t="shared" si="50"/>
        <v/>
      </c>
      <c r="AZ198" s="169" t="str">
        <f t="shared" si="50"/>
        <v/>
      </c>
      <c r="BA198" s="299" t="str">
        <f t="shared" si="50"/>
        <v/>
      </c>
      <c r="BB198" s="169" t="str">
        <f t="shared" si="67"/>
        <v/>
      </c>
      <c r="BC198" s="169" t="str">
        <f t="shared" si="33"/>
        <v/>
      </c>
      <c r="BD198" s="169" t="str">
        <f t="shared" si="30"/>
        <v/>
      </c>
      <c r="BE198" s="169" t="str">
        <f t="shared" si="51"/>
        <v/>
      </c>
      <c r="BF198" s="169" t="str">
        <f t="shared" si="51"/>
        <v/>
      </c>
      <c r="BG198" s="169" t="str">
        <f t="shared" si="51"/>
        <v/>
      </c>
      <c r="BH198" s="298" t="str">
        <f t="shared" si="17"/>
        <v/>
      </c>
      <c r="BI198" s="169" t="str">
        <f t="shared" si="28"/>
        <v/>
      </c>
      <c r="BJ198" s="169" t="str">
        <f t="shared" si="46"/>
        <v/>
      </c>
      <c r="BK198" s="169" t="str">
        <f t="shared" si="46"/>
        <v/>
      </c>
      <c r="BL198" s="169" t="str">
        <f t="shared" si="46"/>
        <v/>
      </c>
      <c r="BM198" s="299" t="str">
        <f t="shared" si="46"/>
        <v/>
      </c>
      <c r="BN198" s="298" t="str">
        <f t="shared" si="61"/>
        <v/>
      </c>
      <c r="BO198" s="169" t="str">
        <f t="shared" si="61"/>
        <v/>
      </c>
      <c r="BP198" s="169" t="str">
        <f t="shared" si="61"/>
        <v/>
      </c>
      <c r="BQ198" s="169" t="str">
        <f t="shared" si="61"/>
        <v/>
      </c>
      <c r="BR198" s="169" t="str">
        <f t="shared" si="61"/>
        <v/>
      </c>
      <c r="BS198" s="169" t="str">
        <f t="shared" si="61"/>
        <v/>
      </c>
      <c r="BT198" s="169" t="str">
        <f t="shared" si="61"/>
        <v/>
      </c>
      <c r="BU198" s="169" t="str">
        <f t="shared" si="61"/>
        <v/>
      </c>
      <c r="BV198" s="299" t="str">
        <f t="shared" si="61"/>
        <v/>
      </c>
      <c r="BW198" s="298" t="str">
        <f t="shared" si="62"/>
        <v/>
      </c>
      <c r="BX198" s="169" t="str">
        <f t="shared" si="62"/>
        <v/>
      </c>
      <c r="BY198" s="169" t="str">
        <f t="shared" si="62"/>
        <v/>
      </c>
      <c r="BZ198" s="169" t="str">
        <f t="shared" si="62"/>
        <v/>
      </c>
      <c r="CA198" s="169" t="str">
        <f t="shared" si="62"/>
        <v/>
      </c>
      <c r="CB198" s="169" t="str">
        <f t="shared" si="62"/>
        <v/>
      </c>
      <c r="CC198" s="169" t="str">
        <f t="shared" si="62"/>
        <v/>
      </c>
      <c r="CD198" s="169" t="str">
        <f t="shared" si="62"/>
        <v/>
      </c>
      <c r="CE198" s="299" t="str">
        <f t="shared" si="62"/>
        <v/>
      </c>
      <c r="CF198" s="298" t="str">
        <f t="shared" si="63"/>
        <v/>
      </c>
      <c r="CG198" s="169" t="str">
        <f t="shared" si="63"/>
        <v/>
      </c>
      <c r="CH198" s="169" t="str">
        <f t="shared" si="63"/>
        <v/>
      </c>
      <c r="CI198" s="169" t="str">
        <f t="shared" si="63"/>
        <v/>
      </c>
      <c r="CJ198" s="169" t="str">
        <f t="shared" si="63"/>
        <v/>
      </c>
      <c r="CK198" s="299" t="str">
        <f t="shared" si="63"/>
        <v/>
      </c>
      <c r="CL198" s="298" t="str">
        <f>IF($P198=CL$159,$DC198,"")</f>
        <v/>
      </c>
      <c r="CM198" s="169" t="str">
        <f>IF($P198=CM$159,$DC198,"")</f>
        <v/>
      </c>
      <c r="CN198" s="169">
        <f>8*D198</f>
        <v>8</v>
      </c>
      <c r="CO198" s="169" t="str">
        <f t="shared" ref="CO198:CQ201" si="69">IF($P198=CO$159,$DC198,"")</f>
        <v/>
      </c>
      <c r="CP198" s="169" t="str">
        <f t="shared" si="69"/>
        <v/>
      </c>
      <c r="CQ198" s="299" t="str">
        <f t="shared" si="69"/>
        <v/>
      </c>
      <c r="CR198" s="298"/>
      <c r="CS198" s="169"/>
      <c r="CT198" s="169"/>
      <c r="CU198" s="169"/>
      <c r="CV198" s="169"/>
      <c r="CW198" s="299"/>
      <c r="CX198" s="299" t="str">
        <f>IF($P198=CX$159,$DC198,"")</f>
        <v/>
      </c>
      <c r="CZ198" s="10"/>
      <c r="DB198" s="10">
        <f t="shared" si="65"/>
        <v>11</v>
      </c>
      <c r="DC198" s="10">
        <f t="shared" si="66"/>
        <v>5.5</v>
      </c>
    </row>
    <row r="199" spans="2:107" x14ac:dyDescent="0.25">
      <c r="B199" s="127" t="s">
        <v>798</v>
      </c>
      <c r="C199" s="526" t="str">
        <f t="shared" si="52"/>
        <v>Ice Machine (23186 (OSM))</v>
      </c>
      <c r="D199" s="527">
        <f t="shared" si="53"/>
        <v>1</v>
      </c>
      <c r="G199" s="40"/>
      <c r="I199" s="10" t="s">
        <v>24</v>
      </c>
      <c r="Q199" s="47"/>
      <c r="S199" s="298" t="str">
        <f t="shared" si="58"/>
        <v/>
      </c>
      <c r="T199" s="169" t="str">
        <f t="shared" si="58"/>
        <v/>
      </c>
      <c r="U199" s="169" t="str">
        <f t="shared" si="58"/>
        <v/>
      </c>
      <c r="V199" s="169" t="str">
        <f t="shared" si="58"/>
        <v/>
      </c>
      <c r="W199" s="169" t="str">
        <f t="shared" si="58"/>
        <v/>
      </c>
      <c r="X199" s="169" t="str">
        <f t="shared" si="58"/>
        <v/>
      </c>
      <c r="Y199" s="169" t="str">
        <f t="shared" si="58"/>
        <v/>
      </c>
      <c r="Z199" s="169" t="str">
        <f t="shared" si="58"/>
        <v/>
      </c>
      <c r="AA199" s="299" t="str">
        <f t="shared" si="58"/>
        <v/>
      </c>
      <c r="AB199" s="169" t="str">
        <f t="shared" si="59"/>
        <v/>
      </c>
      <c r="AC199" s="169" t="str">
        <f t="shared" si="59"/>
        <v/>
      </c>
      <c r="AD199" s="169" t="str">
        <f t="shared" si="59"/>
        <v/>
      </c>
      <c r="AE199" s="169" t="str">
        <f t="shared" si="59"/>
        <v/>
      </c>
      <c r="AF199" s="169" t="str">
        <f t="shared" si="59"/>
        <v/>
      </c>
      <c r="AG199" s="169" t="str">
        <f t="shared" si="59"/>
        <v/>
      </c>
      <c r="AH199" s="169" t="str">
        <f t="shared" si="59"/>
        <v/>
      </c>
      <c r="AI199" s="169" t="str">
        <f t="shared" si="59"/>
        <v/>
      </c>
      <c r="AJ199" s="299" t="str">
        <f t="shared" si="59"/>
        <v/>
      </c>
      <c r="AK199" s="298" t="str">
        <f t="shared" si="54"/>
        <v/>
      </c>
      <c r="AL199" s="299" t="str">
        <f t="shared" si="55"/>
        <v/>
      </c>
      <c r="AM199" s="169" t="str">
        <f t="shared" si="60"/>
        <v/>
      </c>
      <c r="AN199" s="169">
        <f t="shared" si="60"/>
        <v>11</v>
      </c>
      <c r="AO199" s="169" t="str">
        <f t="shared" si="60"/>
        <v/>
      </c>
      <c r="AP199" s="169" t="str">
        <f t="shared" si="60"/>
        <v/>
      </c>
      <c r="AQ199" s="169" t="str">
        <f t="shared" si="60"/>
        <v/>
      </c>
      <c r="AR199" s="169" t="str">
        <f t="shared" si="60"/>
        <v/>
      </c>
      <c r="AS199" s="169" t="str">
        <f t="shared" si="60"/>
        <v/>
      </c>
      <c r="AT199" s="169" t="str">
        <f t="shared" si="60"/>
        <v/>
      </c>
      <c r="AU199" s="299" t="str">
        <f t="shared" si="60"/>
        <v/>
      </c>
      <c r="AV199" s="169" t="str">
        <f t="shared" si="64"/>
        <v/>
      </c>
      <c r="AW199" s="169" t="str">
        <f t="shared" si="57"/>
        <v/>
      </c>
      <c r="AX199" s="169" t="str">
        <f t="shared" si="57"/>
        <v/>
      </c>
      <c r="AY199" s="169" t="str">
        <f t="shared" si="50"/>
        <v/>
      </c>
      <c r="AZ199" s="169" t="str">
        <f t="shared" si="50"/>
        <v/>
      </c>
      <c r="BA199" s="299" t="str">
        <f t="shared" si="50"/>
        <v/>
      </c>
      <c r="BB199" s="169" t="str">
        <f t="shared" si="67"/>
        <v/>
      </c>
      <c r="BC199" s="169" t="str">
        <f t="shared" si="33"/>
        <v/>
      </c>
      <c r="BD199" s="169" t="str">
        <f t="shared" si="30"/>
        <v/>
      </c>
      <c r="BE199" s="169" t="str">
        <f t="shared" si="51"/>
        <v/>
      </c>
      <c r="BF199" s="169" t="str">
        <f t="shared" si="51"/>
        <v/>
      </c>
      <c r="BG199" s="169" t="str">
        <f t="shared" si="51"/>
        <v/>
      </c>
      <c r="BH199" s="298" t="str">
        <f t="shared" si="17"/>
        <v/>
      </c>
      <c r="BI199" s="169" t="str">
        <f t="shared" si="28"/>
        <v/>
      </c>
      <c r="BJ199" s="169" t="str">
        <f t="shared" si="46"/>
        <v/>
      </c>
      <c r="BK199" s="169" t="str">
        <f t="shared" si="46"/>
        <v/>
      </c>
      <c r="BL199" s="169" t="str">
        <f t="shared" si="46"/>
        <v/>
      </c>
      <c r="BM199" s="299" t="str">
        <f t="shared" si="46"/>
        <v/>
      </c>
      <c r="BN199" s="298" t="str">
        <f t="shared" si="61"/>
        <v/>
      </c>
      <c r="BO199" s="169" t="str">
        <f t="shared" si="61"/>
        <v/>
      </c>
      <c r="BP199" s="169" t="str">
        <f t="shared" si="61"/>
        <v/>
      </c>
      <c r="BQ199" s="169" t="str">
        <f t="shared" si="61"/>
        <v/>
      </c>
      <c r="BR199" s="169" t="str">
        <f t="shared" si="61"/>
        <v/>
      </c>
      <c r="BS199" s="169" t="str">
        <f t="shared" si="61"/>
        <v/>
      </c>
      <c r="BT199" s="169" t="str">
        <f t="shared" si="61"/>
        <v/>
      </c>
      <c r="BU199" s="169" t="str">
        <f t="shared" si="61"/>
        <v/>
      </c>
      <c r="BV199" s="299" t="str">
        <f t="shared" si="61"/>
        <v/>
      </c>
      <c r="BW199" s="298" t="str">
        <f t="shared" si="62"/>
        <v/>
      </c>
      <c r="BX199" s="169" t="str">
        <f t="shared" si="62"/>
        <v/>
      </c>
      <c r="BY199" s="169" t="str">
        <f t="shared" si="62"/>
        <v/>
      </c>
      <c r="BZ199" s="169" t="str">
        <f t="shared" si="62"/>
        <v/>
      </c>
      <c r="CA199" s="169" t="str">
        <f t="shared" si="62"/>
        <v/>
      </c>
      <c r="CB199" s="169" t="str">
        <f t="shared" si="62"/>
        <v/>
      </c>
      <c r="CC199" s="169" t="str">
        <f t="shared" si="62"/>
        <v/>
      </c>
      <c r="CD199" s="169" t="str">
        <f t="shared" si="62"/>
        <v/>
      </c>
      <c r="CE199" s="299" t="str">
        <f t="shared" si="62"/>
        <v/>
      </c>
      <c r="CF199" s="298" t="str">
        <f t="shared" si="63"/>
        <v/>
      </c>
      <c r="CG199" s="169" t="str">
        <f t="shared" si="63"/>
        <v/>
      </c>
      <c r="CH199" s="169" t="str">
        <f t="shared" si="63"/>
        <v/>
      </c>
      <c r="CI199" s="169" t="str">
        <f t="shared" si="63"/>
        <v/>
      </c>
      <c r="CJ199" s="169" t="str">
        <f t="shared" si="63"/>
        <v/>
      </c>
      <c r="CK199" s="299" t="str">
        <f t="shared" si="63"/>
        <v/>
      </c>
      <c r="CL199" s="298" t="str">
        <f>IF($P199=CL$159,$DC199,"")</f>
        <v/>
      </c>
      <c r="CM199" s="169">
        <f>8*D199</f>
        <v>8</v>
      </c>
      <c r="CN199" s="169" t="str">
        <f>IF($P199=CN$159,$DC199,"")</f>
        <v/>
      </c>
      <c r="CO199" s="169" t="str">
        <f t="shared" si="69"/>
        <v/>
      </c>
      <c r="CP199" s="169" t="str">
        <f t="shared" si="69"/>
        <v/>
      </c>
      <c r="CQ199" s="299" t="str">
        <f t="shared" si="69"/>
        <v/>
      </c>
      <c r="CR199" s="298"/>
      <c r="CS199" s="169"/>
      <c r="CT199" s="169"/>
      <c r="CU199" s="169"/>
      <c r="CV199" s="169"/>
      <c r="CW199" s="299"/>
      <c r="CX199" s="299" t="str">
        <f>IF($P199=CX$159,$DC199,"")</f>
        <v/>
      </c>
      <c r="CZ199" s="10"/>
      <c r="DB199" s="10">
        <f t="shared" si="65"/>
        <v>11</v>
      </c>
      <c r="DC199" s="10">
        <f t="shared" si="66"/>
        <v>5.5</v>
      </c>
    </row>
    <row r="200" spans="2:107" x14ac:dyDescent="0.25">
      <c r="B200" s="127" t="s">
        <v>795</v>
      </c>
      <c r="C200" s="526" t="str">
        <f t="shared" si="52"/>
        <v>Ice Bin drop (10344 (OSM))</v>
      </c>
      <c r="D200" s="527">
        <f t="shared" si="53"/>
        <v>2</v>
      </c>
      <c r="G200" s="40"/>
      <c r="Q200" s="47"/>
      <c r="S200" s="298" t="str">
        <f t="shared" si="58"/>
        <v/>
      </c>
      <c r="T200" s="169" t="str">
        <f t="shared" si="58"/>
        <v/>
      </c>
      <c r="U200" s="169" t="str">
        <f t="shared" si="58"/>
        <v/>
      </c>
      <c r="V200" s="169" t="str">
        <f t="shared" si="58"/>
        <v/>
      </c>
      <c r="W200" s="169" t="str">
        <f t="shared" si="58"/>
        <v/>
      </c>
      <c r="X200" s="169" t="str">
        <f t="shared" si="58"/>
        <v/>
      </c>
      <c r="Y200" s="169" t="str">
        <f t="shared" si="58"/>
        <v/>
      </c>
      <c r="Z200" s="169" t="str">
        <f t="shared" si="58"/>
        <v/>
      </c>
      <c r="AA200" s="299" t="str">
        <f t="shared" si="58"/>
        <v/>
      </c>
      <c r="AB200" s="169" t="str">
        <f t="shared" si="59"/>
        <v/>
      </c>
      <c r="AC200" s="169" t="str">
        <f t="shared" si="59"/>
        <v/>
      </c>
      <c r="AD200" s="169" t="str">
        <f t="shared" si="59"/>
        <v/>
      </c>
      <c r="AE200" s="169" t="str">
        <f t="shared" si="59"/>
        <v/>
      </c>
      <c r="AF200" s="169" t="str">
        <f t="shared" si="59"/>
        <v/>
      </c>
      <c r="AG200" s="169" t="str">
        <f t="shared" si="59"/>
        <v/>
      </c>
      <c r="AH200" s="169" t="str">
        <f t="shared" si="59"/>
        <v/>
      </c>
      <c r="AI200" s="169" t="str">
        <f t="shared" si="59"/>
        <v/>
      </c>
      <c r="AJ200" s="299" t="str">
        <f t="shared" si="59"/>
        <v/>
      </c>
      <c r="AK200" s="298" t="str">
        <f t="shared" si="54"/>
        <v/>
      </c>
      <c r="AL200" s="299" t="str">
        <f t="shared" si="55"/>
        <v/>
      </c>
      <c r="AM200" s="169" t="str">
        <f t="shared" si="60"/>
        <v/>
      </c>
      <c r="AN200" s="169" t="str">
        <f t="shared" si="60"/>
        <v/>
      </c>
      <c r="AO200" s="169" t="str">
        <f t="shared" si="60"/>
        <v/>
      </c>
      <c r="AP200" s="169" t="str">
        <f t="shared" si="60"/>
        <v/>
      </c>
      <c r="AQ200" s="169" t="str">
        <f t="shared" si="60"/>
        <v/>
      </c>
      <c r="AR200" s="169" t="str">
        <f t="shared" si="60"/>
        <v/>
      </c>
      <c r="AS200" s="169" t="str">
        <f t="shared" si="60"/>
        <v/>
      </c>
      <c r="AT200" s="169" t="str">
        <f t="shared" si="60"/>
        <v/>
      </c>
      <c r="AU200" s="299" t="str">
        <f t="shared" si="60"/>
        <v/>
      </c>
      <c r="AV200" s="169" t="str">
        <f t="shared" si="64"/>
        <v/>
      </c>
      <c r="AW200" s="169" t="str">
        <f t="shared" si="57"/>
        <v/>
      </c>
      <c r="AX200" s="169" t="str">
        <f t="shared" si="57"/>
        <v/>
      </c>
      <c r="AY200" s="169" t="str">
        <f t="shared" si="50"/>
        <v/>
      </c>
      <c r="AZ200" s="169" t="str">
        <f t="shared" si="50"/>
        <v/>
      </c>
      <c r="BA200" s="299" t="str">
        <f t="shared" si="50"/>
        <v/>
      </c>
      <c r="BB200" s="169" t="str">
        <f t="shared" si="67"/>
        <v/>
      </c>
      <c r="BC200" s="169" t="str">
        <f t="shared" si="33"/>
        <v/>
      </c>
      <c r="BD200" s="169" t="str">
        <f t="shared" si="30"/>
        <v/>
      </c>
      <c r="BE200" s="169" t="str">
        <f t="shared" si="51"/>
        <v/>
      </c>
      <c r="BF200" s="169" t="str">
        <f t="shared" si="51"/>
        <v/>
      </c>
      <c r="BG200" s="169" t="str">
        <f t="shared" si="51"/>
        <v/>
      </c>
      <c r="BH200" s="298" t="str">
        <f t="shared" si="17"/>
        <v/>
      </c>
      <c r="BI200" s="169" t="str">
        <f t="shared" si="28"/>
        <v/>
      </c>
      <c r="BJ200" s="169" t="str">
        <f t="shared" si="46"/>
        <v/>
      </c>
      <c r="BK200" s="169" t="str">
        <f t="shared" si="46"/>
        <v/>
      </c>
      <c r="BL200" s="169" t="str">
        <f t="shared" si="46"/>
        <v/>
      </c>
      <c r="BM200" s="299" t="str">
        <f t="shared" si="46"/>
        <v/>
      </c>
      <c r="BN200" s="298" t="str">
        <f t="shared" si="61"/>
        <v/>
      </c>
      <c r="BO200" s="169" t="str">
        <f t="shared" si="61"/>
        <v/>
      </c>
      <c r="BP200" s="169" t="str">
        <f t="shared" si="61"/>
        <v/>
      </c>
      <c r="BQ200" s="169" t="str">
        <f t="shared" si="61"/>
        <v/>
      </c>
      <c r="BR200" s="169" t="str">
        <f t="shared" si="61"/>
        <v/>
      </c>
      <c r="BS200" s="169" t="str">
        <f t="shared" si="61"/>
        <v/>
      </c>
      <c r="BT200" s="169" t="str">
        <f t="shared" si="61"/>
        <v/>
      </c>
      <c r="BU200" s="169" t="str">
        <f t="shared" si="61"/>
        <v/>
      </c>
      <c r="BV200" s="299" t="str">
        <f t="shared" si="61"/>
        <v/>
      </c>
      <c r="BW200" s="298" t="str">
        <f t="shared" si="62"/>
        <v/>
      </c>
      <c r="BX200" s="169" t="str">
        <f t="shared" si="62"/>
        <v/>
      </c>
      <c r="BY200" s="169" t="str">
        <f t="shared" si="62"/>
        <v/>
      </c>
      <c r="BZ200" s="169" t="str">
        <f t="shared" si="62"/>
        <v/>
      </c>
      <c r="CA200" s="169" t="str">
        <f t="shared" si="62"/>
        <v/>
      </c>
      <c r="CB200" s="169" t="str">
        <f t="shared" si="62"/>
        <v/>
      </c>
      <c r="CC200" s="169" t="str">
        <f t="shared" si="62"/>
        <v/>
      </c>
      <c r="CD200" s="169" t="str">
        <f t="shared" si="62"/>
        <v/>
      </c>
      <c r="CE200" s="299" t="str">
        <f t="shared" si="62"/>
        <v/>
      </c>
      <c r="CF200" s="298" t="str">
        <f t="shared" si="63"/>
        <v/>
      </c>
      <c r="CG200" s="169" t="str">
        <f t="shared" si="63"/>
        <v/>
      </c>
      <c r="CH200" s="169" t="str">
        <f t="shared" si="63"/>
        <v/>
      </c>
      <c r="CI200" s="169" t="str">
        <f t="shared" si="63"/>
        <v/>
      </c>
      <c r="CJ200" s="169" t="str">
        <f t="shared" si="63"/>
        <v/>
      </c>
      <c r="CK200" s="299" t="str">
        <f t="shared" si="63"/>
        <v/>
      </c>
      <c r="CL200" s="298" t="str">
        <f>IF($P200=CL$159,$DC200,"")</f>
        <v/>
      </c>
      <c r="CM200" s="169" t="str">
        <f t="shared" ref="CM200:CM231" si="70">IF($P200=CM$159,$DC200,"")</f>
        <v/>
      </c>
      <c r="CN200" s="169">
        <f>8*D200</f>
        <v>16</v>
      </c>
      <c r="CO200" s="169" t="str">
        <f t="shared" si="69"/>
        <v/>
      </c>
      <c r="CP200" s="169" t="str">
        <f t="shared" si="69"/>
        <v/>
      </c>
      <c r="CQ200" s="299" t="str">
        <f t="shared" si="69"/>
        <v/>
      </c>
      <c r="CR200" s="298"/>
      <c r="CS200" s="169"/>
      <c r="CT200" s="169"/>
      <c r="CU200" s="169"/>
      <c r="CV200" s="169"/>
      <c r="CW200" s="299"/>
      <c r="CX200" s="299" t="str">
        <f>IF($P200=CX$159,$DC200,"")</f>
        <v/>
      </c>
      <c r="CZ200" s="10"/>
      <c r="DB200" s="10">
        <f t="shared" si="65"/>
        <v>22</v>
      </c>
      <c r="DC200" s="10">
        <f t="shared" si="66"/>
        <v>11</v>
      </c>
    </row>
    <row r="201" spans="2:107" x14ac:dyDescent="0.25">
      <c r="B201" s="127" t="s">
        <v>799</v>
      </c>
      <c r="C201" s="526" t="str">
        <f t="shared" si="52"/>
        <v>Dishwasher (24007 (OSM))</v>
      </c>
      <c r="D201" s="527">
        <f t="shared" si="53"/>
        <v>1</v>
      </c>
      <c r="G201" s="40"/>
      <c r="Q201" s="47"/>
      <c r="S201" s="298" t="str">
        <f t="shared" si="58"/>
        <v/>
      </c>
      <c r="T201" s="169" t="str">
        <f t="shared" si="58"/>
        <v/>
      </c>
      <c r="U201" s="169" t="str">
        <f t="shared" si="58"/>
        <v/>
      </c>
      <c r="V201" s="169" t="str">
        <f t="shared" si="58"/>
        <v/>
      </c>
      <c r="W201" s="169" t="str">
        <f t="shared" si="58"/>
        <v/>
      </c>
      <c r="X201" s="169" t="str">
        <f t="shared" si="58"/>
        <v/>
      </c>
      <c r="Y201" s="169" t="str">
        <f t="shared" si="58"/>
        <v/>
      </c>
      <c r="Z201" s="169" t="str">
        <f t="shared" si="58"/>
        <v/>
      </c>
      <c r="AA201" s="299" t="str">
        <f t="shared" si="58"/>
        <v/>
      </c>
      <c r="AB201" s="169" t="str">
        <f t="shared" si="59"/>
        <v/>
      </c>
      <c r="AC201" s="169" t="str">
        <f t="shared" si="59"/>
        <v/>
      </c>
      <c r="AD201" s="169" t="str">
        <f t="shared" si="59"/>
        <v/>
      </c>
      <c r="AE201" s="169" t="str">
        <f t="shared" si="59"/>
        <v/>
      </c>
      <c r="AF201" s="169" t="str">
        <f t="shared" si="59"/>
        <v/>
      </c>
      <c r="AG201" s="169" t="str">
        <f t="shared" si="59"/>
        <v/>
      </c>
      <c r="AH201" s="169" t="str">
        <f t="shared" si="59"/>
        <v/>
      </c>
      <c r="AI201" s="169" t="str">
        <f t="shared" si="59"/>
        <v/>
      </c>
      <c r="AJ201" s="299" t="str">
        <f t="shared" si="59"/>
        <v/>
      </c>
      <c r="AK201" s="298">
        <v>11</v>
      </c>
      <c r="AL201" s="299"/>
      <c r="AM201" s="169" t="str">
        <f t="shared" si="60"/>
        <v/>
      </c>
      <c r="AN201" s="169" t="str">
        <f t="shared" si="60"/>
        <v/>
      </c>
      <c r="AO201" s="169" t="str">
        <f t="shared" si="60"/>
        <v/>
      </c>
      <c r="AP201" s="169" t="str">
        <f t="shared" si="60"/>
        <v/>
      </c>
      <c r="AQ201" s="169" t="str">
        <f t="shared" si="60"/>
        <v/>
      </c>
      <c r="AR201" s="169" t="str">
        <f t="shared" si="60"/>
        <v/>
      </c>
      <c r="AS201" s="169" t="str">
        <f t="shared" si="60"/>
        <v/>
      </c>
      <c r="AT201" s="169" t="str">
        <f t="shared" si="60"/>
        <v/>
      </c>
      <c r="AU201" s="299" t="str">
        <f t="shared" si="60"/>
        <v/>
      </c>
      <c r="AV201" s="169" t="str">
        <f t="shared" si="64"/>
        <v/>
      </c>
      <c r="AW201" s="169" t="str">
        <f t="shared" si="57"/>
        <v/>
      </c>
      <c r="AX201" s="169" t="str">
        <f t="shared" si="57"/>
        <v/>
      </c>
      <c r="AY201" s="169" t="str">
        <f t="shared" si="50"/>
        <v/>
      </c>
      <c r="AZ201" s="169" t="str">
        <f t="shared" si="50"/>
        <v/>
      </c>
      <c r="BA201" s="299" t="str">
        <f t="shared" si="50"/>
        <v/>
      </c>
      <c r="BB201" s="169" t="str">
        <f t="shared" si="67"/>
        <v/>
      </c>
      <c r="BC201" s="169" t="str">
        <f t="shared" si="33"/>
        <v/>
      </c>
      <c r="BD201" s="169" t="str">
        <f t="shared" si="30"/>
        <v/>
      </c>
      <c r="BE201" s="169" t="str">
        <f t="shared" si="51"/>
        <v/>
      </c>
      <c r="BF201" s="169" t="str">
        <f t="shared" si="51"/>
        <v/>
      </c>
      <c r="BG201" s="169" t="str">
        <f t="shared" si="51"/>
        <v/>
      </c>
      <c r="BH201" s="298" t="str">
        <f t="shared" si="17"/>
        <v/>
      </c>
      <c r="BI201" s="169" t="str">
        <f t="shared" si="28"/>
        <v/>
      </c>
      <c r="BJ201" s="169" t="str">
        <f t="shared" si="46"/>
        <v/>
      </c>
      <c r="BK201" s="169" t="str">
        <f t="shared" si="46"/>
        <v/>
      </c>
      <c r="BL201" s="169" t="str">
        <f t="shared" si="46"/>
        <v/>
      </c>
      <c r="BM201" s="299" t="str">
        <f t="shared" si="46"/>
        <v/>
      </c>
      <c r="BN201" s="298" t="str">
        <f t="shared" si="61"/>
        <v/>
      </c>
      <c r="BO201" s="169" t="str">
        <f t="shared" si="61"/>
        <v/>
      </c>
      <c r="BP201" s="169" t="str">
        <f t="shared" si="61"/>
        <v/>
      </c>
      <c r="BQ201" s="169" t="str">
        <f t="shared" si="61"/>
        <v/>
      </c>
      <c r="BR201" s="169" t="str">
        <f t="shared" si="61"/>
        <v/>
      </c>
      <c r="BS201" s="169" t="str">
        <f t="shared" si="61"/>
        <v/>
      </c>
      <c r="BT201" s="169" t="str">
        <f t="shared" si="61"/>
        <v/>
      </c>
      <c r="BU201" s="169" t="str">
        <f t="shared" si="61"/>
        <v/>
      </c>
      <c r="BV201" s="299" t="str">
        <f t="shared" si="61"/>
        <v/>
      </c>
      <c r="BW201" s="298" t="str">
        <f t="shared" si="62"/>
        <v/>
      </c>
      <c r="BX201" s="169" t="str">
        <f t="shared" si="62"/>
        <v/>
      </c>
      <c r="BY201" s="169" t="str">
        <f t="shared" si="62"/>
        <v/>
      </c>
      <c r="BZ201" s="169" t="str">
        <f t="shared" si="62"/>
        <v/>
      </c>
      <c r="CA201" s="169" t="str">
        <f t="shared" si="62"/>
        <v/>
      </c>
      <c r="CB201" s="169" t="str">
        <f t="shared" si="62"/>
        <v/>
      </c>
      <c r="CC201" s="169" t="str">
        <f t="shared" si="62"/>
        <v/>
      </c>
      <c r="CD201" s="169" t="str">
        <f t="shared" si="62"/>
        <v/>
      </c>
      <c r="CE201" s="299" t="str">
        <f t="shared" si="62"/>
        <v/>
      </c>
      <c r="CF201" s="298" t="str">
        <f t="shared" si="63"/>
        <v/>
      </c>
      <c r="CG201" s="169" t="str">
        <f t="shared" si="63"/>
        <v/>
      </c>
      <c r="CH201" s="169" t="str">
        <f t="shared" si="63"/>
        <v/>
      </c>
      <c r="CI201" s="169" t="str">
        <f t="shared" si="63"/>
        <v/>
      </c>
      <c r="CJ201" s="169" t="str">
        <f t="shared" si="63"/>
        <v/>
      </c>
      <c r="CK201" s="299" t="str">
        <f t="shared" si="63"/>
        <v/>
      </c>
      <c r="CL201" s="298">
        <f>8*D201</f>
        <v>8</v>
      </c>
      <c r="CM201" s="169" t="str">
        <f t="shared" si="70"/>
        <v/>
      </c>
      <c r="CN201" s="169" t="str">
        <f t="shared" ref="CN201:CN232" si="71">IF($P201=CN$159,$DC201,"")</f>
        <v/>
      </c>
      <c r="CO201" s="169" t="str">
        <f t="shared" si="69"/>
        <v/>
      </c>
      <c r="CP201" s="169" t="str">
        <f t="shared" si="69"/>
        <v/>
      </c>
      <c r="CQ201" s="299" t="str">
        <f t="shared" si="69"/>
        <v/>
      </c>
      <c r="CR201" s="298"/>
      <c r="CS201" s="169"/>
      <c r="CT201" s="169"/>
      <c r="CU201" s="169"/>
      <c r="CV201" s="169"/>
      <c r="CW201" s="299"/>
      <c r="CX201" s="299">
        <f>FX201</f>
        <v>0</v>
      </c>
      <c r="CZ201" s="10"/>
      <c r="DB201" s="10">
        <f t="shared" si="65"/>
        <v>11</v>
      </c>
      <c r="DC201" s="10">
        <f t="shared" si="66"/>
        <v>5.5</v>
      </c>
    </row>
    <row r="202" spans="2:107" x14ac:dyDescent="0.25">
      <c r="B202" s="127" t="s">
        <v>797</v>
      </c>
      <c r="C202" s="526" t="str">
        <f t="shared" si="52"/>
        <v>Brewer Clover (22885 (OSM))</v>
      </c>
      <c r="D202" s="527">
        <f t="shared" si="53"/>
        <v>1</v>
      </c>
      <c r="G202" s="40"/>
      <c r="I202" s="10" t="s">
        <v>23</v>
      </c>
      <c r="Q202" s="47"/>
      <c r="S202" s="298" t="str">
        <f t="shared" ref="S202:AA211" si="72">IF($G202=S$159,$DB202,"")</f>
        <v/>
      </c>
      <c r="T202" s="169" t="str">
        <f t="shared" si="72"/>
        <v/>
      </c>
      <c r="U202" s="169" t="str">
        <f t="shared" si="72"/>
        <v/>
      </c>
      <c r="V202" s="169" t="str">
        <f t="shared" si="72"/>
        <v/>
      </c>
      <c r="W202" s="169" t="str">
        <f t="shared" si="72"/>
        <v/>
      </c>
      <c r="X202" s="169" t="str">
        <f t="shared" si="72"/>
        <v/>
      </c>
      <c r="Y202" s="169" t="str">
        <f t="shared" si="72"/>
        <v/>
      </c>
      <c r="Z202" s="169" t="str">
        <f t="shared" si="72"/>
        <v/>
      </c>
      <c r="AA202" s="299" t="str">
        <f t="shared" si="72"/>
        <v/>
      </c>
      <c r="AB202" s="169" t="str">
        <f t="shared" ref="AB202:AJ211" si="73">IF($H202=AB$159,$DB202,"")</f>
        <v/>
      </c>
      <c r="AC202" s="169" t="str">
        <f t="shared" si="73"/>
        <v/>
      </c>
      <c r="AD202" s="169" t="str">
        <f t="shared" si="73"/>
        <v/>
      </c>
      <c r="AE202" s="169" t="str">
        <f t="shared" si="73"/>
        <v/>
      </c>
      <c r="AF202" s="169" t="str">
        <f t="shared" si="73"/>
        <v/>
      </c>
      <c r="AG202" s="169" t="str">
        <f t="shared" si="73"/>
        <v/>
      </c>
      <c r="AH202" s="169" t="str">
        <f t="shared" si="73"/>
        <v/>
      </c>
      <c r="AI202" s="169" t="str">
        <f t="shared" si="73"/>
        <v/>
      </c>
      <c r="AJ202" s="299" t="str">
        <f t="shared" si="73"/>
        <v/>
      </c>
      <c r="AK202" s="298" t="str">
        <f t="shared" ref="AK202:AL221" si="74">IF($P202=AK$159,$DC202,"")</f>
        <v/>
      </c>
      <c r="AL202" s="299" t="str">
        <f t="shared" si="74"/>
        <v/>
      </c>
      <c r="AM202" s="169">
        <f t="shared" ref="AM202:AU211" si="75">IF($I202=AM$159,$DB202,"")</f>
        <v>11</v>
      </c>
      <c r="AN202" s="169" t="str">
        <f t="shared" si="75"/>
        <v/>
      </c>
      <c r="AO202" s="169" t="str">
        <f t="shared" si="75"/>
        <v/>
      </c>
      <c r="AP202" s="169" t="str">
        <f t="shared" si="75"/>
        <v/>
      </c>
      <c r="AQ202" s="169" t="str">
        <f t="shared" si="75"/>
        <v/>
      </c>
      <c r="AR202" s="169" t="str">
        <f t="shared" si="75"/>
        <v/>
      </c>
      <c r="AS202" s="169" t="str">
        <f t="shared" si="75"/>
        <v/>
      </c>
      <c r="AT202" s="169" t="str">
        <f t="shared" si="75"/>
        <v/>
      </c>
      <c r="AU202" s="299" t="str">
        <f t="shared" si="75"/>
        <v/>
      </c>
      <c r="AV202" s="169" t="str">
        <f t="shared" si="64"/>
        <v/>
      </c>
      <c r="AW202" s="169" t="str">
        <f t="shared" si="57"/>
        <v/>
      </c>
      <c r="AX202" s="169" t="str">
        <f t="shared" si="57"/>
        <v/>
      </c>
      <c r="AY202" s="169" t="str">
        <f t="shared" si="50"/>
        <v/>
      </c>
      <c r="AZ202" s="169" t="str">
        <f t="shared" si="50"/>
        <v/>
      </c>
      <c r="BA202" s="299" t="str">
        <f t="shared" si="50"/>
        <v/>
      </c>
      <c r="BB202" s="169" t="str">
        <f t="shared" si="67"/>
        <v/>
      </c>
      <c r="BC202" s="169" t="str">
        <f t="shared" ref="BC202:BC233" si="76">IF($K202=BC$159,$DC202,"")</f>
        <v/>
      </c>
      <c r="BD202" s="169" t="str">
        <f t="shared" si="30"/>
        <v/>
      </c>
      <c r="BE202" s="169" t="str">
        <f t="shared" si="51"/>
        <v/>
      </c>
      <c r="BF202" s="169" t="str">
        <f t="shared" si="51"/>
        <v/>
      </c>
      <c r="BG202" s="169" t="str">
        <f t="shared" si="51"/>
        <v/>
      </c>
      <c r="BH202" s="298" t="str">
        <f t="shared" si="17"/>
        <v/>
      </c>
      <c r="BI202" s="169" t="str">
        <f t="shared" si="28"/>
        <v/>
      </c>
      <c r="BJ202" s="169" t="str">
        <f t="shared" si="46"/>
        <v/>
      </c>
      <c r="BK202" s="169" t="str">
        <f t="shared" si="46"/>
        <v/>
      </c>
      <c r="BL202" s="169" t="str">
        <f t="shared" si="46"/>
        <v/>
      </c>
      <c r="BM202" s="299" t="str">
        <f t="shared" si="46"/>
        <v/>
      </c>
      <c r="BN202" s="298" t="str">
        <f t="shared" ref="BN202:BV211" si="77">IF($M202=BN$159,$DB202,"")</f>
        <v/>
      </c>
      <c r="BO202" s="169" t="str">
        <f t="shared" si="77"/>
        <v/>
      </c>
      <c r="BP202" s="169" t="str">
        <f t="shared" si="77"/>
        <v/>
      </c>
      <c r="BQ202" s="169" t="str">
        <f t="shared" si="77"/>
        <v/>
      </c>
      <c r="BR202" s="169" t="str">
        <f t="shared" si="77"/>
        <v/>
      </c>
      <c r="BS202" s="169" t="str">
        <f t="shared" si="77"/>
        <v/>
      </c>
      <c r="BT202" s="169" t="str">
        <f t="shared" si="77"/>
        <v/>
      </c>
      <c r="BU202" s="169" t="str">
        <f t="shared" si="77"/>
        <v/>
      </c>
      <c r="BV202" s="299" t="str">
        <f t="shared" si="77"/>
        <v/>
      </c>
      <c r="BW202" s="298" t="str">
        <f t="shared" ref="BW202:CE211" si="78">IF($N202=BW$159,$DB202,"")</f>
        <v/>
      </c>
      <c r="BX202" s="169" t="str">
        <f t="shared" si="78"/>
        <v/>
      </c>
      <c r="BY202" s="169" t="str">
        <f t="shared" si="78"/>
        <v/>
      </c>
      <c r="BZ202" s="169" t="str">
        <f t="shared" si="78"/>
        <v/>
      </c>
      <c r="CA202" s="169" t="str">
        <f t="shared" si="78"/>
        <v/>
      </c>
      <c r="CB202" s="169" t="str">
        <f t="shared" si="78"/>
        <v/>
      </c>
      <c r="CC202" s="169" t="str">
        <f t="shared" si="78"/>
        <v/>
      </c>
      <c r="CD202" s="169" t="str">
        <f t="shared" si="78"/>
        <v/>
      </c>
      <c r="CE202" s="299" t="str">
        <f t="shared" si="78"/>
        <v/>
      </c>
      <c r="CF202" s="298" t="str">
        <f t="shared" si="63"/>
        <v/>
      </c>
      <c r="CG202" s="169" t="str">
        <f t="shared" si="63"/>
        <v/>
      </c>
      <c r="CH202" s="169" t="str">
        <f t="shared" si="63"/>
        <v/>
      </c>
      <c r="CI202" s="169" t="str">
        <f t="shared" si="63"/>
        <v/>
      </c>
      <c r="CJ202" s="169" t="str">
        <f t="shared" si="63"/>
        <v/>
      </c>
      <c r="CK202" s="299" t="str">
        <f t="shared" si="63"/>
        <v/>
      </c>
      <c r="CL202" s="298" t="str">
        <f t="shared" ref="CL202:CL233" si="79">IF($P202=CL$159,$DC202,"")</f>
        <v/>
      </c>
      <c r="CM202" s="169" t="str">
        <f t="shared" si="70"/>
        <v/>
      </c>
      <c r="CN202" s="169" t="str">
        <f t="shared" si="71"/>
        <v/>
      </c>
      <c r="CO202" s="169">
        <f>8*D202</f>
        <v>8</v>
      </c>
      <c r="CP202" s="169" t="str">
        <f t="shared" ref="CP202:CQ221" si="80">IF($P202=CP$159,$DC202,"")</f>
        <v/>
      </c>
      <c r="CQ202" s="299" t="str">
        <f t="shared" si="80"/>
        <v/>
      </c>
      <c r="CR202" s="298"/>
      <c r="CS202" s="169"/>
      <c r="CT202" s="169"/>
      <c r="CU202" s="169"/>
      <c r="CV202" s="169"/>
      <c r="CW202" s="299"/>
      <c r="CX202" s="299" t="str">
        <f t="shared" ref="CX202:CX233" si="81">IF($P202=CX$159,$DC202,"")</f>
        <v/>
      </c>
      <c r="CZ202" s="10"/>
      <c r="DB202" s="10">
        <f t="shared" si="65"/>
        <v>11</v>
      </c>
      <c r="DC202" s="10">
        <f t="shared" si="66"/>
        <v>5.5</v>
      </c>
    </row>
    <row r="203" spans="2:107" x14ac:dyDescent="0.25">
      <c r="B203" s="127"/>
      <c r="C203" s="526">
        <f t="shared" si="52"/>
        <v>0</v>
      </c>
      <c r="D203" s="527">
        <f t="shared" si="53"/>
        <v>0</v>
      </c>
      <c r="G203" s="40"/>
      <c r="Q203" s="47"/>
      <c r="S203" s="298" t="str">
        <f t="shared" si="72"/>
        <v/>
      </c>
      <c r="T203" s="169" t="str">
        <f t="shared" si="72"/>
        <v/>
      </c>
      <c r="U203" s="169" t="str">
        <f t="shared" si="72"/>
        <v/>
      </c>
      <c r="V203" s="169" t="str">
        <f t="shared" si="72"/>
        <v/>
      </c>
      <c r="W203" s="169" t="str">
        <f t="shared" si="72"/>
        <v/>
      </c>
      <c r="X203" s="169" t="str">
        <f t="shared" si="72"/>
        <v/>
      </c>
      <c r="Y203" s="169" t="str">
        <f t="shared" si="72"/>
        <v/>
      </c>
      <c r="Z203" s="169" t="str">
        <f t="shared" si="72"/>
        <v/>
      </c>
      <c r="AA203" s="299" t="str">
        <f t="shared" si="72"/>
        <v/>
      </c>
      <c r="AB203" s="169" t="str">
        <f t="shared" si="73"/>
        <v/>
      </c>
      <c r="AC203" s="169" t="str">
        <f t="shared" si="73"/>
        <v/>
      </c>
      <c r="AD203" s="169" t="str">
        <f t="shared" si="73"/>
        <v/>
      </c>
      <c r="AE203" s="169" t="str">
        <f t="shared" si="73"/>
        <v/>
      </c>
      <c r="AF203" s="169" t="str">
        <f t="shared" si="73"/>
        <v/>
      </c>
      <c r="AG203" s="169" t="str">
        <f t="shared" si="73"/>
        <v/>
      </c>
      <c r="AH203" s="169" t="str">
        <f t="shared" si="73"/>
        <v/>
      </c>
      <c r="AI203" s="169" t="str">
        <f t="shared" si="73"/>
        <v/>
      </c>
      <c r="AJ203" s="299" t="str">
        <f t="shared" si="73"/>
        <v/>
      </c>
      <c r="AK203" s="298" t="str">
        <f t="shared" si="74"/>
        <v/>
      </c>
      <c r="AL203" s="299" t="str">
        <f t="shared" si="74"/>
        <v/>
      </c>
      <c r="AM203" s="169" t="str">
        <f t="shared" si="75"/>
        <v/>
      </c>
      <c r="AN203" s="169" t="str">
        <f t="shared" si="75"/>
        <v/>
      </c>
      <c r="AO203" s="169" t="str">
        <f t="shared" si="75"/>
        <v/>
      </c>
      <c r="AP203" s="169" t="str">
        <f t="shared" si="75"/>
        <v/>
      </c>
      <c r="AQ203" s="169" t="str">
        <f t="shared" si="75"/>
        <v/>
      </c>
      <c r="AR203" s="169" t="str">
        <f t="shared" si="75"/>
        <v/>
      </c>
      <c r="AS203" s="169" t="str">
        <f t="shared" si="75"/>
        <v/>
      </c>
      <c r="AT203" s="169" t="str">
        <f t="shared" si="75"/>
        <v/>
      </c>
      <c r="AU203" s="299" t="str">
        <f t="shared" si="75"/>
        <v/>
      </c>
      <c r="AV203" s="169" t="str">
        <f t="shared" si="64"/>
        <v/>
      </c>
      <c r="AW203" s="169" t="str">
        <f t="shared" si="57"/>
        <v/>
      </c>
      <c r="AX203" s="169" t="str">
        <f t="shared" si="57"/>
        <v/>
      </c>
      <c r="AY203" s="169" t="str">
        <f t="shared" ref="AY203:BA222" si="82">IF($J203=AY$159,$DC203,"")</f>
        <v/>
      </c>
      <c r="AZ203" s="169" t="str">
        <f t="shared" si="82"/>
        <v/>
      </c>
      <c r="BA203" s="299" t="str">
        <f t="shared" si="82"/>
        <v/>
      </c>
      <c r="BB203" s="169" t="str">
        <f t="shared" si="67"/>
        <v/>
      </c>
      <c r="BC203" s="169" t="str">
        <f t="shared" si="76"/>
        <v/>
      </c>
      <c r="BD203" s="169" t="str">
        <f t="shared" si="30"/>
        <v/>
      </c>
      <c r="BE203" s="169" t="str">
        <f t="shared" ref="BE203:BG222" si="83">IF($K203=BE$159,$DC203,"")</f>
        <v/>
      </c>
      <c r="BF203" s="169" t="str">
        <f t="shared" si="83"/>
        <v/>
      </c>
      <c r="BG203" s="169" t="str">
        <f t="shared" si="83"/>
        <v/>
      </c>
      <c r="BH203" s="298" t="str">
        <f t="shared" si="17"/>
        <v/>
      </c>
      <c r="BI203" s="169" t="str">
        <f t="shared" si="28"/>
        <v/>
      </c>
      <c r="BJ203" s="169" t="str">
        <f t="shared" si="46"/>
        <v/>
      </c>
      <c r="BK203" s="169" t="str">
        <f t="shared" si="46"/>
        <v/>
      </c>
      <c r="BL203" s="169" t="str">
        <f t="shared" si="46"/>
        <v/>
      </c>
      <c r="BM203" s="299" t="str">
        <f t="shared" si="46"/>
        <v/>
      </c>
      <c r="BN203" s="298" t="str">
        <f t="shared" si="77"/>
        <v/>
      </c>
      <c r="BO203" s="169" t="str">
        <f t="shared" si="77"/>
        <v/>
      </c>
      <c r="BP203" s="169" t="str">
        <f t="shared" si="77"/>
        <v/>
      </c>
      <c r="BQ203" s="169" t="str">
        <f t="shared" si="77"/>
        <v/>
      </c>
      <c r="BR203" s="169" t="str">
        <f t="shared" si="77"/>
        <v/>
      </c>
      <c r="BS203" s="169" t="str">
        <f t="shared" si="77"/>
        <v/>
      </c>
      <c r="BT203" s="169" t="str">
        <f t="shared" si="77"/>
        <v/>
      </c>
      <c r="BU203" s="169" t="str">
        <f t="shared" si="77"/>
        <v/>
      </c>
      <c r="BV203" s="299" t="str">
        <f t="shared" si="77"/>
        <v/>
      </c>
      <c r="BW203" s="298" t="str">
        <f t="shared" si="78"/>
        <v/>
      </c>
      <c r="BX203" s="169" t="str">
        <f t="shared" si="78"/>
        <v/>
      </c>
      <c r="BY203" s="169" t="str">
        <f t="shared" si="78"/>
        <v/>
      </c>
      <c r="BZ203" s="169" t="str">
        <f t="shared" si="78"/>
        <v/>
      </c>
      <c r="CA203" s="169" t="str">
        <f t="shared" si="78"/>
        <v/>
      </c>
      <c r="CB203" s="169" t="str">
        <f t="shared" si="78"/>
        <v/>
      </c>
      <c r="CC203" s="169" t="str">
        <f t="shared" si="78"/>
        <v/>
      </c>
      <c r="CD203" s="169" t="str">
        <f t="shared" si="78"/>
        <v/>
      </c>
      <c r="CE203" s="299" t="str">
        <f t="shared" si="78"/>
        <v/>
      </c>
      <c r="CF203" s="298" t="str">
        <f t="shared" si="63"/>
        <v/>
      </c>
      <c r="CG203" s="169" t="str">
        <f t="shared" si="63"/>
        <v/>
      </c>
      <c r="CH203" s="169" t="str">
        <f t="shared" si="63"/>
        <v/>
      </c>
      <c r="CI203" s="169" t="str">
        <f t="shared" si="63"/>
        <v/>
      </c>
      <c r="CJ203" s="169" t="str">
        <f t="shared" si="63"/>
        <v/>
      </c>
      <c r="CK203" s="299" t="str">
        <f t="shared" si="63"/>
        <v/>
      </c>
      <c r="CL203" s="298" t="str">
        <f t="shared" si="79"/>
        <v/>
      </c>
      <c r="CM203" s="169" t="str">
        <f t="shared" si="70"/>
        <v/>
      </c>
      <c r="CN203" s="169" t="str">
        <f t="shared" si="71"/>
        <v/>
      </c>
      <c r="CO203" s="169" t="str">
        <f t="shared" ref="CO203:CO234" si="84">IF($P203=CO$159,$DC203,"")</f>
        <v/>
      </c>
      <c r="CP203" s="169" t="str">
        <f t="shared" si="80"/>
        <v/>
      </c>
      <c r="CQ203" s="299" t="str">
        <f t="shared" si="80"/>
        <v/>
      </c>
      <c r="CR203" s="298"/>
      <c r="CS203" s="169"/>
      <c r="CT203" s="169"/>
      <c r="CU203" s="169"/>
      <c r="CV203" s="169"/>
      <c r="CW203" s="299"/>
      <c r="CX203" s="299" t="str">
        <f t="shared" si="81"/>
        <v/>
      </c>
      <c r="CZ203" s="10"/>
      <c r="DB203" s="10">
        <f t="shared" si="65"/>
        <v>0</v>
      </c>
      <c r="DC203" s="10">
        <f t="shared" si="66"/>
        <v>0</v>
      </c>
    </row>
    <row r="204" spans="2:107" ht="15.75" thickBot="1" x14ac:dyDescent="0.3">
      <c r="B204" s="127"/>
      <c r="C204" s="248"/>
      <c r="D204" s="521"/>
      <c r="G204" s="40"/>
      <c r="Q204" s="47"/>
      <c r="S204" s="298" t="str">
        <f t="shared" si="72"/>
        <v/>
      </c>
      <c r="T204" s="169" t="str">
        <f t="shared" si="72"/>
        <v/>
      </c>
      <c r="U204" s="169" t="str">
        <f t="shared" si="72"/>
        <v/>
      </c>
      <c r="V204" s="169" t="str">
        <f t="shared" si="72"/>
        <v/>
      </c>
      <c r="W204" s="169" t="str">
        <f t="shared" si="72"/>
        <v/>
      </c>
      <c r="X204" s="169" t="str">
        <f t="shared" si="72"/>
        <v/>
      </c>
      <c r="Y204" s="169" t="str">
        <f t="shared" si="72"/>
        <v/>
      </c>
      <c r="Z204" s="169" t="str">
        <f t="shared" si="72"/>
        <v/>
      </c>
      <c r="AA204" s="299" t="str">
        <f t="shared" si="72"/>
        <v/>
      </c>
      <c r="AB204" s="169" t="str">
        <f t="shared" si="73"/>
        <v/>
      </c>
      <c r="AC204" s="169" t="str">
        <f t="shared" si="73"/>
        <v/>
      </c>
      <c r="AD204" s="169" t="str">
        <f t="shared" si="73"/>
        <v/>
      </c>
      <c r="AE204" s="169" t="str">
        <f t="shared" si="73"/>
        <v/>
      </c>
      <c r="AF204" s="169" t="str">
        <f t="shared" si="73"/>
        <v/>
      </c>
      <c r="AG204" s="169" t="str">
        <f t="shared" si="73"/>
        <v/>
      </c>
      <c r="AH204" s="169" t="str">
        <f t="shared" si="73"/>
        <v/>
      </c>
      <c r="AI204" s="169" t="str">
        <f t="shared" si="73"/>
        <v/>
      </c>
      <c r="AJ204" s="299" t="str">
        <f t="shared" si="73"/>
        <v/>
      </c>
      <c r="AK204" s="298" t="str">
        <f t="shared" si="74"/>
        <v/>
      </c>
      <c r="AL204" s="299" t="str">
        <f t="shared" si="74"/>
        <v/>
      </c>
      <c r="AM204" s="169" t="str">
        <f t="shared" si="75"/>
        <v/>
      </c>
      <c r="AN204" s="169" t="str">
        <f t="shared" si="75"/>
        <v/>
      </c>
      <c r="AO204" s="169" t="str">
        <f t="shared" si="75"/>
        <v/>
      </c>
      <c r="AP204" s="169" t="str">
        <f t="shared" si="75"/>
        <v/>
      </c>
      <c r="AQ204" s="169" t="str">
        <f t="shared" si="75"/>
        <v/>
      </c>
      <c r="AR204" s="169" t="str">
        <f t="shared" si="75"/>
        <v/>
      </c>
      <c r="AS204" s="169" t="str">
        <f t="shared" si="75"/>
        <v/>
      </c>
      <c r="AT204" s="169" t="str">
        <f t="shared" si="75"/>
        <v/>
      </c>
      <c r="AU204" s="299" t="str">
        <f t="shared" si="75"/>
        <v/>
      </c>
      <c r="AV204" s="169" t="str">
        <f t="shared" si="64"/>
        <v/>
      </c>
      <c r="AW204" s="169" t="str">
        <f t="shared" si="57"/>
        <v/>
      </c>
      <c r="AX204" s="169" t="str">
        <f t="shared" si="57"/>
        <v/>
      </c>
      <c r="AY204" s="169" t="str">
        <f t="shared" si="82"/>
        <v/>
      </c>
      <c r="AZ204" s="169" t="str">
        <f t="shared" si="82"/>
        <v/>
      </c>
      <c r="BA204" s="299" t="str">
        <f t="shared" si="82"/>
        <v/>
      </c>
      <c r="BB204" s="169" t="str">
        <f t="shared" si="67"/>
        <v/>
      </c>
      <c r="BC204" s="169" t="str">
        <f t="shared" si="76"/>
        <v/>
      </c>
      <c r="BD204" s="169" t="str">
        <f t="shared" si="30"/>
        <v/>
      </c>
      <c r="BE204" s="169" t="str">
        <f t="shared" si="83"/>
        <v/>
      </c>
      <c r="BF204" s="169" t="str">
        <f t="shared" si="83"/>
        <v/>
      </c>
      <c r="BG204" s="169" t="str">
        <f t="shared" si="83"/>
        <v/>
      </c>
      <c r="BH204" s="298"/>
      <c r="BI204" s="169"/>
      <c r="BJ204" s="169"/>
      <c r="BK204" s="169"/>
      <c r="BL204" s="169"/>
      <c r="BM204" s="299"/>
      <c r="BN204" s="298" t="str">
        <f t="shared" si="77"/>
        <v/>
      </c>
      <c r="BO204" s="169" t="str">
        <f t="shared" si="77"/>
        <v/>
      </c>
      <c r="BP204" s="169" t="str">
        <f t="shared" si="77"/>
        <v/>
      </c>
      <c r="BQ204" s="169" t="str">
        <f t="shared" si="77"/>
        <v/>
      </c>
      <c r="BR204" s="169" t="str">
        <f t="shared" si="77"/>
        <v/>
      </c>
      <c r="BS204" s="169" t="str">
        <f t="shared" si="77"/>
        <v/>
      </c>
      <c r="BT204" s="169" t="str">
        <f t="shared" si="77"/>
        <v/>
      </c>
      <c r="BU204" s="169" t="str">
        <f t="shared" si="77"/>
        <v/>
      </c>
      <c r="BV204" s="299" t="str">
        <f t="shared" si="77"/>
        <v/>
      </c>
      <c r="BW204" s="298" t="str">
        <f t="shared" si="78"/>
        <v/>
      </c>
      <c r="BX204" s="169" t="str">
        <f t="shared" si="78"/>
        <v/>
      </c>
      <c r="BY204" s="169" t="str">
        <f t="shared" si="78"/>
        <v/>
      </c>
      <c r="BZ204" s="169" t="str">
        <f t="shared" si="78"/>
        <v/>
      </c>
      <c r="CA204" s="169" t="str">
        <f t="shared" si="78"/>
        <v/>
      </c>
      <c r="CB204" s="169" t="str">
        <f t="shared" si="78"/>
        <v/>
      </c>
      <c r="CC204" s="169" t="str">
        <f t="shared" si="78"/>
        <v/>
      </c>
      <c r="CD204" s="169" t="str">
        <f t="shared" si="78"/>
        <v/>
      </c>
      <c r="CE204" s="299" t="str">
        <f t="shared" si="78"/>
        <v/>
      </c>
      <c r="CF204" s="298"/>
      <c r="CG204" s="169"/>
      <c r="CH204" s="169"/>
      <c r="CI204" s="169"/>
      <c r="CJ204" s="169"/>
      <c r="CK204" s="299"/>
      <c r="CL204" s="298" t="str">
        <f t="shared" si="79"/>
        <v/>
      </c>
      <c r="CM204" s="169" t="str">
        <f t="shared" si="70"/>
        <v/>
      </c>
      <c r="CN204" s="169" t="str">
        <f t="shared" si="71"/>
        <v/>
      </c>
      <c r="CO204" s="169" t="str">
        <f t="shared" si="84"/>
        <v/>
      </c>
      <c r="CP204" s="169" t="str">
        <f t="shared" si="80"/>
        <v/>
      </c>
      <c r="CQ204" s="299" t="str">
        <f t="shared" si="80"/>
        <v/>
      </c>
      <c r="CR204" s="298"/>
      <c r="CS204" s="169"/>
      <c r="CT204" s="169"/>
      <c r="CU204" s="169"/>
      <c r="CV204" s="169"/>
      <c r="CW204" s="299"/>
      <c r="CX204" s="299" t="str">
        <f t="shared" si="81"/>
        <v/>
      </c>
      <c r="CZ204" s="10"/>
      <c r="DB204" s="10">
        <f t="shared" si="65"/>
        <v>0</v>
      </c>
      <c r="DC204" s="10">
        <f t="shared" si="66"/>
        <v>0</v>
      </c>
    </row>
    <row r="205" spans="2:107" ht="15.75" thickTop="1" x14ac:dyDescent="0.25">
      <c r="B205" s="127"/>
      <c r="D205" s="45"/>
      <c r="G205" s="40"/>
      <c r="Q205" s="47"/>
      <c r="S205" s="298" t="str">
        <f t="shared" si="72"/>
        <v/>
      </c>
      <c r="T205" s="169" t="str">
        <f t="shared" si="72"/>
        <v/>
      </c>
      <c r="U205" s="169" t="str">
        <f t="shared" si="72"/>
        <v/>
      </c>
      <c r="V205" s="169" t="str">
        <f t="shared" si="72"/>
        <v/>
      </c>
      <c r="W205" s="169" t="str">
        <f t="shared" si="72"/>
        <v/>
      </c>
      <c r="X205" s="169" t="str">
        <f t="shared" si="72"/>
        <v/>
      </c>
      <c r="Y205" s="169" t="str">
        <f t="shared" si="72"/>
        <v/>
      </c>
      <c r="Z205" s="169" t="str">
        <f t="shared" si="72"/>
        <v/>
      </c>
      <c r="AA205" s="299" t="str">
        <f t="shared" si="72"/>
        <v/>
      </c>
      <c r="AB205" s="169" t="str">
        <f t="shared" si="73"/>
        <v/>
      </c>
      <c r="AC205" s="169" t="str">
        <f t="shared" si="73"/>
        <v/>
      </c>
      <c r="AD205" s="169" t="str">
        <f t="shared" si="73"/>
        <v/>
      </c>
      <c r="AE205" s="169" t="str">
        <f t="shared" si="73"/>
        <v/>
      </c>
      <c r="AF205" s="169" t="str">
        <f t="shared" si="73"/>
        <v/>
      </c>
      <c r="AG205" s="169" t="str">
        <f t="shared" si="73"/>
        <v/>
      </c>
      <c r="AH205" s="169" t="str">
        <f t="shared" si="73"/>
        <v/>
      </c>
      <c r="AI205" s="169" t="str">
        <f t="shared" si="73"/>
        <v/>
      </c>
      <c r="AJ205" s="299" t="str">
        <f t="shared" si="73"/>
        <v/>
      </c>
      <c r="AK205" s="298" t="str">
        <f t="shared" si="74"/>
        <v/>
      </c>
      <c r="AL205" s="299" t="str">
        <f t="shared" si="74"/>
        <v/>
      </c>
      <c r="AM205" s="169" t="str">
        <f t="shared" si="75"/>
        <v/>
      </c>
      <c r="AN205" s="169" t="str">
        <f t="shared" si="75"/>
        <v/>
      </c>
      <c r="AO205" s="169" t="str">
        <f t="shared" si="75"/>
        <v/>
      </c>
      <c r="AP205" s="169" t="str">
        <f t="shared" si="75"/>
        <v/>
      </c>
      <c r="AQ205" s="169" t="str">
        <f t="shared" si="75"/>
        <v/>
      </c>
      <c r="AR205" s="169" t="str">
        <f t="shared" si="75"/>
        <v/>
      </c>
      <c r="AS205" s="169" t="str">
        <f t="shared" si="75"/>
        <v/>
      </c>
      <c r="AT205" s="169" t="str">
        <f t="shared" si="75"/>
        <v/>
      </c>
      <c r="AU205" s="299" t="str">
        <f t="shared" si="75"/>
        <v/>
      </c>
      <c r="AV205" s="169" t="str">
        <f t="shared" si="64"/>
        <v/>
      </c>
      <c r="AW205" s="169" t="str">
        <f t="shared" si="57"/>
        <v/>
      </c>
      <c r="AX205" s="169" t="str">
        <f t="shared" si="57"/>
        <v/>
      </c>
      <c r="AY205" s="169" t="str">
        <f t="shared" si="82"/>
        <v/>
      </c>
      <c r="AZ205" s="169" t="str">
        <f t="shared" si="82"/>
        <v/>
      </c>
      <c r="BA205" s="299" t="str">
        <f t="shared" si="82"/>
        <v/>
      </c>
      <c r="BB205" s="169" t="str">
        <f t="shared" si="67"/>
        <v/>
      </c>
      <c r="BC205" s="169" t="str">
        <f t="shared" si="76"/>
        <v/>
      </c>
      <c r="BD205" s="169" t="str">
        <f t="shared" si="30"/>
        <v/>
      </c>
      <c r="BE205" s="169" t="str">
        <f t="shared" si="83"/>
        <v/>
      </c>
      <c r="BF205" s="169" t="str">
        <f t="shared" si="83"/>
        <v/>
      </c>
      <c r="BG205" s="169" t="str">
        <f t="shared" si="83"/>
        <v/>
      </c>
      <c r="BH205" s="298"/>
      <c r="BI205" s="169"/>
      <c r="BJ205" s="169"/>
      <c r="BK205" s="169"/>
      <c r="BL205" s="169"/>
      <c r="BM205" s="299"/>
      <c r="BN205" s="298" t="str">
        <f t="shared" si="77"/>
        <v/>
      </c>
      <c r="BO205" s="169" t="str">
        <f t="shared" si="77"/>
        <v/>
      </c>
      <c r="BP205" s="169" t="str">
        <f t="shared" si="77"/>
        <v/>
      </c>
      <c r="BQ205" s="169" t="str">
        <f t="shared" si="77"/>
        <v/>
      </c>
      <c r="BR205" s="169" t="str">
        <f t="shared" si="77"/>
        <v/>
      </c>
      <c r="BS205" s="169" t="str">
        <f t="shared" si="77"/>
        <v/>
      </c>
      <c r="BT205" s="169" t="str">
        <f t="shared" si="77"/>
        <v/>
      </c>
      <c r="BU205" s="169" t="str">
        <f t="shared" si="77"/>
        <v/>
      </c>
      <c r="BV205" s="299" t="str">
        <f t="shared" si="77"/>
        <v/>
      </c>
      <c r="BW205" s="298" t="str">
        <f t="shared" si="78"/>
        <v/>
      </c>
      <c r="BX205" s="169" t="str">
        <f t="shared" si="78"/>
        <v/>
      </c>
      <c r="BY205" s="169" t="str">
        <f t="shared" si="78"/>
        <v/>
      </c>
      <c r="BZ205" s="169" t="str">
        <f t="shared" si="78"/>
        <v/>
      </c>
      <c r="CA205" s="169" t="str">
        <f t="shared" si="78"/>
        <v/>
      </c>
      <c r="CB205" s="169" t="str">
        <f t="shared" si="78"/>
        <v/>
      </c>
      <c r="CC205" s="169" t="str">
        <f t="shared" si="78"/>
        <v/>
      </c>
      <c r="CD205" s="169" t="str">
        <f t="shared" si="78"/>
        <v/>
      </c>
      <c r="CE205" s="299" t="str">
        <f t="shared" si="78"/>
        <v/>
      </c>
      <c r="CF205" s="298"/>
      <c r="CG205" s="169"/>
      <c r="CH205" s="169"/>
      <c r="CI205" s="169"/>
      <c r="CJ205" s="169"/>
      <c r="CK205" s="299"/>
      <c r="CL205" s="298" t="str">
        <f t="shared" si="79"/>
        <v/>
      </c>
      <c r="CM205" s="169" t="str">
        <f t="shared" si="70"/>
        <v/>
      </c>
      <c r="CN205" s="169" t="str">
        <f t="shared" si="71"/>
        <v/>
      </c>
      <c r="CO205" s="169" t="str">
        <f t="shared" si="84"/>
        <v/>
      </c>
      <c r="CP205" s="169" t="str">
        <f t="shared" si="80"/>
        <v/>
      </c>
      <c r="CQ205" s="299" t="str">
        <f t="shared" si="80"/>
        <v/>
      </c>
      <c r="CR205" s="298"/>
      <c r="CS205" s="169"/>
      <c r="CT205" s="169"/>
      <c r="CU205" s="169"/>
      <c r="CV205" s="169"/>
      <c r="CW205" s="299"/>
      <c r="CX205" s="299" t="str">
        <f t="shared" si="81"/>
        <v/>
      </c>
      <c r="CZ205" s="10"/>
      <c r="DB205" s="10">
        <f t="shared" si="65"/>
        <v>0</v>
      </c>
      <c r="DC205" s="10">
        <f t="shared" si="66"/>
        <v>0</v>
      </c>
    </row>
    <row r="206" spans="2:107" x14ac:dyDescent="0.25">
      <c r="B206" s="115"/>
      <c r="C206" s="1" t="s">
        <v>93</v>
      </c>
      <c r="D206" s="45"/>
      <c r="G206" s="40"/>
      <c r="Q206" s="47"/>
      <c r="S206" s="298" t="str">
        <f t="shared" si="72"/>
        <v/>
      </c>
      <c r="T206" s="169" t="str">
        <f t="shared" si="72"/>
        <v/>
      </c>
      <c r="U206" s="169" t="str">
        <f t="shared" si="72"/>
        <v/>
      </c>
      <c r="V206" s="169" t="str">
        <f t="shared" si="72"/>
        <v/>
      </c>
      <c r="W206" s="169" t="str">
        <f t="shared" si="72"/>
        <v/>
      </c>
      <c r="X206" s="169" t="str">
        <f t="shared" si="72"/>
        <v/>
      </c>
      <c r="Y206" s="169" t="str">
        <f t="shared" si="72"/>
        <v/>
      </c>
      <c r="Z206" s="169" t="str">
        <f t="shared" si="72"/>
        <v/>
      </c>
      <c r="AA206" s="299" t="str">
        <f t="shared" si="72"/>
        <v/>
      </c>
      <c r="AB206" s="169" t="str">
        <f t="shared" si="73"/>
        <v/>
      </c>
      <c r="AC206" s="169" t="str">
        <f t="shared" si="73"/>
        <v/>
      </c>
      <c r="AD206" s="169" t="str">
        <f t="shared" si="73"/>
        <v/>
      </c>
      <c r="AE206" s="169" t="str">
        <f t="shared" si="73"/>
        <v/>
      </c>
      <c r="AF206" s="169" t="str">
        <f t="shared" si="73"/>
        <v/>
      </c>
      <c r="AG206" s="169" t="str">
        <f t="shared" si="73"/>
        <v/>
      </c>
      <c r="AH206" s="169" t="str">
        <f t="shared" si="73"/>
        <v/>
      </c>
      <c r="AI206" s="169" t="str">
        <f t="shared" si="73"/>
        <v/>
      </c>
      <c r="AJ206" s="299" t="str">
        <f t="shared" si="73"/>
        <v/>
      </c>
      <c r="AK206" s="298" t="str">
        <f t="shared" si="74"/>
        <v/>
      </c>
      <c r="AL206" s="299" t="str">
        <f t="shared" si="74"/>
        <v/>
      </c>
      <c r="AM206" s="169" t="str">
        <f t="shared" si="75"/>
        <v/>
      </c>
      <c r="AN206" s="169" t="str">
        <f t="shared" si="75"/>
        <v/>
      </c>
      <c r="AO206" s="169" t="str">
        <f t="shared" si="75"/>
        <v/>
      </c>
      <c r="AP206" s="169" t="str">
        <f t="shared" si="75"/>
        <v/>
      </c>
      <c r="AQ206" s="169" t="str">
        <f t="shared" si="75"/>
        <v/>
      </c>
      <c r="AR206" s="169" t="str">
        <f t="shared" si="75"/>
        <v/>
      </c>
      <c r="AS206" s="169" t="str">
        <f t="shared" si="75"/>
        <v/>
      </c>
      <c r="AT206" s="169" t="str">
        <f t="shared" si="75"/>
        <v/>
      </c>
      <c r="AU206" s="299" t="str">
        <f t="shared" si="75"/>
        <v/>
      </c>
      <c r="AV206" s="169" t="str">
        <f t="shared" si="64"/>
        <v/>
      </c>
      <c r="AW206" s="169" t="str">
        <f t="shared" si="57"/>
        <v/>
      </c>
      <c r="AX206" s="169" t="str">
        <f t="shared" si="57"/>
        <v/>
      </c>
      <c r="AY206" s="169" t="str">
        <f t="shared" si="82"/>
        <v/>
      </c>
      <c r="AZ206" s="169" t="str">
        <f t="shared" si="82"/>
        <v/>
      </c>
      <c r="BA206" s="299" t="str">
        <f t="shared" si="82"/>
        <v/>
      </c>
      <c r="BB206" s="169" t="str">
        <f t="shared" si="67"/>
        <v/>
      </c>
      <c r="BC206" s="169" t="str">
        <f t="shared" si="76"/>
        <v/>
      </c>
      <c r="BD206" s="169" t="str">
        <f t="shared" si="30"/>
        <v/>
      </c>
      <c r="BE206" s="169" t="str">
        <f t="shared" si="83"/>
        <v/>
      </c>
      <c r="BF206" s="169" t="str">
        <f t="shared" si="83"/>
        <v/>
      </c>
      <c r="BG206" s="169" t="str">
        <f t="shared" si="83"/>
        <v/>
      </c>
      <c r="BH206" s="298" t="str">
        <f t="shared" ref="BH206:BM206" si="85">IF($L206=BH$159,$DC206,"")</f>
        <v/>
      </c>
      <c r="BI206" s="169" t="str">
        <f t="shared" si="85"/>
        <v/>
      </c>
      <c r="BJ206" s="169" t="str">
        <f t="shared" si="85"/>
        <v/>
      </c>
      <c r="BK206" s="169" t="str">
        <f t="shared" si="85"/>
        <v/>
      </c>
      <c r="BL206" s="169" t="str">
        <f t="shared" si="85"/>
        <v/>
      </c>
      <c r="BM206" s="299" t="str">
        <f t="shared" si="85"/>
        <v/>
      </c>
      <c r="BN206" s="298" t="str">
        <f t="shared" si="77"/>
        <v/>
      </c>
      <c r="BO206" s="169" t="str">
        <f t="shared" si="77"/>
        <v/>
      </c>
      <c r="BP206" s="169" t="str">
        <f t="shared" si="77"/>
        <v/>
      </c>
      <c r="BQ206" s="169" t="str">
        <f t="shared" si="77"/>
        <v/>
      </c>
      <c r="BR206" s="169" t="str">
        <f t="shared" si="77"/>
        <v/>
      </c>
      <c r="BS206" s="169" t="str">
        <f t="shared" si="77"/>
        <v/>
      </c>
      <c r="BT206" s="169" t="str">
        <f t="shared" si="77"/>
        <v/>
      </c>
      <c r="BU206" s="169" t="str">
        <f t="shared" si="77"/>
        <v/>
      </c>
      <c r="BV206" s="299" t="str">
        <f t="shared" si="77"/>
        <v/>
      </c>
      <c r="BW206" s="298" t="str">
        <f t="shared" si="78"/>
        <v/>
      </c>
      <c r="BX206" s="169" t="str">
        <f t="shared" si="78"/>
        <v/>
      </c>
      <c r="BY206" s="169" t="str">
        <f t="shared" si="78"/>
        <v/>
      </c>
      <c r="BZ206" s="169" t="str">
        <f t="shared" si="78"/>
        <v/>
      </c>
      <c r="CA206" s="169" t="str">
        <f t="shared" si="78"/>
        <v/>
      </c>
      <c r="CB206" s="169" t="str">
        <f t="shared" si="78"/>
        <v/>
      </c>
      <c r="CC206" s="169" t="str">
        <f t="shared" si="78"/>
        <v/>
      </c>
      <c r="CD206" s="169" t="str">
        <f t="shared" si="78"/>
        <v/>
      </c>
      <c r="CE206" s="299" t="str">
        <f t="shared" si="78"/>
        <v/>
      </c>
      <c r="CF206" s="298" t="str">
        <f t="shared" ref="CF206:CK206" si="86">IF($O206=CF$159,$DC206,"")</f>
        <v/>
      </c>
      <c r="CG206" s="169" t="str">
        <f t="shared" si="86"/>
        <v/>
      </c>
      <c r="CH206" s="169" t="str">
        <f t="shared" si="86"/>
        <v/>
      </c>
      <c r="CI206" s="169" t="str">
        <f t="shared" si="86"/>
        <v/>
      </c>
      <c r="CJ206" s="169" t="str">
        <f t="shared" si="86"/>
        <v/>
      </c>
      <c r="CK206" s="299" t="str">
        <f t="shared" si="86"/>
        <v/>
      </c>
      <c r="CL206" s="298" t="str">
        <f t="shared" si="79"/>
        <v/>
      </c>
      <c r="CM206" s="169" t="str">
        <f t="shared" si="70"/>
        <v/>
      </c>
      <c r="CN206" s="169" t="str">
        <f t="shared" si="71"/>
        <v/>
      </c>
      <c r="CO206" s="169" t="str">
        <f t="shared" si="84"/>
        <v/>
      </c>
      <c r="CP206" s="169" t="str">
        <f t="shared" si="80"/>
        <v/>
      </c>
      <c r="CQ206" s="299" t="str">
        <f t="shared" si="80"/>
        <v/>
      </c>
      <c r="CR206" s="298" t="str">
        <f t="shared" ref="CR206:CW215" si="87">IF($P206=CR$159,$DC206,"")</f>
        <v/>
      </c>
      <c r="CS206" s="169" t="str">
        <f t="shared" si="87"/>
        <v/>
      </c>
      <c r="CT206" s="169" t="str">
        <f t="shared" si="87"/>
        <v/>
      </c>
      <c r="CU206" s="169" t="str">
        <f t="shared" si="87"/>
        <v/>
      </c>
      <c r="CV206" s="169" t="str">
        <f t="shared" si="87"/>
        <v/>
      </c>
      <c r="CW206" s="299" t="str">
        <f t="shared" si="87"/>
        <v/>
      </c>
      <c r="CX206" s="299" t="str">
        <f t="shared" si="81"/>
        <v/>
      </c>
      <c r="CZ206" s="10"/>
      <c r="DB206" s="10">
        <f t="shared" si="65"/>
        <v>0</v>
      </c>
      <c r="DC206" s="10">
        <f t="shared" si="66"/>
        <v>0</v>
      </c>
    </row>
    <row r="207" spans="2:107" x14ac:dyDescent="0.25">
      <c r="B207" s="115"/>
      <c r="C207" s="1"/>
      <c r="D207" s="45"/>
      <c r="G207" s="40"/>
      <c r="Q207" s="47"/>
      <c r="S207" s="298" t="str">
        <f t="shared" si="72"/>
        <v/>
      </c>
      <c r="T207" s="169" t="str">
        <f t="shared" si="72"/>
        <v/>
      </c>
      <c r="U207" s="169" t="str">
        <f t="shared" si="72"/>
        <v/>
      </c>
      <c r="V207" s="169" t="str">
        <f t="shared" si="72"/>
        <v/>
      </c>
      <c r="W207" s="169" t="str">
        <f t="shared" si="72"/>
        <v/>
      </c>
      <c r="X207" s="169" t="str">
        <f t="shared" si="72"/>
        <v/>
      </c>
      <c r="Y207" s="169" t="str">
        <f t="shared" si="72"/>
        <v/>
      </c>
      <c r="Z207" s="169" t="str">
        <f t="shared" si="72"/>
        <v/>
      </c>
      <c r="AA207" s="299" t="str">
        <f t="shared" si="72"/>
        <v/>
      </c>
      <c r="AB207" s="169" t="str">
        <f t="shared" si="73"/>
        <v/>
      </c>
      <c r="AC207" s="169" t="str">
        <f t="shared" si="73"/>
        <v/>
      </c>
      <c r="AD207" s="169" t="str">
        <f t="shared" si="73"/>
        <v/>
      </c>
      <c r="AE207" s="169" t="str">
        <f t="shared" si="73"/>
        <v/>
      </c>
      <c r="AF207" s="169" t="str">
        <f t="shared" si="73"/>
        <v/>
      </c>
      <c r="AG207" s="169" t="str">
        <f t="shared" si="73"/>
        <v/>
      </c>
      <c r="AH207" s="169" t="str">
        <f t="shared" si="73"/>
        <v/>
      </c>
      <c r="AI207" s="169" t="str">
        <f t="shared" si="73"/>
        <v/>
      </c>
      <c r="AJ207" s="299" t="str">
        <f t="shared" si="73"/>
        <v/>
      </c>
      <c r="AK207" s="298" t="str">
        <f t="shared" si="74"/>
        <v/>
      </c>
      <c r="AL207" s="299" t="str">
        <f t="shared" si="74"/>
        <v/>
      </c>
      <c r="AM207" s="169" t="str">
        <f t="shared" si="75"/>
        <v/>
      </c>
      <c r="AN207" s="169" t="str">
        <f t="shared" si="75"/>
        <v/>
      </c>
      <c r="AO207" s="169" t="str">
        <f t="shared" si="75"/>
        <v/>
      </c>
      <c r="AP207" s="169" t="str">
        <f t="shared" si="75"/>
        <v/>
      </c>
      <c r="AQ207" s="169" t="str">
        <f t="shared" si="75"/>
        <v/>
      </c>
      <c r="AR207" s="169" t="str">
        <f t="shared" si="75"/>
        <v/>
      </c>
      <c r="AS207" s="169" t="str">
        <f t="shared" si="75"/>
        <v/>
      </c>
      <c r="AT207" s="169" t="str">
        <f t="shared" si="75"/>
        <v/>
      </c>
      <c r="AU207" s="299" t="str">
        <f t="shared" si="75"/>
        <v/>
      </c>
      <c r="AV207" s="169" t="str">
        <f t="shared" si="64"/>
        <v/>
      </c>
      <c r="AW207" s="169" t="str">
        <f t="shared" si="57"/>
        <v/>
      </c>
      <c r="AX207" s="169" t="str">
        <f t="shared" si="57"/>
        <v/>
      </c>
      <c r="AY207" s="169" t="str">
        <f t="shared" si="82"/>
        <v/>
      </c>
      <c r="AZ207" s="169" t="str">
        <f t="shared" si="82"/>
        <v/>
      </c>
      <c r="BA207" s="299" t="str">
        <f t="shared" si="82"/>
        <v/>
      </c>
      <c r="BB207" s="169" t="str">
        <f t="shared" si="67"/>
        <v/>
      </c>
      <c r="BC207" s="169" t="str">
        <f t="shared" si="76"/>
        <v/>
      </c>
      <c r="BD207" s="169" t="str">
        <f t="shared" si="30"/>
        <v/>
      </c>
      <c r="BE207" s="169" t="str">
        <f t="shared" si="83"/>
        <v/>
      </c>
      <c r="BF207" s="169" t="str">
        <f t="shared" si="83"/>
        <v/>
      </c>
      <c r="BG207" s="169" t="str">
        <f t="shared" si="83"/>
        <v/>
      </c>
      <c r="BH207" s="298"/>
      <c r="BI207" s="169"/>
      <c r="BJ207" s="169"/>
      <c r="BK207" s="169"/>
      <c r="BL207" s="169"/>
      <c r="BM207" s="299"/>
      <c r="BN207" s="298" t="str">
        <f t="shared" si="77"/>
        <v/>
      </c>
      <c r="BO207" s="169" t="str">
        <f t="shared" si="77"/>
        <v/>
      </c>
      <c r="BP207" s="169" t="str">
        <f t="shared" si="77"/>
        <v/>
      </c>
      <c r="BQ207" s="169" t="str">
        <f t="shared" si="77"/>
        <v/>
      </c>
      <c r="BR207" s="169" t="str">
        <f t="shared" si="77"/>
        <v/>
      </c>
      <c r="BS207" s="169" t="str">
        <f t="shared" si="77"/>
        <v/>
      </c>
      <c r="BT207" s="169" t="str">
        <f t="shared" si="77"/>
        <v/>
      </c>
      <c r="BU207" s="169" t="str">
        <f t="shared" si="77"/>
        <v/>
      </c>
      <c r="BV207" s="299" t="str">
        <f t="shared" si="77"/>
        <v/>
      </c>
      <c r="BW207" s="298" t="str">
        <f t="shared" si="78"/>
        <v/>
      </c>
      <c r="BX207" s="169" t="str">
        <f t="shared" si="78"/>
        <v/>
      </c>
      <c r="BY207" s="169" t="str">
        <f t="shared" si="78"/>
        <v/>
      </c>
      <c r="BZ207" s="169" t="str">
        <f t="shared" si="78"/>
        <v/>
      </c>
      <c r="CA207" s="169" t="str">
        <f t="shared" si="78"/>
        <v/>
      </c>
      <c r="CB207" s="169" t="str">
        <f t="shared" si="78"/>
        <v/>
      </c>
      <c r="CC207" s="169" t="str">
        <f t="shared" si="78"/>
        <v/>
      </c>
      <c r="CD207" s="169" t="str">
        <f t="shared" si="78"/>
        <v/>
      </c>
      <c r="CE207" s="299" t="str">
        <f t="shared" si="78"/>
        <v/>
      </c>
      <c r="CF207" s="298"/>
      <c r="CG207" s="169"/>
      <c r="CH207" s="169"/>
      <c r="CI207" s="169"/>
      <c r="CJ207" s="169"/>
      <c r="CK207" s="299"/>
      <c r="CL207" s="298" t="str">
        <f t="shared" si="79"/>
        <v/>
      </c>
      <c r="CM207" s="169" t="str">
        <f t="shared" si="70"/>
        <v/>
      </c>
      <c r="CN207" s="169" t="str">
        <f t="shared" si="71"/>
        <v/>
      </c>
      <c r="CO207" s="169" t="str">
        <f t="shared" si="84"/>
        <v/>
      </c>
      <c r="CP207" s="169" t="str">
        <f t="shared" si="80"/>
        <v/>
      </c>
      <c r="CQ207" s="299" t="str">
        <f t="shared" si="80"/>
        <v/>
      </c>
      <c r="CR207" s="298" t="str">
        <f t="shared" si="87"/>
        <v/>
      </c>
      <c r="CS207" s="169" t="str">
        <f t="shared" si="87"/>
        <v/>
      </c>
      <c r="CT207" s="169" t="str">
        <f t="shared" si="87"/>
        <v/>
      </c>
      <c r="CU207" s="169" t="str">
        <f t="shared" si="87"/>
        <v/>
      </c>
      <c r="CV207" s="169" t="str">
        <f t="shared" si="87"/>
        <v/>
      </c>
      <c r="CW207" s="299" t="str">
        <f t="shared" si="87"/>
        <v/>
      </c>
      <c r="CX207" s="299" t="str">
        <f t="shared" si="81"/>
        <v/>
      </c>
      <c r="CZ207" s="10"/>
      <c r="DB207" s="10">
        <f t="shared" si="65"/>
        <v>0</v>
      </c>
      <c r="DC207" s="10">
        <f t="shared" si="66"/>
        <v>0</v>
      </c>
    </row>
    <row r="208" spans="2:107" x14ac:dyDescent="0.25">
      <c r="B208" s="115"/>
      <c r="C208" s="525" t="s">
        <v>539</v>
      </c>
      <c r="D208" s="45"/>
      <c r="G208" s="40"/>
      <c r="Q208" s="47"/>
      <c r="S208" s="298" t="str">
        <f t="shared" si="72"/>
        <v/>
      </c>
      <c r="T208" s="169" t="str">
        <f t="shared" si="72"/>
        <v/>
      </c>
      <c r="U208" s="169" t="str">
        <f t="shared" si="72"/>
        <v/>
      </c>
      <c r="V208" s="169" t="str">
        <f t="shared" si="72"/>
        <v/>
      </c>
      <c r="W208" s="169" t="str">
        <f t="shared" si="72"/>
        <v/>
      </c>
      <c r="X208" s="169" t="str">
        <f t="shared" si="72"/>
        <v/>
      </c>
      <c r="Y208" s="169" t="str">
        <f t="shared" si="72"/>
        <v/>
      </c>
      <c r="Z208" s="169" t="str">
        <f t="shared" si="72"/>
        <v/>
      </c>
      <c r="AA208" s="299" t="str">
        <f t="shared" si="72"/>
        <v/>
      </c>
      <c r="AB208" s="169" t="str">
        <f t="shared" si="73"/>
        <v/>
      </c>
      <c r="AC208" s="169" t="str">
        <f t="shared" si="73"/>
        <v/>
      </c>
      <c r="AD208" s="169" t="str">
        <f t="shared" si="73"/>
        <v/>
      </c>
      <c r="AE208" s="169" t="str">
        <f t="shared" si="73"/>
        <v/>
      </c>
      <c r="AF208" s="169" t="str">
        <f t="shared" si="73"/>
        <v/>
      </c>
      <c r="AG208" s="169" t="str">
        <f t="shared" si="73"/>
        <v/>
      </c>
      <c r="AH208" s="169" t="str">
        <f t="shared" si="73"/>
        <v/>
      </c>
      <c r="AI208" s="169" t="str">
        <f t="shared" si="73"/>
        <v/>
      </c>
      <c r="AJ208" s="299" t="str">
        <f t="shared" si="73"/>
        <v/>
      </c>
      <c r="AK208" s="298" t="str">
        <f t="shared" si="74"/>
        <v/>
      </c>
      <c r="AL208" s="299" t="str">
        <f t="shared" si="74"/>
        <v/>
      </c>
      <c r="AM208" s="169" t="str">
        <f t="shared" si="75"/>
        <v/>
      </c>
      <c r="AN208" s="169" t="str">
        <f t="shared" si="75"/>
        <v/>
      </c>
      <c r="AO208" s="169" t="str">
        <f t="shared" si="75"/>
        <v/>
      </c>
      <c r="AP208" s="169" t="str">
        <f t="shared" si="75"/>
        <v/>
      </c>
      <c r="AQ208" s="169" t="str">
        <f t="shared" si="75"/>
        <v/>
      </c>
      <c r="AR208" s="169" t="str">
        <f t="shared" si="75"/>
        <v/>
      </c>
      <c r="AS208" s="169" t="str">
        <f t="shared" si="75"/>
        <v/>
      </c>
      <c r="AT208" s="169" t="str">
        <f t="shared" si="75"/>
        <v/>
      </c>
      <c r="AU208" s="299" t="str">
        <f t="shared" si="75"/>
        <v/>
      </c>
      <c r="AV208" s="169" t="str">
        <f t="shared" si="64"/>
        <v/>
      </c>
      <c r="AW208" s="169" t="str">
        <f t="shared" si="57"/>
        <v/>
      </c>
      <c r="AX208" s="169" t="str">
        <f t="shared" si="57"/>
        <v/>
      </c>
      <c r="AY208" s="169" t="str">
        <f t="shared" si="82"/>
        <v/>
      </c>
      <c r="AZ208" s="169" t="str">
        <f t="shared" si="82"/>
        <v/>
      </c>
      <c r="BA208" s="299" t="str">
        <f t="shared" si="82"/>
        <v/>
      </c>
      <c r="BB208" s="169" t="str">
        <f t="shared" si="67"/>
        <v/>
      </c>
      <c r="BC208" s="169" t="str">
        <f t="shared" si="76"/>
        <v/>
      </c>
      <c r="BD208" s="169"/>
      <c r="BE208" s="169" t="str">
        <f t="shared" si="83"/>
        <v/>
      </c>
      <c r="BF208" s="169" t="str">
        <f t="shared" si="83"/>
        <v/>
      </c>
      <c r="BG208" s="169" t="str">
        <f t="shared" si="83"/>
        <v/>
      </c>
      <c r="BH208" s="298"/>
      <c r="BI208" s="169"/>
      <c r="BJ208" s="169"/>
      <c r="BK208" s="169"/>
      <c r="BL208" s="169"/>
      <c r="BM208" s="299"/>
      <c r="BN208" s="298" t="str">
        <f t="shared" si="77"/>
        <v/>
      </c>
      <c r="BO208" s="169" t="str">
        <f t="shared" si="77"/>
        <v/>
      </c>
      <c r="BP208" s="169" t="str">
        <f t="shared" si="77"/>
        <v/>
      </c>
      <c r="BQ208" s="169" t="str">
        <f t="shared" si="77"/>
        <v/>
      </c>
      <c r="BR208" s="169" t="str">
        <f t="shared" si="77"/>
        <v/>
      </c>
      <c r="BS208" s="169" t="str">
        <f t="shared" si="77"/>
        <v/>
      </c>
      <c r="BT208" s="169" t="str">
        <f t="shared" si="77"/>
        <v/>
      </c>
      <c r="BU208" s="169" t="str">
        <f t="shared" si="77"/>
        <v/>
      </c>
      <c r="BV208" s="299" t="str">
        <f t="shared" si="77"/>
        <v/>
      </c>
      <c r="BW208" s="298" t="str">
        <f t="shared" si="78"/>
        <v/>
      </c>
      <c r="BX208" s="169" t="str">
        <f t="shared" si="78"/>
        <v/>
      </c>
      <c r="BY208" s="169" t="str">
        <f t="shared" si="78"/>
        <v/>
      </c>
      <c r="BZ208" s="169" t="str">
        <f t="shared" si="78"/>
        <v/>
      </c>
      <c r="CA208" s="169" t="str">
        <f t="shared" si="78"/>
        <v/>
      </c>
      <c r="CB208" s="169" t="str">
        <f t="shared" si="78"/>
        <v/>
      </c>
      <c r="CC208" s="169" t="str">
        <f t="shared" si="78"/>
        <v/>
      </c>
      <c r="CD208" s="169" t="str">
        <f t="shared" si="78"/>
        <v/>
      </c>
      <c r="CE208" s="299" t="str">
        <f t="shared" si="78"/>
        <v/>
      </c>
      <c r="CF208" s="298"/>
      <c r="CG208" s="169"/>
      <c r="CH208" s="169"/>
      <c r="CI208" s="169"/>
      <c r="CJ208" s="169"/>
      <c r="CK208" s="299"/>
      <c r="CL208" s="298" t="str">
        <f t="shared" si="79"/>
        <v/>
      </c>
      <c r="CM208" s="169" t="str">
        <f t="shared" si="70"/>
        <v/>
      </c>
      <c r="CN208" s="169" t="str">
        <f t="shared" si="71"/>
        <v/>
      </c>
      <c r="CO208" s="169" t="str">
        <f t="shared" si="84"/>
        <v/>
      </c>
      <c r="CP208" s="169" t="str">
        <f t="shared" si="80"/>
        <v/>
      </c>
      <c r="CQ208" s="299" t="str">
        <f t="shared" si="80"/>
        <v/>
      </c>
      <c r="CR208" s="298" t="str">
        <f t="shared" si="87"/>
        <v/>
      </c>
      <c r="CS208" s="169" t="str">
        <f t="shared" si="87"/>
        <v/>
      </c>
      <c r="CT208" s="169" t="str">
        <f t="shared" si="87"/>
        <v/>
      </c>
      <c r="CU208" s="169" t="str">
        <f t="shared" si="87"/>
        <v/>
      </c>
      <c r="CV208" s="169" t="str">
        <f t="shared" si="87"/>
        <v/>
      </c>
      <c r="CW208" s="299" t="str">
        <f t="shared" si="87"/>
        <v/>
      </c>
      <c r="CX208" s="299" t="str">
        <f t="shared" si="81"/>
        <v/>
      </c>
      <c r="CZ208" s="10"/>
      <c r="DB208" s="10">
        <f t="shared" si="65"/>
        <v>0</v>
      </c>
      <c r="DC208" s="10">
        <f t="shared" si="66"/>
        <v>0</v>
      </c>
    </row>
    <row r="209" spans="2:107" outlineLevel="1" x14ac:dyDescent="0.25">
      <c r="B209" s="115"/>
      <c r="C209" s="526" t="str">
        <f>IF(C55&gt;0,B55 &amp; " (" &amp;C55 &amp; ")",B55)</f>
        <v>Floor Sink 3" (10294/10726 (OSM))</v>
      </c>
      <c r="D209" s="527">
        <f>E55</f>
        <v>6</v>
      </c>
      <c r="G209" s="40"/>
      <c r="Q209" s="47"/>
      <c r="S209" s="298" t="str">
        <f t="shared" si="72"/>
        <v/>
      </c>
      <c r="T209" s="169" t="str">
        <f t="shared" si="72"/>
        <v/>
      </c>
      <c r="U209" s="169" t="str">
        <f t="shared" si="72"/>
        <v/>
      </c>
      <c r="V209" s="169" t="str">
        <f t="shared" si="72"/>
        <v/>
      </c>
      <c r="W209" s="169" t="str">
        <f t="shared" si="72"/>
        <v/>
      </c>
      <c r="X209" s="169" t="str">
        <f t="shared" si="72"/>
        <v/>
      </c>
      <c r="Y209" s="169" t="str">
        <f t="shared" si="72"/>
        <v/>
      </c>
      <c r="Z209" s="169" t="str">
        <f t="shared" si="72"/>
        <v/>
      </c>
      <c r="AA209" s="299" t="str">
        <f t="shared" si="72"/>
        <v/>
      </c>
      <c r="AB209" s="169" t="str">
        <f t="shared" si="73"/>
        <v/>
      </c>
      <c r="AC209" s="169" t="str">
        <f t="shared" si="73"/>
        <v/>
      </c>
      <c r="AD209" s="169" t="str">
        <f t="shared" si="73"/>
        <v/>
      </c>
      <c r="AE209" s="169" t="str">
        <f t="shared" si="73"/>
        <v/>
      </c>
      <c r="AF209" s="169" t="str">
        <f t="shared" si="73"/>
        <v/>
      </c>
      <c r="AG209" s="169" t="str">
        <f t="shared" si="73"/>
        <v/>
      </c>
      <c r="AH209" s="169" t="str">
        <f t="shared" si="73"/>
        <v/>
      </c>
      <c r="AI209" s="169" t="str">
        <f t="shared" si="73"/>
        <v/>
      </c>
      <c r="AJ209" s="299" t="str">
        <f t="shared" si="73"/>
        <v/>
      </c>
      <c r="AK209" s="298" t="str">
        <f t="shared" si="74"/>
        <v/>
      </c>
      <c r="AL209" s="299" t="str">
        <f t="shared" si="74"/>
        <v/>
      </c>
      <c r="AM209" s="169" t="str">
        <f t="shared" si="75"/>
        <v/>
      </c>
      <c r="AN209" s="169" t="str">
        <f t="shared" si="75"/>
        <v/>
      </c>
      <c r="AO209" s="169" t="str">
        <f t="shared" si="75"/>
        <v/>
      </c>
      <c r="AP209" s="169" t="str">
        <f t="shared" si="75"/>
        <v/>
      </c>
      <c r="AQ209" s="169" t="str">
        <f t="shared" si="75"/>
        <v/>
      </c>
      <c r="AR209" s="169" t="str">
        <f t="shared" si="75"/>
        <v/>
      </c>
      <c r="AS209" s="169" t="str">
        <f t="shared" si="75"/>
        <v/>
      </c>
      <c r="AT209" s="169" t="str">
        <f t="shared" si="75"/>
        <v/>
      </c>
      <c r="AU209" s="299" t="str">
        <f t="shared" si="75"/>
        <v/>
      </c>
      <c r="AV209" s="169" t="str">
        <f t="shared" si="64"/>
        <v/>
      </c>
      <c r="AW209" s="169" t="str">
        <f t="shared" si="57"/>
        <v/>
      </c>
      <c r="AX209" s="169" t="str">
        <f t="shared" si="57"/>
        <v/>
      </c>
      <c r="AY209" s="169" t="str">
        <f t="shared" si="82"/>
        <v/>
      </c>
      <c r="AZ209" s="169" t="str">
        <f t="shared" si="82"/>
        <v/>
      </c>
      <c r="BA209" s="299" t="str">
        <f t="shared" si="82"/>
        <v/>
      </c>
      <c r="BB209" s="169" t="str">
        <f t="shared" si="67"/>
        <v/>
      </c>
      <c r="BC209" s="169" t="str">
        <f t="shared" si="76"/>
        <v/>
      </c>
      <c r="BD209" s="169" t="str">
        <f t="shared" ref="BD209:BD240" si="88">IF($K209=BD$159,$DC209,"")</f>
        <v/>
      </c>
      <c r="BE209" s="169" t="str">
        <f t="shared" si="83"/>
        <v/>
      </c>
      <c r="BF209" s="169" t="str">
        <f t="shared" si="83"/>
        <v/>
      </c>
      <c r="BG209" s="169" t="str">
        <f t="shared" si="83"/>
        <v/>
      </c>
      <c r="BH209" s="298"/>
      <c r="BI209" s="169"/>
      <c r="BJ209" s="169"/>
      <c r="BK209" s="169"/>
      <c r="BL209" s="169"/>
      <c r="BM209" s="299"/>
      <c r="BN209" s="298" t="str">
        <f t="shared" si="77"/>
        <v/>
      </c>
      <c r="BO209" s="169" t="str">
        <f t="shared" si="77"/>
        <v/>
      </c>
      <c r="BP209" s="169" t="str">
        <f t="shared" si="77"/>
        <v/>
      </c>
      <c r="BQ209" s="169" t="str">
        <f t="shared" si="77"/>
        <v/>
      </c>
      <c r="BR209" s="169" t="str">
        <f t="shared" si="77"/>
        <v/>
      </c>
      <c r="BS209" s="169" t="str">
        <f t="shared" si="77"/>
        <v/>
      </c>
      <c r="BT209" s="169" t="str">
        <f t="shared" si="77"/>
        <v/>
      </c>
      <c r="BU209" s="169" t="str">
        <f t="shared" si="77"/>
        <v/>
      </c>
      <c r="BV209" s="299" t="str">
        <f t="shared" si="77"/>
        <v/>
      </c>
      <c r="BW209" s="298" t="str">
        <f t="shared" si="78"/>
        <v/>
      </c>
      <c r="BX209" s="169" t="str">
        <f t="shared" si="78"/>
        <v/>
      </c>
      <c r="BY209" s="169" t="str">
        <f t="shared" si="78"/>
        <v/>
      </c>
      <c r="BZ209" s="169" t="str">
        <f t="shared" si="78"/>
        <v/>
      </c>
      <c r="CA209" s="169" t="str">
        <f t="shared" si="78"/>
        <v/>
      </c>
      <c r="CB209" s="169" t="str">
        <f t="shared" si="78"/>
        <v/>
      </c>
      <c r="CC209" s="169" t="str">
        <f t="shared" si="78"/>
        <v/>
      </c>
      <c r="CD209" s="169" t="str">
        <f t="shared" si="78"/>
        <v/>
      </c>
      <c r="CE209" s="299" t="str">
        <f t="shared" si="78"/>
        <v/>
      </c>
      <c r="CF209" s="298"/>
      <c r="CG209" s="169"/>
      <c r="CH209" s="169"/>
      <c r="CI209" s="169"/>
      <c r="CJ209" s="169"/>
      <c r="CK209" s="299"/>
      <c r="CL209" s="298" t="str">
        <f t="shared" si="79"/>
        <v/>
      </c>
      <c r="CM209" s="169" t="str">
        <f t="shared" si="70"/>
        <v/>
      </c>
      <c r="CN209" s="169" t="str">
        <f t="shared" si="71"/>
        <v/>
      </c>
      <c r="CO209" s="169" t="str">
        <f t="shared" si="84"/>
        <v/>
      </c>
      <c r="CP209" s="169" t="str">
        <f t="shared" si="80"/>
        <v/>
      </c>
      <c r="CQ209" s="299" t="str">
        <f t="shared" si="80"/>
        <v/>
      </c>
      <c r="CR209" s="298" t="str">
        <f t="shared" si="87"/>
        <v/>
      </c>
      <c r="CS209" s="169" t="str">
        <f t="shared" si="87"/>
        <v/>
      </c>
      <c r="CT209" s="169" t="str">
        <f t="shared" si="87"/>
        <v/>
      </c>
      <c r="CU209" s="169" t="str">
        <f t="shared" si="87"/>
        <v/>
      </c>
      <c r="CV209" s="169" t="str">
        <f t="shared" si="87"/>
        <v/>
      </c>
      <c r="CW209" s="299" t="str">
        <f t="shared" si="87"/>
        <v/>
      </c>
      <c r="CX209" s="299" t="str">
        <f t="shared" si="81"/>
        <v/>
      </c>
      <c r="CZ209" s="10"/>
      <c r="DB209" s="10">
        <f t="shared" si="65"/>
        <v>66</v>
      </c>
      <c r="DC209" s="10">
        <f t="shared" si="66"/>
        <v>33</v>
      </c>
    </row>
    <row r="210" spans="2:107" outlineLevel="1" x14ac:dyDescent="0.25">
      <c r="B210" s="115"/>
      <c r="C210" s="526" t="str">
        <f t="shared" ref="C210:C214" si="89">IF(C56&gt;0,B56 &amp; " (" &amp;C56 &amp; ")",B56)</f>
        <v>Floor Sink 3" (X8150/X8151)</v>
      </c>
      <c r="D210" s="527">
        <f t="shared" ref="D210:D214" si="90">E56</f>
        <v>1</v>
      </c>
      <c r="G210" s="40"/>
      <c r="Q210" s="47"/>
      <c r="S210" s="298" t="str">
        <f t="shared" si="72"/>
        <v/>
      </c>
      <c r="T210" s="169" t="str">
        <f t="shared" si="72"/>
        <v/>
      </c>
      <c r="U210" s="169" t="str">
        <f t="shared" si="72"/>
        <v/>
      </c>
      <c r="V210" s="169" t="str">
        <f t="shared" si="72"/>
        <v/>
      </c>
      <c r="W210" s="169" t="str">
        <f t="shared" si="72"/>
        <v/>
      </c>
      <c r="X210" s="169" t="str">
        <f t="shared" si="72"/>
        <v/>
      </c>
      <c r="Y210" s="169" t="str">
        <f t="shared" si="72"/>
        <v/>
      </c>
      <c r="Z210" s="169" t="str">
        <f t="shared" si="72"/>
        <v/>
      </c>
      <c r="AA210" s="299" t="str">
        <f t="shared" si="72"/>
        <v/>
      </c>
      <c r="AB210" s="169" t="str">
        <f t="shared" si="73"/>
        <v/>
      </c>
      <c r="AC210" s="169" t="str">
        <f t="shared" si="73"/>
        <v/>
      </c>
      <c r="AD210" s="169" t="str">
        <f t="shared" si="73"/>
        <v/>
      </c>
      <c r="AE210" s="169" t="str">
        <f t="shared" si="73"/>
        <v/>
      </c>
      <c r="AF210" s="169" t="str">
        <f t="shared" si="73"/>
        <v/>
      </c>
      <c r="AG210" s="169" t="str">
        <f t="shared" si="73"/>
        <v/>
      </c>
      <c r="AH210" s="169" t="str">
        <f t="shared" si="73"/>
        <v/>
      </c>
      <c r="AI210" s="169" t="str">
        <f t="shared" si="73"/>
        <v/>
      </c>
      <c r="AJ210" s="299" t="str">
        <f t="shared" si="73"/>
        <v/>
      </c>
      <c r="AK210" s="298" t="str">
        <f t="shared" si="74"/>
        <v/>
      </c>
      <c r="AL210" s="299" t="str">
        <f t="shared" si="74"/>
        <v/>
      </c>
      <c r="AM210" s="169" t="str">
        <f t="shared" si="75"/>
        <v/>
      </c>
      <c r="AN210" s="169" t="str">
        <f t="shared" si="75"/>
        <v/>
      </c>
      <c r="AO210" s="169" t="str">
        <f t="shared" si="75"/>
        <v/>
      </c>
      <c r="AP210" s="169" t="str">
        <f t="shared" si="75"/>
        <v/>
      </c>
      <c r="AQ210" s="169" t="str">
        <f t="shared" si="75"/>
        <v/>
      </c>
      <c r="AR210" s="169" t="str">
        <f t="shared" si="75"/>
        <v/>
      </c>
      <c r="AS210" s="169" t="str">
        <f t="shared" si="75"/>
        <v/>
      </c>
      <c r="AT210" s="169" t="str">
        <f t="shared" si="75"/>
        <v/>
      </c>
      <c r="AU210" s="299" t="str">
        <f t="shared" si="75"/>
        <v/>
      </c>
      <c r="AV210" s="169" t="str">
        <f t="shared" si="64"/>
        <v/>
      </c>
      <c r="AW210" s="169" t="str">
        <f t="shared" si="57"/>
        <v/>
      </c>
      <c r="AX210" s="169" t="str">
        <f t="shared" si="57"/>
        <v/>
      </c>
      <c r="AY210" s="169" t="str">
        <f t="shared" si="82"/>
        <v/>
      </c>
      <c r="AZ210" s="169" t="str">
        <f t="shared" si="82"/>
        <v/>
      </c>
      <c r="BA210" s="299" t="str">
        <f t="shared" si="82"/>
        <v/>
      </c>
      <c r="BB210" s="169" t="str">
        <f t="shared" si="67"/>
        <v/>
      </c>
      <c r="BC210" s="169" t="str">
        <f t="shared" si="76"/>
        <v/>
      </c>
      <c r="BD210" s="169" t="str">
        <f t="shared" si="88"/>
        <v/>
      </c>
      <c r="BE210" s="169" t="str">
        <f t="shared" si="83"/>
        <v/>
      </c>
      <c r="BF210" s="169" t="str">
        <f t="shared" si="83"/>
        <v/>
      </c>
      <c r="BG210" s="169" t="str">
        <f t="shared" si="83"/>
        <v/>
      </c>
      <c r="BH210" s="298"/>
      <c r="BI210" s="169"/>
      <c r="BJ210" s="169"/>
      <c r="BK210" s="169"/>
      <c r="BL210" s="169"/>
      <c r="BM210" s="299"/>
      <c r="BN210" s="298" t="str">
        <f t="shared" si="77"/>
        <v/>
      </c>
      <c r="BO210" s="169" t="str">
        <f t="shared" si="77"/>
        <v/>
      </c>
      <c r="BP210" s="169" t="str">
        <f t="shared" si="77"/>
        <v/>
      </c>
      <c r="BQ210" s="169" t="str">
        <f t="shared" si="77"/>
        <v/>
      </c>
      <c r="BR210" s="169" t="str">
        <f t="shared" si="77"/>
        <v/>
      </c>
      <c r="BS210" s="169" t="str">
        <f t="shared" si="77"/>
        <v/>
      </c>
      <c r="BT210" s="169" t="str">
        <f t="shared" si="77"/>
        <v/>
      </c>
      <c r="BU210" s="169" t="str">
        <f t="shared" si="77"/>
        <v/>
      </c>
      <c r="BV210" s="299" t="str">
        <f t="shared" si="77"/>
        <v/>
      </c>
      <c r="BW210" s="298" t="str">
        <f t="shared" si="78"/>
        <v/>
      </c>
      <c r="BX210" s="169" t="str">
        <f t="shared" si="78"/>
        <v/>
      </c>
      <c r="BY210" s="169" t="str">
        <f t="shared" si="78"/>
        <v/>
      </c>
      <c r="BZ210" s="169" t="str">
        <f t="shared" si="78"/>
        <v/>
      </c>
      <c r="CA210" s="169" t="str">
        <f t="shared" si="78"/>
        <v/>
      </c>
      <c r="CB210" s="169" t="str">
        <f t="shared" si="78"/>
        <v/>
      </c>
      <c r="CC210" s="169" t="str">
        <f t="shared" si="78"/>
        <v/>
      </c>
      <c r="CD210" s="169" t="str">
        <f t="shared" si="78"/>
        <v/>
      </c>
      <c r="CE210" s="299" t="str">
        <f t="shared" si="78"/>
        <v/>
      </c>
      <c r="CF210" s="298"/>
      <c r="CG210" s="169"/>
      <c r="CH210" s="169"/>
      <c r="CI210" s="169"/>
      <c r="CJ210" s="169"/>
      <c r="CK210" s="299"/>
      <c r="CL210" s="298" t="str">
        <f t="shared" si="79"/>
        <v/>
      </c>
      <c r="CM210" s="169" t="str">
        <f t="shared" si="70"/>
        <v/>
      </c>
      <c r="CN210" s="169" t="str">
        <f t="shared" si="71"/>
        <v/>
      </c>
      <c r="CO210" s="169" t="str">
        <f t="shared" si="84"/>
        <v/>
      </c>
      <c r="CP210" s="169" t="str">
        <f t="shared" si="80"/>
        <v/>
      </c>
      <c r="CQ210" s="299" t="str">
        <f t="shared" si="80"/>
        <v/>
      </c>
      <c r="CR210" s="298" t="str">
        <f t="shared" si="87"/>
        <v/>
      </c>
      <c r="CS210" s="169" t="str">
        <f t="shared" si="87"/>
        <v/>
      </c>
      <c r="CT210" s="169" t="str">
        <f t="shared" si="87"/>
        <v/>
      </c>
      <c r="CU210" s="169" t="str">
        <f t="shared" si="87"/>
        <v/>
      </c>
      <c r="CV210" s="169" t="str">
        <f t="shared" si="87"/>
        <v/>
      </c>
      <c r="CW210" s="299" t="str">
        <f t="shared" si="87"/>
        <v/>
      </c>
      <c r="CX210" s="299" t="str">
        <f t="shared" si="81"/>
        <v/>
      </c>
      <c r="CZ210" s="10"/>
      <c r="DB210" s="10">
        <f t="shared" si="65"/>
        <v>11</v>
      </c>
      <c r="DC210" s="10">
        <f t="shared" si="66"/>
        <v>5.5</v>
      </c>
    </row>
    <row r="211" spans="2:107" outlineLevel="1" x14ac:dyDescent="0.25">
      <c r="B211" s="115"/>
      <c r="C211" s="526" t="str">
        <f t="shared" si="89"/>
        <v>Floor Drain 3" (10594)</v>
      </c>
      <c r="D211" s="527">
        <f t="shared" si="90"/>
        <v>2</v>
      </c>
      <c r="G211" s="40"/>
      <c r="Q211" s="47"/>
      <c r="S211" s="298" t="str">
        <f t="shared" si="72"/>
        <v/>
      </c>
      <c r="T211" s="169" t="str">
        <f t="shared" si="72"/>
        <v/>
      </c>
      <c r="U211" s="169" t="str">
        <f t="shared" si="72"/>
        <v/>
      </c>
      <c r="V211" s="169" t="str">
        <f t="shared" si="72"/>
        <v/>
      </c>
      <c r="W211" s="169" t="str">
        <f t="shared" si="72"/>
        <v/>
      </c>
      <c r="X211" s="169" t="str">
        <f t="shared" si="72"/>
        <v/>
      </c>
      <c r="Y211" s="169" t="str">
        <f t="shared" si="72"/>
        <v/>
      </c>
      <c r="Z211" s="169" t="str">
        <f t="shared" si="72"/>
        <v/>
      </c>
      <c r="AA211" s="299" t="str">
        <f t="shared" si="72"/>
        <v/>
      </c>
      <c r="AB211" s="169" t="str">
        <f t="shared" si="73"/>
        <v/>
      </c>
      <c r="AC211" s="169" t="str">
        <f t="shared" si="73"/>
        <v/>
      </c>
      <c r="AD211" s="169" t="str">
        <f t="shared" si="73"/>
        <v/>
      </c>
      <c r="AE211" s="169" t="str">
        <f t="shared" si="73"/>
        <v/>
      </c>
      <c r="AF211" s="169" t="str">
        <f t="shared" si="73"/>
        <v/>
      </c>
      <c r="AG211" s="169" t="str">
        <f t="shared" si="73"/>
        <v/>
      </c>
      <c r="AH211" s="169" t="str">
        <f t="shared" si="73"/>
        <v/>
      </c>
      <c r="AI211" s="169" t="str">
        <f t="shared" si="73"/>
        <v/>
      </c>
      <c r="AJ211" s="299" t="str">
        <f t="shared" si="73"/>
        <v/>
      </c>
      <c r="AK211" s="298" t="str">
        <f t="shared" si="74"/>
        <v/>
      </c>
      <c r="AL211" s="299" t="str">
        <f t="shared" si="74"/>
        <v/>
      </c>
      <c r="AM211" s="169" t="str">
        <f t="shared" si="75"/>
        <v/>
      </c>
      <c r="AN211" s="169" t="str">
        <f t="shared" si="75"/>
        <v/>
      </c>
      <c r="AO211" s="169" t="str">
        <f t="shared" si="75"/>
        <v/>
      </c>
      <c r="AP211" s="169" t="str">
        <f t="shared" si="75"/>
        <v/>
      </c>
      <c r="AQ211" s="169" t="str">
        <f t="shared" si="75"/>
        <v/>
      </c>
      <c r="AR211" s="169" t="str">
        <f t="shared" si="75"/>
        <v/>
      </c>
      <c r="AS211" s="169" t="str">
        <f t="shared" si="75"/>
        <v/>
      </c>
      <c r="AT211" s="169" t="str">
        <f t="shared" si="75"/>
        <v/>
      </c>
      <c r="AU211" s="299" t="str">
        <f t="shared" si="75"/>
        <v/>
      </c>
      <c r="AV211" s="169" t="str">
        <f t="shared" si="64"/>
        <v/>
      </c>
      <c r="AW211" s="169" t="str">
        <f t="shared" ref="AW211:AX230" si="91">IF($J211=AW$159,$DC211,"")</f>
        <v/>
      </c>
      <c r="AX211" s="169" t="str">
        <f t="shared" si="91"/>
        <v/>
      </c>
      <c r="AY211" s="169" t="str">
        <f t="shared" si="82"/>
        <v/>
      </c>
      <c r="AZ211" s="169" t="str">
        <f t="shared" si="82"/>
        <v/>
      </c>
      <c r="BA211" s="299" t="str">
        <f t="shared" si="82"/>
        <v/>
      </c>
      <c r="BB211" s="169" t="str">
        <f t="shared" si="67"/>
        <v/>
      </c>
      <c r="BC211" s="169" t="str">
        <f t="shared" si="76"/>
        <v/>
      </c>
      <c r="BD211" s="169" t="str">
        <f t="shared" si="88"/>
        <v/>
      </c>
      <c r="BE211" s="169" t="str">
        <f t="shared" si="83"/>
        <v/>
      </c>
      <c r="BF211" s="169" t="str">
        <f t="shared" si="83"/>
        <v/>
      </c>
      <c r="BG211" s="169" t="str">
        <f t="shared" si="83"/>
        <v/>
      </c>
      <c r="BH211" s="298"/>
      <c r="BI211" s="169"/>
      <c r="BJ211" s="169"/>
      <c r="BK211" s="169"/>
      <c r="BL211" s="169"/>
      <c r="BM211" s="299"/>
      <c r="BN211" s="298" t="str">
        <f t="shared" si="77"/>
        <v/>
      </c>
      <c r="BO211" s="169" t="str">
        <f t="shared" si="77"/>
        <v/>
      </c>
      <c r="BP211" s="169" t="str">
        <f t="shared" si="77"/>
        <v/>
      </c>
      <c r="BQ211" s="169" t="str">
        <f t="shared" si="77"/>
        <v/>
      </c>
      <c r="BR211" s="169" t="str">
        <f t="shared" si="77"/>
        <v/>
      </c>
      <c r="BS211" s="169" t="str">
        <f t="shared" si="77"/>
        <v/>
      </c>
      <c r="BT211" s="169" t="str">
        <f t="shared" si="77"/>
        <v/>
      </c>
      <c r="BU211" s="169" t="str">
        <f t="shared" si="77"/>
        <v/>
      </c>
      <c r="BV211" s="299" t="str">
        <f t="shared" si="77"/>
        <v/>
      </c>
      <c r="BW211" s="298" t="str">
        <f t="shared" si="78"/>
        <v/>
      </c>
      <c r="BX211" s="169" t="str">
        <f t="shared" si="78"/>
        <v/>
      </c>
      <c r="BY211" s="169" t="str">
        <f t="shared" si="78"/>
        <v/>
      </c>
      <c r="BZ211" s="169" t="str">
        <f t="shared" si="78"/>
        <v/>
      </c>
      <c r="CA211" s="169" t="str">
        <f t="shared" si="78"/>
        <v/>
      </c>
      <c r="CB211" s="169" t="str">
        <f t="shared" si="78"/>
        <v/>
      </c>
      <c r="CC211" s="169" t="str">
        <f t="shared" si="78"/>
        <v/>
      </c>
      <c r="CD211" s="169" t="str">
        <f t="shared" si="78"/>
        <v/>
      </c>
      <c r="CE211" s="299" t="str">
        <f t="shared" si="78"/>
        <v/>
      </c>
      <c r="CF211" s="298"/>
      <c r="CG211" s="169"/>
      <c r="CH211" s="169"/>
      <c r="CI211" s="169"/>
      <c r="CJ211" s="169"/>
      <c r="CK211" s="299"/>
      <c r="CL211" s="298" t="str">
        <f t="shared" si="79"/>
        <v/>
      </c>
      <c r="CM211" s="169" t="str">
        <f t="shared" si="70"/>
        <v/>
      </c>
      <c r="CN211" s="169" t="str">
        <f t="shared" si="71"/>
        <v/>
      </c>
      <c r="CO211" s="169" t="str">
        <f t="shared" si="84"/>
        <v/>
      </c>
      <c r="CP211" s="169" t="str">
        <f t="shared" si="80"/>
        <v/>
      </c>
      <c r="CQ211" s="299" t="str">
        <f t="shared" si="80"/>
        <v/>
      </c>
      <c r="CR211" s="298" t="str">
        <f t="shared" si="87"/>
        <v/>
      </c>
      <c r="CS211" s="169" t="str">
        <f t="shared" si="87"/>
        <v/>
      </c>
      <c r="CT211" s="169" t="str">
        <f t="shared" si="87"/>
        <v/>
      </c>
      <c r="CU211" s="169" t="str">
        <f t="shared" si="87"/>
        <v/>
      </c>
      <c r="CV211" s="169" t="str">
        <f t="shared" si="87"/>
        <v/>
      </c>
      <c r="CW211" s="299" t="str">
        <f t="shared" si="87"/>
        <v/>
      </c>
      <c r="CX211" s="299" t="str">
        <f t="shared" si="81"/>
        <v/>
      </c>
      <c r="CZ211" s="10"/>
      <c r="DB211" s="10">
        <f t="shared" si="65"/>
        <v>22</v>
      </c>
      <c r="DC211" s="10">
        <f t="shared" si="66"/>
        <v>11</v>
      </c>
    </row>
    <row r="212" spans="2:107" outlineLevel="1" x14ac:dyDescent="0.25">
      <c r="B212" s="115"/>
      <c r="C212" s="526" t="str">
        <f t="shared" si="89"/>
        <v>Cleanout 3" (X2003)</v>
      </c>
      <c r="D212" s="527">
        <f t="shared" si="90"/>
        <v>1</v>
      </c>
      <c r="G212" s="40"/>
      <c r="Q212" s="47"/>
      <c r="S212" s="298" t="str">
        <f t="shared" ref="S212:AA221" si="92">IF($G212=S$159,$DB212,"")</f>
        <v/>
      </c>
      <c r="T212" s="169" t="str">
        <f t="shared" si="92"/>
        <v/>
      </c>
      <c r="U212" s="169" t="str">
        <f t="shared" si="92"/>
        <v/>
      </c>
      <c r="V212" s="169" t="str">
        <f t="shared" si="92"/>
        <v/>
      </c>
      <c r="W212" s="169" t="str">
        <f t="shared" si="92"/>
        <v/>
      </c>
      <c r="X212" s="169" t="str">
        <f t="shared" si="92"/>
        <v/>
      </c>
      <c r="Y212" s="169" t="str">
        <f t="shared" si="92"/>
        <v/>
      </c>
      <c r="Z212" s="169" t="str">
        <f t="shared" si="92"/>
        <v/>
      </c>
      <c r="AA212" s="299" t="str">
        <f t="shared" si="92"/>
        <v/>
      </c>
      <c r="AB212" s="169" t="str">
        <f t="shared" ref="AB212:AJ221" si="93">IF($H212=AB$159,$DB212,"")</f>
        <v/>
      </c>
      <c r="AC212" s="169" t="str">
        <f t="shared" si="93"/>
        <v/>
      </c>
      <c r="AD212" s="169" t="str">
        <f t="shared" si="93"/>
        <v/>
      </c>
      <c r="AE212" s="169" t="str">
        <f t="shared" si="93"/>
        <v/>
      </c>
      <c r="AF212" s="169" t="str">
        <f t="shared" si="93"/>
        <v/>
      </c>
      <c r="AG212" s="169" t="str">
        <f t="shared" si="93"/>
        <v/>
      </c>
      <c r="AH212" s="169" t="str">
        <f t="shared" si="93"/>
        <v/>
      </c>
      <c r="AI212" s="169" t="str">
        <f t="shared" si="93"/>
        <v/>
      </c>
      <c r="AJ212" s="299" t="str">
        <f t="shared" si="93"/>
        <v/>
      </c>
      <c r="AK212" s="298" t="str">
        <f t="shared" si="74"/>
        <v/>
      </c>
      <c r="AL212" s="299" t="str">
        <f t="shared" si="74"/>
        <v/>
      </c>
      <c r="AM212" s="169" t="str">
        <f t="shared" ref="AM212:AU221" si="94">IF($I212=AM$159,$DB212,"")</f>
        <v/>
      </c>
      <c r="AN212" s="169" t="str">
        <f t="shared" si="94"/>
        <v/>
      </c>
      <c r="AO212" s="169" t="str">
        <f t="shared" si="94"/>
        <v/>
      </c>
      <c r="AP212" s="169" t="str">
        <f t="shared" si="94"/>
        <v/>
      </c>
      <c r="AQ212" s="169" t="str">
        <f t="shared" si="94"/>
        <v/>
      </c>
      <c r="AR212" s="169" t="str">
        <f t="shared" si="94"/>
        <v/>
      </c>
      <c r="AS212" s="169" t="str">
        <f t="shared" si="94"/>
        <v/>
      </c>
      <c r="AT212" s="169" t="str">
        <f t="shared" si="94"/>
        <v/>
      </c>
      <c r="AU212" s="299" t="str">
        <f t="shared" si="94"/>
        <v/>
      </c>
      <c r="AV212" s="169" t="str">
        <f t="shared" si="64"/>
        <v/>
      </c>
      <c r="AW212" s="169" t="str">
        <f t="shared" si="91"/>
        <v/>
      </c>
      <c r="AX212" s="169" t="str">
        <f t="shared" si="91"/>
        <v/>
      </c>
      <c r="AY212" s="169" t="str">
        <f t="shared" si="82"/>
        <v/>
      </c>
      <c r="AZ212" s="169" t="str">
        <f t="shared" si="82"/>
        <v/>
      </c>
      <c r="BA212" s="299" t="str">
        <f t="shared" si="82"/>
        <v/>
      </c>
      <c r="BB212" s="169" t="str">
        <f t="shared" si="67"/>
        <v/>
      </c>
      <c r="BC212" s="169" t="str">
        <f t="shared" si="76"/>
        <v/>
      </c>
      <c r="BD212" s="169" t="str">
        <f t="shared" si="88"/>
        <v/>
      </c>
      <c r="BE212" s="169" t="str">
        <f t="shared" si="83"/>
        <v/>
      </c>
      <c r="BF212" s="169" t="str">
        <f t="shared" si="83"/>
        <v/>
      </c>
      <c r="BG212" s="169" t="str">
        <f t="shared" si="83"/>
        <v/>
      </c>
      <c r="BH212" s="298"/>
      <c r="BI212" s="169"/>
      <c r="BJ212" s="169"/>
      <c r="BK212" s="169"/>
      <c r="BL212" s="169"/>
      <c r="BM212" s="299"/>
      <c r="BN212" s="298" t="str">
        <f t="shared" ref="BN212:BV221" si="95">IF($M212=BN$159,$DB212,"")</f>
        <v/>
      </c>
      <c r="BO212" s="169" t="str">
        <f t="shared" si="95"/>
        <v/>
      </c>
      <c r="BP212" s="169" t="str">
        <f t="shared" si="95"/>
        <v/>
      </c>
      <c r="BQ212" s="169" t="str">
        <f t="shared" si="95"/>
        <v/>
      </c>
      <c r="BR212" s="169" t="str">
        <f t="shared" si="95"/>
        <v/>
      </c>
      <c r="BS212" s="169" t="str">
        <f t="shared" si="95"/>
        <v/>
      </c>
      <c r="BT212" s="169" t="str">
        <f t="shared" si="95"/>
        <v/>
      </c>
      <c r="BU212" s="169" t="str">
        <f t="shared" si="95"/>
        <v/>
      </c>
      <c r="BV212" s="299" t="str">
        <f t="shared" si="95"/>
        <v/>
      </c>
      <c r="BW212" s="298" t="str">
        <f t="shared" ref="BW212:CE221" si="96">IF($N212=BW$159,$DB212,"")</f>
        <v/>
      </c>
      <c r="BX212" s="169" t="str">
        <f t="shared" si="96"/>
        <v/>
      </c>
      <c r="BY212" s="169" t="str">
        <f t="shared" si="96"/>
        <v/>
      </c>
      <c r="BZ212" s="169" t="str">
        <f t="shared" si="96"/>
        <v/>
      </c>
      <c r="CA212" s="169" t="str">
        <f t="shared" si="96"/>
        <v/>
      </c>
      <c r="CB212" s="169" t="str">
        <f t="shared" si="96"/>
        <v/>
      </c>
      <c r="CC212" s="169" t="str">
        <f t="shared" si="96"/>
        <v/>
      </c>
      <c r="CD212" s="169" t="str">
        <f t="shared" si="96"/>
        <v/>
      </c>
      <c r="CE212" s="299" t="str">
        <f t="shared" si="96"/>
        <v/>
      </c>
      <c r="CF212" s="298"/>
      <c r="CG212" s="169"/>
      <c r="CH212" s="169"/>
      <c r="CI212" s="169"/>
      <c r="CJ212" s="169"/>
      <c r="CK212" s="299"/>
      <c r="CL212" s="298" t="str">
        <f t="shared" si="79"/>
        <v/>
      </c>
      <c r="CM212" s="169" t="str">
        <f t="shared" si="70"/>
        <v/>
      </c>
      <c r="CN212" s="169" t="str">
        <f t="shared" si="71"/>
        <v/>
      </c>
      <c r="CO212" s="169" t="str">
        <f t="shared" si="84"/>
        <v/>
      </c>
      <c r="CP212" s="169" t="str">
        <f t="shared" si="80"/>
        <v/>
      </c>
      <c r="CQ212" s="299" t="str">
        <f t="shared" si="80"/>
        <v/>
      </c>
      <c r="CR212" s="298" t="str">
        <f t="shared" si="87"/>
        <v/>
      </c>
      <c r="CS212" s="169" t="str">
        <f t="shared" si="87"/>
        <v/>
      </c>
      <c r="CT212" s="169" t="str">
        <f t="shared" si="87"/>
        <v/>
      </c>
      <c r="CU212" s="169" t="str">
        <f t="shared" si="87"/>
        <v/>
      </c>
      <c r="CV212" s="169" t="str">
        <f t="shared" si="87"/>
        <v/>
      </c>
      <c r="CW212" s="299" t="str">
        <f t="shared" si="87"/>
        <v/>
      </c>
      <c r="CX212" s="299" t="str">
        <f t="shared" si="81"/>
        <v/>
      </c>
      <c r="CZ212" s="10"/>
      <c r="DB212" s="10">
        <f t="shared" si="65"/>
        <v>11</v>
      </c>
      <c r="DC212" s="10">
        <f t="shared" si="66"/>
        <v>5.5</v>
      </c>
    </row>
    <row r="213" spans="2:107" outlineLevel="1" x14ac:dyDescent="0.25">
      <c r="B213" s="115"/>
      <c r="C213" s="526" t="str">
        <f t="shared" si="89"/>
        <v>Cleanout 4" (X2003)</v>
      </c>
      <c r="D213" s="527">
        <f t="shared" si="90"/>
        <v>2</v>
      </c>
      <c r="G213" s="40"/>
      <c r="Q213" s="47"/>
      <c r="S213" s="298" t="str">
        <f t="shared" si="92"/>
        <v/>
      </c>
      <c r="T213" s="169" t="str">
        <f t="shared" si="92"/>
        <v/>
      </c>
      <c r="U213" s="169" t="str">
        <f t="shared" si="92"/>
        <v/>
      </c>
      <c r="V213" s="169" t="str">
        <f t="shared" si="92"/>
        <v/>
      </c>
      <c r="W213" s="169" t="str">
        <f t="shared" si="92"/>
        <v/>
      </c>
      <c r="X213" s="169" t="str">
        <f t="shared" si="92"/>
        <v/>
      </c>
      <c r="Y213" s="169" t="str">
        <f t="shared" si="92"/>
        <v/>
      </c>
      <c r="Z213" s="169" t="str">
        <f t="shared" si="92"/>
        <v/>
      </c>
      <c r="AA213" s="299" t="str">
        <f t="shared" si="92"/>
        <v/>
      </c>
      <c r="AB213" s="169" t="str">
        <f t="shared" si="93"/>
        <v/>
      </c>
      <c r="AC213" s="169" t="str">
        <f t="shared" si="93"/>
        <v/>
      </c>
      <c r="AD213" s="169" t="str">
        <f t="shared" si="93"/>
        <v/>
      </c>
      <c r="AE213" s="169" t="str">
        <f t="shared" si="93"/>
        <v/>
      </c>
      <c r="AF213" s="169" t="str">
        <f t="shared" si="93"/>
        <v/>
      </c>
      <c r="AG213" s="169" t="str">
        <f t="shared" si="93"/>
        <v/>
      </c>
      <c r="AH213" s="169" t="str">
        <f t="shared" si="93"/>
        <v/>
      </c>
      <c r="AI213" s="169" t="str">
        <f t="shared" si="93"/>
        <v/>
      </c>
      <c r="AJ213" s="299" t="str">
        <f t="shared" si="93"/>
        <v/>
      </c>
      <c r="AK213" s="298" t="str">
        <f t="shared" si="74"/>
        <v/>
      </c>
      <c r="AL213" s="299" t="str">
        <f t="shared" si="74"/>
        <v/>
      </c>
      <c r="AM213" s="169" t="str">
        <f t="shared" si="94"/>
        <v/>
      </c>
      <c r="AN213" s="169" t="str">
        <f t="shared" si="94"/>
        <v/>
      </c>
      <c r="AO213" s="169" t="str">
        <f t="shared" si="94"/>
        <v/>
      </c>
      <c r="AP213" s="169" t="str">
        <f t="shared" si="94"/>
        <v/>
      </c>
      <c r="AQ213" s="169" t="str">
        <f t="shared" si="94"/>
        <v/>
      </c>
      <c r="AR213" s="169" t="str">
        <f t="shared" si="94"/>
        <v/>
      </c>
      <c r="AS213" s="169" t="str">
        <f t="shared" si="94"/>
        <v/>
      </c>
      <c r="AT213" s="169" t="str">
        <f t="shared" si="94"/>
        <v/>
      </c>
      <c r="AU213" s="299" t="str">
        <f t="shared" si="94"/>
        <v/>
      </c>
      <c r="AV213" s="169" t="str">
        <f t="shared" si="64"/>
        <v/>
      </c>
      <c r="AW213" s="169" t="str">
        <f t="shared" si="91"/>
        <v/>
      </c>
      <c r="AX213" s="169" t="str">
        <f t="shared" si="91"/>
        <v/>
      </c>
      <c r="AY213" s="169" t="str">
        <f t="shared" si="82"/>
        <v/>
      </c>
      <c r="AZ213" s="169" t="str">
        <f t="shared" si="82"/>
        <v/>
      </c>
      <c r="BA213" s="299" t="str">
        <f t="shared" si="82"/>
        <v/>
      </c>
      <c r="BB213" s="169" t="str">
        <f t="shared" si="67"/>
        <v/>
      </c>
      <c r="BC213" s="169" t="str">
        <f t="shared" si="76"/>
        <v/>
      </c>
      <c r="BD213" s="169" t="str">
        <f t="shared" si="88"/>
        <v/>
      </c>
      <c r="BE213" s="169" t="str">
        <f t="shared" si="83"/>
        <v/>
      </c>
      <c r="BF213" s="169" t="str">
        <f t="shared" si="83"/>
        <v/>
      </c>
      <c r="BG213" s="169" t="str">
        <f t="shared" si="83"/>
        <v/>
      </c>
      <c r="BH213" s="298"/>
      <c r="BI213" s="169"/>
      <c r="BJ213" s="169"/>
      <c r="BK213" s="169"/>
      <c r="BL213" s="169"/>
      <c r="BM213" s="299"/>
      <c r="BN213" s="298" t="str">
        <f t="shared" si="95"/>
        <v/>
      </c>
      <c r="BO213" s="169" t="str">
        <f t="shared" si="95"/>
        <v/>
      </c>
      <c r="BP213" s="169" t="str">
        <f t="shared" si="95"/>
        <v/>
      </c>
      <c r="BQ213" s="169" t="str">
        <f t="shared" si="95"/>
        <v/>
      </c>
      <c r="BR213" s="169" t="str">
        <f t="shared" si="95"/>
        <v/>
      </c>
      <c r="BS213" s="169" t="str">
        <f t="shared" si="95"/>
        <v/>
      </c>
      <c r="BT213" s="169" t="str">
        <f t="shared" si="95"/>
        <v/>
      </c>
      <c r="BU213" s="169" t="str">
        <f t="shared" si="95"/>
        <v/>
      </c>
      <c r="BV213" s="299" t="str">
        <f t="shared" si="95"/>
        <v/>
      </c>
      <c r="BW213" s="298" t="str">
        <f t="shared" si="96"/>
        <v/>
      </c>
      <c r="BX213" s="169" t="str">
        <f t="shared" si="96"/>
        <v/>
      </c>
      <c r="BY213" s="169" t="str">
        <f t="shared" si="96"/>
        <v/>
      </c>
      <c r="BZ213" s="169" t="str">
        <f t="shared" si="96"/>
        <v/>
      </c>
      <c r="CA213" s="169" t="str">
        <f t="shared" si="96"/>
        <v/>
      </c>
      <c r="CB213" s="169" t="str">
        <f t="shared" si="96"/>
        <v/>
      </c>
      <c r="CC213" s="169" t="str">
        <f t="shared" si="96"/>
        <v/>
      </c>
      <c r="CD213" s="169" t="str">
        <f t="shared" si="96"/>
        <v/>
      </c>
      <c r="CE213" s="299" t="str">
        <f t="shared" si="96"/>
        <v/>
      </c>
      <c r="CF213" s="298"/>
      <c r="CG213" s="169"/>
      <c r="CH213" s="169"/>
      <c r="CI213" s="169"/>
      <c r="CJ213" s="169"/>
      <c r="CK213" s="299"/>
      <c r="CL213" s="298" t="str">
        <f t="shared" si="79"/>
        <v/>
      </c>
      <c r="CM213" s="169" t="str">
        <f t="shared" si="70"/>
        <v/>
      </c>
      <c r="CN213" s="169" t="str">
        <f t="shared" si="71"/>
        <v/>
      </c>
      <c r="CO213" s="169" t="str">
        <f t="shared" si="84"/>
        <v/>
      </c>
      <c r="CP213" s="169" t="str">
        <f t="shared" si="80"/>
        <v/>
      </c>
      <c r="CQ213" s="299" t="str">
        <f t="shared" si="80"/>
        <v/>
      </c>
      <c r="CR213" s="298" t="str">
        <f t="shared" si="87"/>
        <v/>
      </c>
      <c r="CS213" s="169" t="str">
        <f t="shared" si="87"/>
        <v/>
      </c>
      <c r="CT213" s="169" t="str">
        <f t="shared" si="87"/>
        <v/>
      </c>
      <c r="CU213" s="169" t="str">
        <f t="shared" si="87"/>
        <v/>
      </c>
      <c r="CV213" s="169" t="str">
        <f t="shared" si="87"/>
        <v/>
      </c>
      <c r="CW213" s="299" t="str">
        <f t="shared" si="87"/>
        <v/>
      </c>
      <c r="CX213" s="299" t="str">
        <f t="shared" si="81"/>
        <v/>
      </c>
      <c r="CZ213" s="10"/>
      <c r="DB213" s="10">
        <f t="shared" si="65"/>
        <v>22</v>
      </c>
      <c r="DC213" s="10">
        <f t="shared" si="66"/>
        <v>11</v>
      </c>
    </row>
    <row r="214" spans="2:107" outlineLevel="1" x14ac:dyDescent="0.25">
      <c r="B214" s="115"/>
      <c r="C214" s="526" t="str">
        <f t="shared" si="89"/>
        <v>Vent through roof, 4" (VTR)</v>
      </c>
      <c r="D214" s="527">
        <f t="shared" si="90"/>
        <v>1</v>
      </c>
      <c r="G214" s="40"/>
      <c r="Q214" s="47"/>
      <c r="S214" s="298" t="str">
        <f t="shared" si="92"/>
        <v/>
      </c>
      <c r="T214" s="169" t="str">
        <f t="shared" si="92"/>
        <v/>
      </c>
      <c r="U214" s="169" t="str">
        <f t="shared" si="92"/>
        <v/>
      </c>
      <c r="V214" s="169" t="str">
        <f t="shared" si="92"/>
        <v/>
      </c>
      <c r="W214" s="169" t="str">
        <f t="shared" si="92"/>
        <v/>
      </c>
      <c r="X214" s="169" t="str">
        <f t="shared" si="92"/>
        <v/>
      </c>
      <c r="Y214" s="169" t="str">
        <f t="shared" si="92"/>
        <v/>
      </c>
      <c r="Z214" s="169" t="str">
        <f t="shared" si="92"/>
        <v/>
      </c>
      <c r="AA214" s="299" t="str">
        <f t="shared" si="92"/>
        <v/>
      </c>
      <c r="AB214" s="169" t="str">
        <f t="shared" si="93"/>
        <v/>
      </c>
      <c r="AC214" s="169" t="str">
        <f t="shared" si="93"/>
        <v/>
      </c>
      <c r="AD214" s="169" t="str">
        <f t="shared" si="93"/>
        <v/>
      </c>
      <c r="AE214" s="169" t="str">
        <f t="shared" si="93"/>
        <v/>
      </c>
      <c r="AF214" s="169" t="str">
        <f t="shared" si="93"/>
        <v/>
      </c>
      <c r="AG214" s="169" t="str">
        <f t="shared" si="93"/>
        <v/>
      </c>
      <c r="AH214" s="169" t="str">
        <f t="shared" si="93"/>
        <v/>
      </c>
      <c r="AI214" s="169" t="str">
        <f t="shared" si="93"/>
        <v/>
      </c>
      <c r="AJ214" s="299" t="str">
        <f t="shared" si="93"/>
        <v/>
      </c>
      <c r="AK214" s="298" t="str">
        <f t="shared" si="74"/>
        <v/>
      </c>
      <c r="AL214" s="299" t="str">
        <f t="shared" si="74"/>
        <v/>
      </c>
      <c r="AM214" s="169" t="str">
        <f t="shared" si="94"/>
        <v/>
      </c>
      <c r="AN214" s="169" t="str">
        <f t="shared" si="94"/>
        <v/>
      </c>
      <c r="AO214" s="169" t="str">
        <f t="shared" si="94"/>
        <v/>
      </c>
      <c r="AP214" s="169" t="str">
        <f t="shared" si="94"/>
        <v/>
      </c>
      <c r="AQ214" s="169" t="str">
        <f t="shared" si="94"/>
        <v/>
      </c>
      <c r="AR214" s="169" t="str">
        <f t="shared" si="94"/>
        <v/>
      </c>
      <c r="AS214" s="169" t="str">
        <f t="shared" si="94"/>
        <v/>
      </c>
      <c r="AT214" s="169" t="str">
        <f t="shared" si="94"/>
        <v/>
      </c>
      <c r="AU214" s="299" t="str">
        <f t="shared" si="94"/>
        <v/>
      </c>
      <c r="AV214" s="169" t="str">
        <f t="shared" si="64"/>
        <v/>
      </c>
      <c r="AW214" s="169" t="str">
        <f t="shared" si="91"/>
        <v/>
      </c>
      <c r="AX214" s="169" t="str">
        <f t="shared" si="91"/>
        <v/>
      </c>
      <c r="AY214" s="169" t="str">
        <f t="shared" si="82"/>
        <v/>
      </c>
      <c r="AZ214" s="169" t="str">
        <f t="shared" si="82"/>
        <v/>
      </c>
      <c r="BA214" s="299" t="str">
        <f t="shared" si="82"/>
        <v/>
      </c>
      <c r="BB214" s="169" t="str">
        <f t="shared" si="67"/>
        <v/>
      </c>
      <c r="BC214" s="169" t="str">
        <f t="shared" si="76"/>
        <v/>
      </c>
      <c r="BD214" s="169" t="str">
        <f t="shared" si="88"/>
        <v/>
      </c>
      <c r="BE214" s="169" t="str">
        <f t="shared" si="83"/>
        <v/>
      </c>
      <c r="BF214" s="169" t="str">
        <f t="shared" si="83"/>
        <v/>
      </c>
      <c r="BG214" s="169" t="str">
        <f t="shared" si="83"/>
        <v/>
      </c>
      <c r="BH214" s="298"/>
      <c r="BI214" s="169"/>
      <c r="BJ214" s="169"/>
      <c r="BK214" s="169"/>
      <c r="BL214" s="169"/>
      <c r="BM214" s="299"/>
      <c r="BN214" s="298" t="str">
        <f t="shared" si="95"/>
        <v/>
      </c>
      <c r="BO214" s="169" t="str">
        <f t="shared" si="95"/>
        <v/>
      </c>
      <c r="BP214" s="169" t="str">
        <f t="shared" si="95"/>
        <v/>
      </c>
      <c r="BQ214" s="169" t="str">
        <f t="shared" si="95"/>
        <v/>
      </c>
      <c r="BR214" s="169" t="str">
        <f t="shared" si="95"/>
        <v/>
      </c>
      <c r="BS214" s="169" t="str">
        <f t="shared" si="95"/>
        <v/>
      </c>
      <c r="BT214" s="169" t="str">
        <f t="shared" si="95"/>
        <v/>
      </c>
      <c r="BU214" s="169" t="str">
        <f t="shared" si="95"/>
        <v/>
      </c>
      <c r="BV214" s="299" t="str">
        <f t="shared" si="95"/>
        <v/>
      </c>
      <c r="BW214" s="298" t="str">
        <f t="shared" si="96"/>
        <v/>
      </c>
      <c r="BX214" s="169" t="str">
        <f t="shared" si="96"/>
        <v/>
      </c>
      <c r="BY214" s="169" t="str">
        <f t="shared" si="96"/>
        <v/>
      </c>
      <c r="BZ214" s="169" t="str">
        <f t="shared" si="96"/>
        <v/>
      </c>
      <c r="CA214" s="169" t="str">
        <f t="shared" si="96"/>
        <v/>
      </c>
      <c r="CB214" s="169" t="str">
        <f t="shared" si="96"/>
        <v/>
      </c>
      <c r="CC214" s="169" t="str">
        <f t="shared" si="96"/>
        <v/>
      </c>
      <c r="CD214" s="169" t="str">
        <f t="shared" si="96"/>
        <v/>
      </c>
      <c r="CE214" s="299" t="str">
        <f t="shared" si="96"/>
        <v/>
      </c>
      <c r="CF214" s="298"/>
      <c r="CG214" s="169"/>
      <c r="CH214" s="169"/>
      <c r="CI214" s="169"/>
      <c r="CJ214" s="169"/>
      <c r="CK214" s="299"/>
      <c r="CL214" s="298" t="str">
        <f t="shared" si="79"/>
        <v/>
      </c>
      <c r="CM214" s="169" t="str">
        <f t="shared" si="70"/>
        <v/>
      </c>
      <c r="CN214" s="169" t="str">
        <f t="shared" si="71"/>
        <v/>
      </c>
      <c r="CO214" s="169" t="str">
        <f t="shared" si="84"/>
        <v/>
      </c>
      <c r="CP214" s="169" t="str">
        <f t="shared" si="80"/>
        <v/>
      </c>
      <c r="CQ214" s="299" t="str">
        <f t="shared" si="80"/>
        <v/>
      </c>
      <c r="CR214" s="298" t="str">
        <f t="shared" si="87"/>
        <v/>
      </c>
      <c r="CS214" s="169" t="str">
        <f t="shared" si="87"/>
        <v/>
      </c>
      <c r="CT214" s="169" t="str">
        <f t="shared" si="87"/>
        <v/>
      </c>
      <c r="CU214" s="169" t="str">
        <f t="shared" si="87"/>
        <v/>
      </c>
      <c r="CV214" s="169" t="str">
        <f t="shared" si="87"/>
        <v/>
      </c>
      <c r="CW214" s="299" t="str">
        <f t="shared" si="87"/>
        <v/>
      </c>
      <c r="CX214" s="299" t="str">
        <f t="shared" si="81"/>
        <v/>
      </c>
      <c r="CZ214" s="10"/>
      <c r="DB214" s="10">
        <f t="shared" si="65"/>
        <v>11</v>
      </c>
      <c r="DC214" s="10">
        <f t="shared" si="66"/>
        <v>5.5</v>
      </c>
    </row>
    <row r="215" spans="2:107" outlineLevel="1" x14ac:dyDescent="0.25">
      <c r="B215" s="115"/>
      <c r="C215" t="str">
        <f>IF(C62&gt;0,B62 &amp; " (" &amp;C62 &amp; ")",B62)</f>
        <v xml:space="preserve"> ---Nothing Follows--- </v>
      </c>
      <c r="D215" s="45"/>
      <c r="G215" s="40"/>
      <c r="Q215" s="47"/>
      <c r="S215" s="298" t="str">
        <f t="shared" si="92"/>
        <v/>
      </c>
      <c r="T215" s="169" t="str">
        <f t="shared" si="92"/>
        <v/>
      </c>
      <c r="U215" s="169" t="str">
        <f t="shared" si="92"/>
        <v/>
      </c>
      <c r="V215" s="169" t="str">
        <f t="shared" si="92"/>
        <v/>
      </c>
      <c r="W215" s="169" t="str">
        <f t="shared" si="92"/>
        <v/>
      </c>
      <c r="X215" s="169" t="str">
        <f t="shared" si="92"/>
        <v/>
      </c>
      <c r="Y215" s="169" t="str">
        <f t="shared" si="92"/>
        <v/>
      </c>
      <c r="Z215" s="169" t="str">
        <f t="shared" si="92"/>
        <v/>
      </c>
      <c r="AA215" s="299" t="str">
        <f t="shared" si="92"/>
        <v/>
      </c>
      <c r="AB215" s="169" t="str">
        <f t="shared" si="93"/>
        <v/>
      </c>
      <c r="AC215" s="169" t="str">
        <f t="shared" si="93"/>
        <v/>
      </c>
      <c r="AD215" s="169" t="str">
        <f t="shared" si="93"/>
        <v/>
      </c>
      <c r="AE215" s="169" t="str">
        <f t="shared" si="93"/>
        <v/>
      </c>
      <c r="AF215" s="169" t="str">
        <f t="shared" si="93"/>
        <v/>
      </c>
      <c r="AG215" s="169" t="str">
        <f t="shared" si="93"/>
        <v/>
      </c>
      <c r="AH215" s="169" t="str">
        <f t="shared" si="93"/>
        <v/>
      </c>
      <c r="AI215" s="169" t="str">
        <f t="shared" si="93"/>
        <v/>
      </c>
      <c r="AJ215" s="299" t="str">
        <f t="shared" si="93"/>
        <v/>
      </c>
      <c r="AK215" s="298" t="str">
        <f t="shared" si="74"/>
        <v/>
      </c>
      <c r="AL215" s="299" t="str">
        <f t="shared" si="74"/>
        <v/>
      </c>
      <c r="AM215" s="169" t="str">
        <f t="shared" si="94"/>
        <v/>
      </c>
      <c r="AN215" s="169" t="str">
        <f t="shared" si="94"/>
        <v/>
      </c>
      <c r="AO215" s="169" t="str">
        <f t="shared" si="94"/>
        <v/>
      </c>
      <c r="AP215" s="169" t="str">
        <f t="shared" si="94"/>
        <v/>
      </c>
      <c r="AQ215" s="169" t="str">
        <f t="shared" si="94"/>
        <v/>
      </c>
      <c r="AR215" s="169" t="str">
        <f t="shared" si="94"/>
        <v/>
      </c>
      <c r="AS215" s="169" t="str">
        <f t="shared" si="94"/>
        <v/>
      </c>
      <c r="AT215" s="169" t="str">
        <f t="shared" si="94"/>
        <v/>
      </c>
      <c r="AU215" s="299" t="str">
        <f t="shared" si="94"/>
        <v/>
      </c>
      <c r="AV215" s="169" t="str">
        <f t="shared" si="64"/>
        <v/>
      </c>
      <c r="AW215" s="169" t="str">
        <f t="shared" si="91"/>
        <v/>
      </c>
      <c r="AX215" s="169" t="str">
        <f t="shared" si="91"/>
        <v/>
      </c>
      <c r="AY215" s="169" t="str">
        <f t="shared" si="82"/>
        <v/>
      </c>
      <c r="AZ215" s="169" t="str">
        <f t="shared" si="82"/>
        <v/>
      </c>
      <c r="BA215" s="299" t="str">
        <f t="shared" si="82"/>
        <v/>
      </c>
      <c r="BB215" s="169" t="str">
        <f t="shared" si="67"/>
        <v/>
      </c>
      <c r="BC215" s="169" t="str">
        <f t="shared" si="76"/>
        <v/>
      </c>
      <c r="BD215" s="169" t="str">
        <f t="shared" si="88"/>
        <v/>
      </c>
      <c r="BE215" s="169" t="str">
        <f t="shared" si="83"/>
        <v/>
      </c>
      <c r="BF215" s="169" t="str">
        <f t="shared" si="83"/>
        <v/>
      </c>
      <c r="BG215" s="169" t="str">
        <f t="shared" si="83"/>
        <v/>
      </c>
      <c r="BH215" s="298"/>
      <c r="BI215" s="169"/>
      <c r="BJ215" s="169"/>
      <c r="BK215" s="169"/>
      <c r="BL215" s="169"/>
      <c r="BM215" s="299"/>
      <c r="BN215" s="298" t="str">
        <f t="shared" si="95"/>
        <v/>
      </c>
      <c r="BO215" s="169" t="str">
        <f t="shared" si="95"/>
        <v/>
      </c>
      <c r="BP215" s="169" t="str">
        <f t="shared" si="95"/>
        <v/>
      </c>
      <c r="BQ215" s="169" t="str">
        <f t="shared" si="95"/>
        <v/>
      </c>
      <c r="BR215" s="169" t="str">
        <f t="shared" si="95"/>
        <v/>
      </c>
      <c r="BS215" s="169" t="str">
        <f t="shared" si="95"/>
        <v/>
      </c>
      <c r="BT215" s="169" t="str">
        <f t="shared" si="95"/>
        <v/>
      </c>
      <c r="BU215" s="169" t="str">
        <f t="shared" si="95"/>
        <v/>
      </c>
      <c r="BV215" s="299" t="str">
        <f t="shared" si="95"/>
        <v/>
      </c>
      <c r="BW215" s="298" t="str">
        <f t="shared" si="96"/>
        <v/>
      </c>
      <c r="BX215" s="169" t="str">
        <f t="shared" si="96"/>
        <v/>
      </c>
      <c r="BY215" s="169" t="str">
        <f t="shared" si="96"/>
        <v/>
      </c>
      <c r="BZ215" s="169" t="str">
        <f t="shared" si="96"/>
        <v/>
      </c>
      <c r="CA215" s="169" t="str">
        <f t="shared" si="96"/>
        <v/>
      </c>
      <c r="CB215" s="169" t="str">
        <f t="shared" si="96"/>
        <v/>
      </c>
      <c r="CC215" s="169" t="str">
        <f t="shared" si="96"/>
        <v/>
      </c>
      <c r="CD215" s="169" t="str">
        <f t="shared" si="96"/>
        <v/>
      </c>
      <c r="CE215" s="299" t="str">
        <f t="shared" si="96"/>
        <v/>
      </c>
      <c r="CF215" s="298"/>
      <c r="CG215" s="169"/>
      <c r="CH215" s="169"/>
      <c r="CI215" s="169"/>
      <c r="CJ215" s="169"/>
      <c r="CK215" s="299"/>
      <c r="CL215" s="298" t="str">
        <f t="shared" si="79"/>
        <v/>
      </c>
      <c r="CM215" s="169" t="str">
        <f t="shared" si="70"/>
        <v/>
      </c>
      <c r="CN215" s="169" t="str">
        <f t="shared" si="71"/>
        <v/>
      </c>
      <c r="CO215" s="169" t="str">
        <f t="shared" si="84"/>
        <v/>
      </c>
      <c r="CP215" s="169" t="str">
        <f t="shared" si="80"/>
        <v/>
      </c>
      <c r="CQ215" s="299" t="str">
        <f t="shared" si="80"/>
        <v/>
      </c>
      <c r="CR215" s="298" t="str">
        <f t="shared" si="87"/>
        <v/>
      </c>
      <c r="CS215" s="169" t="str">
        <f t="shared" si="87"/>
        <v/>
      </c>
      <c r="CT215" s="169" t="str">
        <f t="shared" si="87"/>
        <v/>
      </c>
      <c r="CU215" s="169" t="str">
        <f t="shared" si="87"/>
        <v/>
      </c>
      <c r="CV215" s="169" t="str">
        <f t="shared" si="87"/>
        <v/>
      </c>
      <c r="CW215" s="299" t="str">
        <f t="shared" si="87"/>
        <v/>
      </c>
      <c r="CX215" s="299" t="str">
        <f t="shared" si="81"/>
        <v/>
      </c>
      <c r="CZ215" s="10"/>
      <c r="DB215" s="10">
        <f t="shared" si="65"/>
        <v>0</v>
      </c>
      <c r="DC215" s="10">
        <f t="shared" si="66"/>
        <v>0</v>
      </c>
    </row>
    <row r="216" spans="2:107" ht="15.75" thickBot="1" x14ac:dyDescent="0.3">
      <c r="B216" s="115"/>
      <c r="C216" s="248"/>
      <c r="D216" s="521"/>
      <c r="G216" s="40"/>
      <c r="Q216" s="47"/>
      <c r="S216" s="298" t="str">
        <f t="shared" si="92"/>
        <v/>
      </c>
      <c r="T216" s="169" t="str">
        <f t="shared" si="92"/>
        <v/>
      </c>
      <c r="U216" s="169" t="str">
        <f t="shared" si="92"/>
        <v/>
      </c>
      <c r="V216" s="169" t="str">
        <f t="shared" si="92"/>
        <v/>
      </c>
      <c r="W216" s="169" t="str">
        <f t="shared" si="92"/>
        <v/>
      </c>
      <c r="X216" s="169" t="str">
        <f t="shared" si="92"/>
        <v/>
      </c>
      <c r="Y216" s="169" t="str">
        <f t="shared" si="92"/>
        <v/>
      </c>
      <c r="Z216" s="169" t="str">
        <f t="shared" si="92"/>
        <v/>
      </c>
      <c r="AA216" s="299" t="str">
        <f t="shared" si="92"/>
        <v/>
      </c>
      <c r="AB216" s="169" t="str">
        <f t="shared" si="93"/>
        <v/>
      </c>
      <c r="AC216" s="169" t="str">
        <f t="shared" si="93"/>
        <v/>
      </c>
      <c r="AD216" s="169" t="str">
        <f t="shared" si="93"/>
        <v/>
      </c>
      <c r="AE216" s="169" t="str">
        <f t="shared" si="93"/>
        <v/>
      </c>
      <c r="AF216" s="169" t="str">
        <f t="shared" si="93"/>
        <v/>
      </c>
      <c r="AG216" s="169" t="str">
        <f t="shared" si="93"/>
        <v/>
      </c>
      <c r="AH216" s="169" t="str">
        <f t="shared" si="93"/>
        <v/>
      </c>
      <c r="AI216" s="169" t="str">
        <f t="shared" si="93"/>
        <v/>
      </c>
      <c r="AJ216" s="299" t="str">
        <f t="shared" si="93"/>
        <v/>
      </c>
      <c r="AK216" s="298" t="str">
        <f t="shared" si="74"/>
        <v/>
      </c>
      <c r="AL216" s="299" t="str">
        <f t="shared" si="74"/>
        <v/>
      </c>
      <c r="AM216" s="169" t="str">
        <f t="shared" si="94"/>
        <v/>
      </c>
      <c r="AN216" s="169" t="str">
        <f t="shared" si="94"/>
        <v/>
      </c>
      <c r="AO216" s="169" t="str">
        <f t="shared" si="94"/>
        <v/>
      </c>
      <c r="AP216" s="169" t="str">
        <f t="shared" si="94"/>
        <v/>
      </c>
      <c r="AQ216" s="169" t="str">
        <f t="shared" si="94"/>
        <v/>
      </c>
      <c r="AR216" s="169" t="str">
        <f t="shared" si="94"/>
        <v/>
      </c>
      <c r="AS216" s="169" t="str">
        <f t="shared" si="94"/>
        <v/>
      </c>
      <c r="AT216" s="169" t="str">
        <f t="shared" si="94"/>
        <v/>
      </c>
      <c r="AU216" s="299" t="str">
        <f t="shared" si="94"/>
        <v/>
      </c>
      <c r="AV216" s="169" t="str">
        <f t="shared" si="64"/>
        <v/>
      </c>
      <c r="AW216" s="169" t="str">
        <f t="shared" si="91"/>
        <v/>
      </c>
      <c r="AX216" s="169" t="str">
        <f t="shared" si="91"/>
        <v/>
      </c>
      <c r="AY216" s="169" t="str">
        <f t="shared" si="82"/>
        <v/>
      </c>
      <c r="AZ216" s="169" t="str">
        <f t="shared" si="82"/>
        <v/>
      </c>
      <c r="BA216" s="299" t="str">
        <f t="shared" si="82"/>
        <v/>
      </c>
      <c r="BB216" s="169" t="str">
        <f t="shared" si="67"/>
        <v/>
      </c>
      <c r="BC216" s="169" t="str">
        <f t="shared" si="76"/>
        <v/>
      </c>
      <c r="BD216" s="169" t="str">
        <f t="shared" si="88"/>
        <v/>
      </c>
      <c r="BE216" s="169" t="str">
        <f t="shared" si="83"/>
        <v/>
      </c>
      <c r="BF216" s="169" t="str">
        <f t="shared" si="83"/>
        <v/>
      </c>
      <c r="BG216" s="169" t="str">
        <f t="shared" si="83"/>
        <v/>
      </c>
      <c r="BH216" s="298"/>
      <c r="BI216" s="169"/>
      <c r="BJ216" s="169"/>
      <c r="BK216" s="169"/>
      <c r="BL216" s="169"/>
      <c r="BM216" s="299"/>
      <c r="BN216" s="298" t="str">
        <f t="shared" si="95"/>
        <v/>
      </c>
      <c r="BO216" s="169" t="str">
        <f t="shared" si="95"/>
        <v/>
      </c>
      <c r="BP216" s="169" t="str">
        <f t="shared" si="95"/>
        <v/>
      </c>
      <c r="BQ216" s="169" t="str">
        <f t="shared" si="95"/>
        <v/>
      </c>
      <c r="BR216" s="169" t="str">
        <f t="shared" si="95"/>
        <v/>
      </c>
      <c r="BS216" s="169" t="str">
        <f t="shared" si="95"/>
        <v/>
      </c>
      <c r="BT216" s="169" t="str">
        <f t="shared" si="95"/>
        <v/>
      </c>
      <c r="BU216" s="169" t="str">
        <f t="shared" si="95"/>
        <v/>
      </c>
      <c r="BV216" s="299" t="str">
        <f t="shared" si="95"/>
        <v/>
      </c>
      <c r="BW216" s="298" t="str">
        <f t="shared" si="96"/>
        <v/>
      </c>
      <c r="BX216" s="169" t="str">
        <f t="shared" si="96"/>
        <v/>
      </c>
      <c r="BY216" s="169" t="str">
        <f t="shared" si="96"/>
        <v/>
      </c>
      <c r="BZ216" s="169" t="str">
        <f t="shared" si="96"/>
        <v/>
      </c>
      <c r="CA216" s="169" t="str">
        <f t="shared" si="96"/>
        <v/>
      </c>
      <c r="CB216" s="169" t="str">
        <f t="shared" si="96"/>
        <v/>
      </c>
      <c r="CC216" s="169" t="str">
        <f t="shared" si="96"/>
        <v/>
      </c>
      <c r="CD216" s="169" t="str">
        <f t="shared" si="96"/>
        <v/>
      </c>
      <c r="CE216" s="299" t="str">
        <f t="shared" si="96"/>
        <v/>
      </c>
      <c r="CF216" s="298"/>
      <c r="CG216" s="169"/>
      <c r="CH216" s="169"/>
      <c r="CI216" s="169"/>
      <c r="CJ216" s="169"/>
      <c r="CK216" s="299"/>
      <c r="CL216" s="298" t="str">
        <f t="shared" si="79"/>
        <v/>
      </c>
      <c r="CM216" s="169" t="str">
        <f t="shared" si="70"/>
        <v/>
      </c>
      <c r="CN216" s="169" t="str">
        <f t="shared" si="71"/>
        <v/>
      </c>
      <c r="CO216" s="169" t="str">
        <f t="shared" si="84"/>
        <v/>
      </c>
      <c r="CP216" s="169" t="str">
        <f t="shared" si="80"/>
        <v/>
      </c>
      <c r="CQ216" s="299" t="str">
        <f t="shared" si="80"/>
        <v/>
      </c>
      <c r="CR216" s="298" t="str">
        <f t="shared" ref="CR216:CW225" si="97">IF($P216=CR$159,$DC216,"")</f>
        <v/>
      </c>
      <c r="CS216" s="169" t="str">
        <f t="shared" si="97"/>
        <v/>
      </c>
      <c r="CT216" s="169" t="str">
        <f t="shared" si="97"/>
        <v/>
      </c>
      <c r="CU216" s="169" t="str">
        <f t="shared" si="97"/>
        <v/>
      </c>
      <c r="CV216" s="169" t="str">
        <f t="shared" si="97"/>
        <v/>
      </c>
      <c r="CW216" s="299" t="str">
        <f t="shared" si="97"/>
        <v/>
      </c>
      <c r="CX216" s="299" t="str">
        <f t="shared" si="81"/>
        <v/>
      </c>
      <c r="CZ216" s="10"/>
      <c r="DB216" s="10">
        <f t="shared" si="65"/>
        <v>0</v>
      </c>
      <c r="DC216" s="10">
        <f t="shared" si="66"/>
        <v>0</v>
      </c>
    </row>
    <row r="217" spans="2:107" ht="15.75" thickTop="1" x14ac:dyDescent="0.25">
      <c r="B217" s="115"/>
      <c r="C217" s="1"/>
      <c r="D217" s="45"/>
      <c r="G217" s="40"/>
      <c r="Q217" s="47"/>
      <c r="S217" s="298" t="str">
        <f t="shared" si="92"/>
        <v/>
      </c>
      <c r="T217" s="169" t="str">
        <f t="shared" si="92"/>
        <v/>
      </c>
      <c r="U217" s="169" t="str">
        <f t="shared" si="92"/>
        <v/>
      </c>
      <c r="V217" s="169" t="str">
        <f t="shared" si="92"/>
        <v/>
      </c>
      <c r="W217" s="169" t="str">
        <f t="shared" si="92"/>
        <v/>
      </c>
      <c r="X217" s="169" t="str">
        <f t="shared" si="92"/>
        <v/>
      </c>
      <c r="Y217" s="169" t="str">
        <f t="shared" si="92"/>
        <v/>
      </c>
      <c r="Z217" s="169" t="str">
        <f t="shared" si="92"/>
        <v/>
      </c>
      <c r="AA217" s="299" t="str">
        <f t="shared" si="92"/>
        <v/>
      </c>
      <c r="AB217" s="169" t="str">
        <f t="shared" si="93"/>
        <v/>
      </c>
      <c r="AC217" s="169" t="str">
        <f t="shared" si="93"/>
        <v/>
      </c>
      <c r="AD217" s="169" t="str">
        <f t="shared" si="93"/>
        <v/>
      </c>
      <c r="AE217" s="169" t="str">
        <f t="shared" si="93"/>
        <v/>
      </c>
      <c r="AF217" s="169" t="str">
        <f t="shared" si="93"/>
        <v/>
      </c>
      <c r="AG217" s="169" t="str">
        <f t="shared" si="93"/>
        <v/>
      </c>
      <c r="AH217" s="169" t="str">
        <f t="shared" si="93"/>
        <v/>
      </c>
      <c r="AI217" s="169" t="str">
        <f t="shared" si="93"/>
        <v/>
      </c>
      <c r="AJ217" s="299" t="str">
        <f t="shared" si="93"/>
        <v/>
      </c>
      <c r="AK217" s="298" t="str">
        <f t="shared" si="74"/>
        <v/>
      </c>
      <c r="AL217" s="299" t="str">
        <f t="shared" si="74"/>
        <v/>
      </c>
      <c r="AM217" s="169" t="str">
        <f t="shared" si="94"/>
        <v/>
      </c>
      <c r="AN217" s="169" t="str">
        <f t="shared" si="94"/>
        <v/>
      </c>
      <c r="AO217" s="169" t="str">
        <f t="shared" si="94"/>
        <v/>
      </c>
      <c r="AP217" s="169" t="str">
        <f t="shared" si="94"/>
        <v/>
      </c>
      <c r="AQ217" s="169" t="str">
        <f t="shared" si="94"/>
        <v/>
      </c>
      <c r="AR217" s="169" t="str">
        <f t="shared" si="94"/>
        <v/>
      </c>
      <c r="AS217" s="169" t="str">
        <f t="shared" si="94"/>
        <v/>
      </c>
      <c r="AT217" s="169" t="str">
        <f t="shared" si="94"/>
        <v/>
      </c>
      <c r="AU217" s="299" t="str">
        <f t="shared" si="94"/>
        <v/>
      </c>
      <c r="AV217" s="169" t="str">
        <f t="shared" si="64"/>
        <v/>
      </c>
      <c r="AW217" s="169" t="str">
        <f t="shared" si="91"/>
        <v/>
      </c>
      <c r="AX217" s="169" t="str">
        <f t="shared" si="91"/>
        <v/>
      </c>
      <c r="AY217" s="169" t="str">
        <f t="shared" si="82"/>
        <v/>
      </c>
      <c r="AZ217" s="169" t="str">
        <f t="shared" si="82"/>
        <v/>
      </c>
      <c r="BA217" s="299" t="str">
        <f t="shared" si="82"/>
        <v/>
      </c>
      <c r="BB217" s="169" t="str">
        <f t="shared" si="67"/>
        <v/>
      </c>
      <c r="BC217" s="169" t="str">
        <f t="shared" si="76"/>
        <v/>
      </c>
      <c r="BD217" s="169" t="str">
        <f t="shared" si="88"/>
        <v/>
      </c>
      <c r="BE217" s="169" t="str">
        <f t="shared" si="83"/>
        <v/>
      </c>
      <c r="BF217" s="169" t="str">
        <f t="shared" si="83"/>
        <v/>
      </c>
      <c r="BG217" s="169" t="str">
        <f t="shared" si="83"/>
        <v/>
      </c>
      <c r="BH217" s="298"/>
      <c r="BI217" s="169"/>
      <c r="BJ217" s="169"/>
      <c r="BK217" s="169"/>
      <c r="BL217" s="169"/>
      <c r="BM217" s="299"/>
      <c r="BN217" s="298" t="str">
        <f t="shared" si="95"/>
        <v/>
      </c>
      <c r="BO217" s="169" t="str">
        <f t="shared" si="95"/>
        <v/>
      </c>
      <c r="BP217" s="169" t="str">
        <f t="shared" si="95"/>
        <v/>
      </c>
      <c r="BQ217" s="169" t="str">
        <f t="shared" si="95"/>
        <v/>
      </c>
      <c r="BR217" s="169" t="str">
        <f t="shared" si="95"/>
        <v/>
      </c>
      <c r="BS217" s="169" t="str">
        <f t="shared" si="95"/>
        <v/>
      </c>
      <c r="BT217" s="169" t="str">
        <f t="shared" si="95"/>
        <v/>
      </c>
      <c r="BU217" s="169" t="str">
        <f t="shared" si="95"/>
        <v/>
      </c>
      <c r="BV217" s="299" t="str">
        <f t="shared" si="95"/>
        <v/>
      </c>
      <c r="BW217" s="298" t="str">
        <f t="shared" si="96"/>
        <v/>
      </c>
      <c r="BX217" s="169" t="str">
        <f t="shared" si="96"/>
        <v/>
      </c>
      <c r="BY217" s="169" t="str">
        <f t="shared" si="96"/>
        <v/>
      </c>
      <c r="BZ217" s="169" t="str">
        <f t="shared" si="96"/>
        <v/>
      </c>
      <c r="CA217" s="169" t="str">
        <f t="shared" si="96"/>
        <v/>
      </c>
      <c r="CB217" s="169" t="str">
        <f t="shared" si="96"/>
        <v/>
      </c>
      <c r="CC217" s="169" t="str">
        <f t="shared" si="96"/>
        <v/>
      </c>
      <c r="CD217" s="169" t="str">
        <f t="shared" si="96"/>
        <v/>
      </c>
      <c r="CE217" s="299" t="str">
        <f t="shared" si="96"/>
        <v/>
      </c>
      <c r="CF217" s="298"/>
      <c r="CG217" s="169"/>
      <c r="CH217" s="169"/>
      <c r="CI217" s="169"/>
      <c r="CJ217" s="169"/>
      <c r="CK217" s="299"/>
      <c r="CL217" s="298" t="str">
        <f t="shared" si="79"/>
        <v/>
      </c>
      <c r="CM217" s="169" t="str">
        <f t="shared" si="70"/>
        <v/>
      </c>
      <c r="CN217" s="169" t="str">
        <f t="shared" si="71"/>
        <v/>
      </c>
      <c r="CO217" s="169" t="str">
        <f t="shared" si="84"/>
        <v/>
      </c>
      <c r="CP217" s="169" t="str">
        <f t="shared" si="80"/>
        <v/>
      </c>
      <c r="CQ217" s="299" t="str">
        <f t="shared" si="80"/>
        <v/>
      </c>
      <c r="CR217" s="298" t="str">
        <f t="shared" si="97"/>
        <v/>
      </c>
      <c r="CS217" s="169" t="str">
        <f t="shared" si="97"/>
        <v/>
      </c>
      <c r="CT217" s="169" t="str">
        <f t="shared" si="97"/>
        <v/>
      </c>
      <c r="CU217" s="169" t="str">
        <f t="shared" si="97"/>
        <v/>
      </c>
      <c r="CV217" s="169" t="str">
        <f t="shared" si="97"/>
        <v/>
      </c>
      <c r="CW217" s="299" t="str">
        <f t="shared" si="97"/>
        <v/>
      </c>
      <c r="CX217" s="299" t="str">
        <f t="shared" si="81"/>
        <v/>
      </c>
      <c r="CZ217" s="10"/>
      <c r="DB217" s="10">
        <f t="shared" si="65"/>
        <v>0</v>
      </c>
      <c r="DC217" s="10">
        <f t="shared" si="66"/>
        <v>0</v>
      </c>
    </row>
    <row r="218" spans="2:107" x14ac:dyDescent="0.25">
      <c r="B218" s="115"/>
      <c r="C218" s="525" t="s">
        <v>10</v>
      </c>
      <c r="D218" s="45"/>
      <c r="G218" s="40"/>
      <c r="Q218" s="47"/>
      <c r="S218" s="298" t="str">
        <f t="shared" si="92"/>
        <v/>
      </c>
      <c r="T218" s="169" t="str">
        <f t="shared" si="92"/>
        <v/>
      </c>
      <c r="U218" s="169" t="str">
        <f t="shared" si="92"/>
        <v/>
      </c>
      <c r="V218" s="169" t="str">
        <f t="shared" si="92"/>
        <v/>
      </c>
      <c r="W218" s="169" t="str">
        <f t="shared" si="92"/>
        <v/>
      </c>
      <c r="X218" s="169" t="str">
        <f t="shared" si="92"/>
        <v/>
      </c>
      <c r="Y218" s="169" t="str">
        <f t="shared" si="92"/>
        <v/>
      </c>
      <c r="Z218" s="169" t="str">
        <f t="shared" si="92"/>
        <v/>
      </c>
      <c r="AA218" s="299" t="str">
        <f t="shared" si="92"/>
        <v/>
      </c>
      <c r="AB218" s="169" t="str">
        <f t="shared" si="93"/>
        <v/>
      </c>
      <c r="AC218" s="169" t="str">
        <f t="shared" si="93"/>
        <v/>
      </c>
      <c r="AD218" s="169" t="str">
        <f t="shared" si="93"/>
        <v/>
      </c>
      <c r="AE218" s="169" t="str">
        <f t="shared" si="93"/>
        <v/>
      </c>
      <c r="AF218" s="169" t="str">
        <f t="shared" si="93"/>
        <v/>
      </c>
      <c r="AG218" s="169" t="str">
        <f t="shared" si="93"/>
        <v/>
      </c>
      <c r="AH218" s="169" t="str">
        <f t="shared" si="93"/>
        <v/>
      </c>
      <c r="AI218" s="169" t="str">
        <f t="shared" si="93"/>
        <v/>
      </c>
      <c r="AJ218" s="299" t="str">
        <f t="shared" si="93"/>
        <v/>
      </c>
      <c r="AK218" s="298" t="str">
        <f t="shared" si="74"/>
        <v/>
      </c>
      <c r="AL218" s="299" t="str">
        <f t="shared" si="74"/>
        <v/>
      </c>
      <c r="AM218" s="169" t="str">
        <f t="shared" si="94"/>
        <v/>
      </c>
      <c r="AN218" s="169" t="str">
        <f t="shared" si="94"/>
        <v/>
      </c>
      <c r="AO218" s="169" t="str">
        <f t="shared" si="94"/>
        <v/>
      </c>
      <c r="AP218" s="169" t="str">
        <f t="shared" si="94"/>
        <v/>
      </c>
      <c r="AQ218" s="169" t="str">
        <f t="shared" si="94"/>
        <v/>
      </c>
      <c r="AR218" s="169" t="str">
        <f t="shared" si="94"/>
        <v/>
      </c>
      <c r="AS218" s="169" t="str">
        <f t="shared" si="94"/>
        <v/>
      </c>
      <c r="AT218" s="169" t="str">
        <f t="shared" si="94"/>
        <v/>
      </c>
      <c r="AU218" s="299" t="str">
        <f t="shared" si="94"/>
        <v/>
      </c>
      <c r="AV218" s="169" t="str">
        <f t="shared" si="64"/>
        <v/>
      </c>
      <c r="AW218" s="169" t="str">
        <f t="shared" si="91"/>
        <v/>
      </c>
      <c r="AX218" s="169" t="str">
        <f t="shared" si="91"/>
        <v/>
      </c>
      <c r="AY218" s="169" t="str">
        <f t="shared" si="82"/>
        <v/>
      </c>
      <c r="AZ218" s="169" t="str">
        <f t="shared" si="82"/>
        <v/>
      </c>
      <c r="BA218" s="299" t="str">
        <f t="shared" si="82"/>
        <v/>
      </c>
      <c r="BB218" s="169" t="str">
        <f t="shared" si="67"/>
        <v/>
      </c>
      <c r="BC218" s="169" t="str">
        <f t="shared" si="76"/>
        <v/>
      </c>
      <c r="BD218" s="169" t="str">
        <f t="shared" si="88"/>
        <v/>
      </c>
      <c r="BE218" s="169" t="str">
        <f t="shared" si="83"/>
        <v/>
      </c>
      <c r="BF218" s="169" t="str">
        <f t="shared" si="83"/>
        <v/>
      </c>
      <c r="BG218" s="169" t="str">
        <f t="shared" si="83"/>
        <v/>
      </c>
      <c r="BH218" s="298"/>
      <c r="BI218" s="169"/>
      <c r="BJ218" s="169"/>
      <c r="BK218" s="169"/>
      <c r="BL218" s="169"/>
      <c r="BM218" s="299"/>
      <c r="BN218" s="298" t="str">
        <f t="shared" si="95"/>
        <v/>
      </c>
      <c r="BO218" s="169" t="str">
        <f t="shared" si="95"/>
        <v/>
      </c>
      <c r="BP218" s="169" t="str">
        <f t="shared" si="95"/>
        <v/>
      </c>
      <c r="BQ218" s="169" t="str">
        <f t="shared" si="95"/>
        <v/>
      </c>
      <c r="BR218" s="169" t="str">
        <f t="shared" si="95"/>
        <v/>
      </c>
      <c r="BS218" s="169" t="str">
        <f t="shared" si="95"/>
        <v/>
      </c>
      <c r="BT218" s="169" t="str">
        <f t="shared" si="95"/>
        <v/>
      </c>
      <c r="BU218" s="169" t="str">
        <f t="shared" si="95"/>
        <v/>
      </c>
      <c r="BV218" s="299" t="str">
        <f t="shared" si="95"/>
        <v/>
      </c>
      <c r="BW218" s="298" t="str">
        <f t="shared" si="96"/>
        <v/>
      </c>
      <c r="BX218" s="169" t="str">
        <f t="shared" si="96"/>
        <v/>
      </c>
      <c r="BY218" s="169" t="str">
        <f t="shared" si="96"/>
        <v/>
      </c>
      <c r="BZ218" s="169" t="str">
        <f t="shared" si="96"/>
        <v/>
      </c>
      <c r="CA218" s="169" t="str">
        <f t="shared" si="96"/>
        <v/>
      </c>
      <c r="CB218" s="169" t="str">
        <f t="shared" si="96"/>
        <v/>
      </c>
      <c r="CC218" s="169" t="str">
        <f t="shared" si="96"/>
        <v/>
      </c>
      <c r="CD218" s="169" t="str">
        <f t="shared" si="96"/>
        <v/>
      </c>
      <c r="CE218" s="299" t="str">
        <f t="shared" si="96"/>
        <v/>
      </c>
      <c r="CF218" s="298"/>
      <c r="CG218" s="169"/>
      <c r="CH218" s="169"/>
      <c r="CI218" s="169"/>
      <c r="CJ218" s="169"/>
      <c r="CK218" s="299"/>
      <c r="CL218" s="298" t="str">
        <f t="shared" si="79"/>
        <v/>
      </c>
      <c r="CM218" s="169" t="str">
        <f t="shared" si="70"/>
        <v/>
      </c>
      <c r="CN218" s="169" t="str">
        <f t="shared" si="71"/>
        <v/>
      </c>
      <c r="CO218" s="169" t="str">
        <f t="shared" si="84"/>
        <v/>
      </c>
      <c r="CP218" s="169" t="str">
        <f t="shared" si="80"/>
        <v/>
      </c>
      <c r="CQ218" s="299" t="str">
        <f t="shared" si="80"/>
        <v/>
      </c>
      <c r="CR218" s="298" t="str">
        <f t="shared" si="97"/>
        <v/>
      </c>
      <c r="CS218" s="169" t="str">
        <f t="shared" si="97"/>
        <v/>
      </c>
      <c r="CT218" s="169" t="str">
        <f t="shared" si="97"/>
        <v/>
      </c>
      <c r="CU218" s="169" t="str">
        <f t="shared" si="97"/>
        <v/>
      </c>
      <c r="CV218" s="169" t="str">
        <f t="shared" si="97"/>
        <v/>
      </c>
      <c r="CW218" s="299" t="str">
        <f t="shared" si="97"/>
        <v/>
      </c>
      <c r="CX218" s="299" t="str">
        <f t="shared" si="81"/>
        <v/>
      </c>
      <c r="CZ218" s="10"/>
      <c r="DB218" s="10">
        <f t="shared" si="65"/>
        <v>0</v>
      </c>
      <c r="DC218" s="10">
        <f t="shared" si="66"/>
        <v>0</v>
      </c>
    </row>
    <row r="219" spans="2:107" outlineLevel="1" x14ac:dyDescent="0.25">
      <c r="B219" s="115"/>
      <c r="C219" s="1"/>
      <c r="D219" s="45"/>
      <c r="G219" s="40"/>
      <c r="Q219" s="47"/>
      <c r="S219" s="298" t="str">
        <f t="shared" si="92"/>
        <v/>
      </c>
      <c r="T219" s="169" t="str">
        <f t="shared" si="92"/>
        <v/>
      </c>
      <c r="U219" s="169" t="str">
        <f t="shared" si="92"/>
        <v/>
      </c>
      <c r="V219" s="169" t="str">
        <f t="shared" si="92"/>
        <v/>
      </c>
      <c r="W219" s="169" t="str">
        <f t="shared" si="92"/>
        <v/>
      </c>
      <c r="X219" s="169" t="str">
        <f t="shared" si="92"/>
        <v/>
      </c>
      <c r="Y219" s="169" t="str">
        <f t="shared" si="92"/>
        <v/>
      </c>
      <c r="Z219" s="169" t="str">
        <f t="shared" si="92"/>
        <v/>
      </c>
      <c r="AA219" s="299" t="str">
        <f t="shared" si="92"/>
        <v/>
      </c>
      <c r="AB219" s="169" t="str">
        <f t="shared" si="93"/>
        <v/>
      </c>
      <c r="AC219" s="169" t="str">
        <f t="shared" si="93"/>
        <v/>
      </c>
      <c r="AD219" s="169" t="str">
        <f t="shared" si="93"/>
        <v/>
      </c>
      <c r="AE219" s="169" t="str">
        <f t="shared" si="93"/>
        <v/>
      </c>
      <c r="AF219" s="169" t="str">
        <f t="shared" si="93"/>
        <v/>
      </c>
      <c r="AG219" s="169" t="str">
        <f t="shared" si="93"/>
        <v/>
      </c>
      <c r="AH219" s="169" t="str">
        <f t="shared" si="93"/>
        <v/>
      </c>
      <c r="AI219" s="169" t="str">
        <f t="shared" si="93"/>
        <v/>
      </c>
      <c r="AJ219" s="299" t="str">
        <f t="shared" si="93"/>
        <v/>
      </c>
      <c r="AK219" s="298" t="str">
        <f t="shared" si="74"/>
        <v/>
      </c>
      <c r="AL219" s="299" t="str">
        <f t="shared" si="74"/>
        <v/>
      </c>
      <c r="AM219" s="169" t="str">
        <f t="shared" si="94"/>
        <v/>
      </c>
      <c r="AN219" s="169" t="str">
        <f t="shared" si="94"/>
        <v/>
      </c>
      <c r="AO219" s="169" t="str">
        <f t="shared" si="94"/>
        <v/>
      </c>
      <c r="AP219" s="169" t="str">
        <f t="shared" si="94"/>
        <v/>
      </c>
      <c r="AQ219" s="169" t="str">
        <f t="shared" si="94"/>
        <v/>
      </c>
      <c r="AR219" s="169" t="str">
        <f t="shared" si="94"/>
        <v/>
      </c>
      <c r="AS219" s="169" t="str">
        <f t="shared" si="94"/>
        <v/>
      </c>
      <c r="AT219" s="169" t="str">
        <f t="shared" si="94"/>
        <v/>
      </c>
      <c r="AU219" s="299" t="str">
        <f t="shared" si="94"/>
        <v/>
      </c>
      <c r="AV219" s="169" t="str">
        <f t="shared" si="64"/>
        <v/>
      </c>
      <c r="AW219" s="169" t="str">
        <f t="shared" si="91"/>
        <v/>
      </c>
      <c r="AX219" s="169" t="str">
        <f t="shared" si="91"/>
        <v/>
      </c>
      <c r="AY219" s="169" t="str">
        <f t="shared" si="82"/>
        <v/>
      </c>
      <c r="AZ219" s="169" t="str">
        <f t="shared" si="82"/>
        <v/>
      </c>
      <c r="BA219" s="299" t="str">
        <f t="shared" si="82"/>
        <v/>
      </c>
      <c r="BB219" s="169" t="str">
        <f t="shared" si="67"/>
        <v/>
      </c>
      <c r="BC219" s="169" t="str">
        <f t="shared" si="76"/>
        <v/>
      </c>
      <c r="BD219" s="169" t="str">
        <f t="shared" si="88"/>
        <v/>
      </c>
      <c r="BE219" s="169" t="str">
        <f t="shared" si="83"/>
        <v/>
      </c>
      <c r="BF219" s="169" t="str">
        <f t="shared" si="83"/>
        <v/>
      </c>
      <c r="BG219" s="169" t="str">
        <f t="shared" si="83"/>
        <v/>
      </c>
      <c r="BH219" s="298"/>
      <c r="BI219" s="169"/>
      <c r="BJ219" s="169"/>
      <c r="BK219" s="169"/>
      <c r="BL219" s="169"/>
      <c r="BM219" s="299"/>
      <c r="BN219" s="298" t="str">
        <f t="shared" si="95"/>
        <v/>
      </c>
      <c r="BO219" s="169" t="str">
        <f t="shared" si="95"/>
        <v/>
      </c>
      <c r="BP219" s="169" t="str">
        <f t="shared" si="95"/>
        <v/>
      </c>
      <c r="BQ219" s="169" t="str">
        <f t="shared" si="95"/>
        <v/>
      </c>
      <c r="BR219" s="169" t="str">
        <f t="shared" si="95"/>
        <v/>
      </c>
      <c r="BS219" s="169" t="str">
        <f t="shared" si="95"/>
        <v/>
      </c>
      <c r="BT219" s="169" t="str">
        <f t="shared" si="95"/>
        <v/>
      </c>
      <c r="BU219" s="169" t="str">
        <f t="shared" si="95"/>
        <v/>
      </c>
      <c r="BV219" s="299" t="str">
        <f t="shared" si="95"/>
        <v/>
      </c>
      <c r="BW219" s="298" t="str">
        <f t="shared" si="96"/>
        <v/>
      </c>
      <c r="BX219" s="169" t="str">
        <f t="shared" si="96"/>
        <v/>
      </c>
      <c r="BY219" s="169" t="str">
        <f t="shared" si="96"/>
        <v/>
      </c>
      <c r="BZ219" s="169" t="str">
        <f t="shared" si="96"/>
        <v/>
      </c>
      <c r="CA219" s="169" t="str">
        <f t="shared" si="96"/>
        <v/>
      </c>
      <c r="CB219" s="169" t="str">
        <f t="shared" si="96"/>
        <v/>
      </c>
      <c r="CC219" s="169" t="str">
        <f t="shared" si="96"/>
        <v/>
      </c>
      <c r="CD219" s="169" t="str">
        <f t="shared" si="96"/>
        <v/>
      </c>
      <c r="CE219" s="299" t="str">
        <f t="shared" si="96"/>
        <v/>
      </c>
      <c r="CF219" s="298"/>
      <c r="CG219" s="169"/>
      <c r="CH219" s="169"/>
      <c r="CI219" s="169"/>
      <c r="CJ219" s="169"/>
      <c r="CK219" s="299"/>
      <c r="CL219" s="298" t="str">
        <f t="shared" si="79"/>
        <v/>
      </c>
      <c r="CM219" s="169" t="str">
        <f t="shared" si="70"/>
        <v/>
      </c>
      <c r="CN219" s="169" t="str">
        <f t="shared" si="71"/>
        <v/>
      </c>
      <c r="CO219" s="169" t="str">
        <f t="shared" si="84"/>
        <v/>
      </c>
      <c r="CP219" s="169" t="str">
        <f t="shared" si="80"/>
        <v/>
      </c>
      <c r="CQ219" s="299" t="str">
        <f t="shared" si="80"/>
        <v/>
      </c>
      <c r="CR219" s="298" t="str">
        <f t="shared" si="97"/>
        <v/>
      </c>
      <c r="CS219" s="169" t="str">
        <f t="shared" si="97"/>
        <v/>
      </c>
      <c r="CT219" s="169" t="str">
        <f t="shared" si="97"/>
        <v/>
      </c>
      <c r="CU219" s="169" t="str">
        <f t="shared" si="97"/>
        <v/>
      </c>
      <c r="CV219" s="169" t="str">
        <f t="shared" si="97"/>
        <v/>
      </c>
      <c r="CW219" s="299" t="str">
        <f t="shared" si="97"/>
        <v/>
      </c>
      <c r="CX219" s="299" t="str">
        <f t="shared" si="81"/>
        <v/>
      </c>
      <c r="CZ219" s="10"/>
      <c r="DB219" s="10">
        <f t="shared" si="65"/>
        <v>0</v>
      </c>
      <c r="DC219" s="10">
        <f t="shared" si="66"/>
        <v>0</v>
      </c>
    </row>
    <row r="220" spans="2:107" outlineLevel="1" x14ac:dyDescent="0.25">
      <c r="B220" s="115"/>
      <c r="C220" s="528" t="str">
        <f>IF(C68&gt;0,B68 &amp; " (" &amp;C68 &amp; ")",B68)</f>
        <v>Trap Primer 1/2" (TP)</v>
      </c>
      <c r="D220" s="529">
        <f>E68</f>
        <v>2</v>
      </c>
      <c r="G220" s="40" t="s">
        <v>23</v>
      </c>
      <c r="Q220" s="47"/>
      <c r="S220" s="298">
        <f t="shared" si="92"/>
        <v>22</v>
      </c>
      <c r="T220" s="169" t="str">
        <f t="shared" si="92"/>
        <v/>
      </c>
      <c r="U220" s="169" t="str">
        <f t="shared" si="92"/>
        <v/>
      </c>
      <c r="V220" s="169" t="str">
        <f t="shared" si="92"/>
        <v/>
      </c>
      <c r="W220" s="169" t="str">
        <f t="shared" si="92"/>
        <v/>
      </c>
      <c r="X220" s="169" t="str">
        <f t="shared" si="92"/>
        <v/>
      </c>
      <c r="Y220" s="169" t="str">
        <f t="shared" si="92"/>
        <v/>
      </c>
      <c r="Z220" s="169" t="str">
        <f t="shared" si="92"/>
        <v/>
      </c>
      <c r="AA220" s="299" t="str">
        <f t="shared" si="92"/>
        <v/>
      </c>
      <c r="AB220" s="169" t="str">
        <f t="shared" si="93"/>
        <v/>
      </c>
      <c r="AC220" s="169" t="str">
        <f t="shared" si="93"/>
        <v/>
      </c>
      <c r="AD220" s="169" t="str">
        <f t="shared" si="93"/>
        <v/>
      </c>
      <c r="AE220" s="169" t="str">
        <f t="shared" si="93"/>
        <v/>
      </c>
      <c r="AF220" s="169" t="str">
        <f t="shared" si="93"/>
        <v/>
      </c>
      <c r="AG220" s="169" t="str">
        <f t="shared" si="93"/>
        <v/>
      </c>
      <c r="AH220" s="169" t="str">
        <f t="shared" si="93"/>
        <v/>
      </c>
      <c r="AI220" s="169" t="str">
        <f t="shared" si="93"/>
        <v/>
      </c>
      <c r="AJ220" s="299" t="str">
        <f t="shared" si="93"/>
        <v/>
      </c>
      <c r="AK220" s="298" t="str">
        <f t="shared" si="74"/>
        <v/>
      </c>
      <c r="AL220" s="299" t="str">
        <f t="shared" si="74"/>
        <v/>
      </c>
      <c r="AM220" s="169" t="str">
        <f t="shared" si="94"/>
        <v/>
      </c>
      <c r="AN220" s="169" t="str">
        <f t="shared" si="94"/>
        <v/>
      </c>
      <c r="AO220" s="169" t="str">
        <f t="shared" si="94"/>
        <v/>
      </c>
      <c r="AP220" s="169" t="str">
        <f t="shared" si="94"/>
        <v/>
      </c>
      <c r="AQ220" s="169" t="str">
        <f t="shared" si="94"/>
        <v/>
      </c>
      <c r="AR220" s="169" t="str">
        <f t="shared" si="94"/>
        <v/>
      </c>
      <c r="AS220" s="169" t="str">
        <f t="shared" si="94"/>
        <v/>
      </c>
      <c r="AT220" s="169" t="str">
        <f t="shared" si="94"/>
        <v/>
      </c>
      <c r="AU220" s="299" t="str">
        <f t="shared" si="94"/>
        <v/>
      </c>
      <c r="AV220" s="169" t="str">
        <f t="shared" si="64"/>
        <v/>
      </c>
      <c r="AW220" s="169" t="str">
        <f t="shared" si="91"/>
        <v/>
      </c>
      <c r="AX220" s="169" t="str">
        <f t="shared" si="91"/>
        <v/>
      </c>
      <c r="AY220" s="169" t="str">
        <f t="shared" si="82"/>
        <v/>
      </c>
      <c r="AZ220" s="169" t="str">
        <f t="shared" si="82"/>
        <v/>
      </c>
      <c r="BA220" s="299" t="str">
        <f t="shared" si="82"/>
        <v/>
      </c>
      <c r="BB220" s="169" t="str">
        <f t="shared" si="67"/>
        <v/>
      </c>
      <c r="BC220" s="169" t="str">
        <f t="shared" si="76"/>
        <v/>
      </c>
      <c r="BD220" s="169" t="str">
        <f t="shared" si="88"/>
        <v/>
      </c>
      <c r="BE220" s="169" t="str">
        <f t="shared" si="83"/>
        <v/>
      </c>
      <c r="BF220" s="169" t="str">
        <f t="shared" si="83"/>
        <v/>
      </c>
      <c r="BG220" s="169" t="str">
        <f t="shared" si="83"/>
        <v/>
      </c>
      <c r="BH220" s="298"/>
      <c r="BI220" s="169"/>
      <c r="BJ220" s="169"/>
      <c r="BK220" s="169"/>
      <c r="BL220" s="169"/>
      <c r="BM220" s="299"/>
      <c r="BN220" s="298" t="str">
        <f t="shared" si="95"/>
        <v/>
      </c>
      <c r="BO220" s="169" t="str">
        <f t="shared" si="95"/>
        <v/>
      </c>
      <c r="BP220" s="169" t="str">
        <f t="shared" si="95"/>
        <v/>
      </c>
      <c r="BQ220" s="169" t="str">
        <f t="shared" si="95"/>
        <v/>
      </c>
      <c r="BR220" s="169" t="str">
        <f t="shared" si="95"/>
        <v/>
      </c>
      <c r="BS220" s="169" t="str">
        <f t="shared" si="95"/>
        <v/>
      </c>
      <c r="BT220" s="169" t="str">
        <f t="shared" si="95"/>
        <v/>
      </c>
      <c r="BU220" s="169" t="str">
        <f t="shared" si="95"/>
        <v/>
      </c>
      <c r="BV220" s="299" t="str">
        <f t="shared" si="95"/>
        <v/>
      </c>
      <c r="BW220" s="298" t="str">
        <f t="shared" si="96"/>
        <v/>
      </c>
      <c r="BX220" s="169" t="str">
        <f t="shared" si="96"/>
        <v/>
      </c>
      <c r="BY220" s="169" t="str">
        <f t="shared" si="96"/>
        <v/>
      </c>
      <c r="BZ220" s="169" t="str">
        <f t="shared" si="96"/>
        <v/>
      </c>
      <c r="CA220" s="169" t="str">
        <f t="shared" si="96"/>
        <v/>
      </c>
      <c r="CB220" s="169" t="str">
        <f t="shared" si="96"/>
        <v/>
      </c>
      <c r="CC220" s="169" t="str">
        <f t="shared" si="96"/>
        <v/>
      </c>
      <c r="CD220" s="169" t="str">
        <f t="shared" si="96"/>
        <v/>
      </c>
      <c r="CE220" s="299" t="str">
        <f t="shared" si="96"/>
        <v/>
      </c>
      <c r="CF220" s="298"/>
      <c r="CG220" s="169"/>
      <c r="CH220" s="169"/>
      <c r="CI220" s="169"/>
      <c r="CJ220" s="169"/>
      <c r="CK220" s="299"/>
      <c r="CL220" s="298" t="str">
        <f t="shared" si="79"/>
        <v/>
      </c>
      <c r="CM220" s="169" t="str">
        <f t="shared" si="70"/>
        <v/>
      </c>
      <c r="CN220" s="169" t="str">
        <f t="shared" si="71"/>
        <v/>
      </c>
      <c r="CO220" s="169" t="str">
        <f t="shared" si="84"/>
        <v/>
      </c>
      <c r="CP220" s="169" t="str">
        <f t="shared" si="80"/>
        <v/>
      </c>
      <c r="CQ220" s="299" t="str">
        <f t="shared" si="80"/>
        <v/>
      </c>
      <c r="CR220" s="298" t="str">
        <f t="shared" si="97"/>
        <v/>
      </c>
      <c r="CS220" s="169" t="str">
        <f t="shared" si="97"/>
        <v/>
      </c>
      <c r="CT220" s="169" t="str">
        <f t="shared" si="97"/>
        <v/>
      </c>
      <c r="CU220" s="169" t="str">
        <f t="shared" si="97"/>
        <v/>
      </c>
      <c r="CV220" s="169" t="str">
        <f t="shared" si="97"/>
        <v/>
      </c>
      <c r="CW220" s="299" t="str">
        <f t="shared" si="97"/>
        <v/>
      </c>
      <c r="CX220" s="299" t="str">
        <f t="shared" si="81"/>
        <v/>
      </c>
      <c r="CZ220" s="10"/>
      <c r="DB220" s="10">
        <f t="shared" si="65"/>
        <v>22</v>
      </c>
      <c r="DC220" s="10">
        <f t="shared" si="66"/>
        <v>11</v>
      </c>
    </row>
    <row r="221" spans="2:107" outlineLevel="1" x14ac:dyDescent="0.25">
      <c r="B221" s="116"/>
      <c r="C221" s="528" t="str">
        <f>IF(C69&gt;0,B69 &amp; " (" &amp;C69 &amp; ")",B69)</f>
        <v>Hosebibb, 3/4" (HB)</v>
      </c>
      <c r="D221" s="529">
        <f>E69</f>
        <v>2</v>
      </c>
      <c r="G221" s="40" t="s">
        <v>24</v>
      </c>
      <c r="Q221" s="47"/>
      <c r="S221" s="298" t="str">
        <f t="shared" si="92"/>
        <v/>
      </c>
      <c r="T221" s="169">
        <f t="shared" si="92"/>
        <v>22</v>
      </c>
      <c r="U221" s="169" t="str">
        <f t="shared" si="92"/>
        <v/>
      </c>
      <c r="V221" s="169" t="str">
        <f t="shared" si="92"/>
        <v/>
      </c>
      <c r="W221" s="169" t="str">
        <f t="shared" si="92"/>
        <v/>
      </c>
      <c r="X221" s="169" t="str">
        <f t="shared" si="92"/>
        <v/>
      </c>
      <c r="Y221" s="169" t="str">
        <f t="shared" si="92"/>
        <v/>
      </c>
      <c r="Z221" s="169" t="str">
        <f t="shared" si="92"/>
        <v/>
      </c>
      <c r="AA221" s="299" t="str">
        <f t="shared" si="92"/>
        <v/>
      </c>
      <c r="AB221" s="169" t="str">
        <f t="shared" si="93"/>
        <v/>
      </c>
      <c r="AC221" s="169" t="str">
        <f t="shared" si="93"/>
        <v/>
      </c>
      <c r="AD221" s="169" t="str">
        <f t="shared" si="93"/>
        <v/>
      </c>
      <c r="AE221" s="169" t="str">
        <f t="shared" si="93"/>
        <v/>
      </c>
      <c r="AF221" s="169" t="str">
        <f t="shared" si="93"/>
        <v/>
      </c>
      <c r="AG221" s="169" t="str">
        <f t="shared" si="93"/>
        <v/>
      </c>
      <c r="AH221" s="169" t="str">
        <f t="shared" si="93"/>
        <v/>
      </c>
      <c r="AI221" s="169" t="str">
        <f t="shared" si="93"/>
        <v/>
      </c>
      <c r="AJ221" s="299" t="str">
        <f t="shared" si="93"/>
        <v/>
      </c>
      <c r="AK221" s="298" t="str">
        <f t="shared" si="74"/>
        <v/>
      </c>
      <c r="AL221" s="299" t="str">
        <f t="shared" si="74"/>
        <v/>
      </c>
      <c r="AM221" s="169" t="str">
        <f t="shared" si="94"/>
        <v/>
      </c>
      <c r="AN221" s="169" t="str">
        <f t="shared" si="94"/>
        <v/>
      </c>
      <c r="AO221" s="169" t="str">
        <f t="shared" si="94"/>
        <v/>
      </c>
      <c r="AP221" s="169" t="str">
        <f t="shared" si="94"/>
        <v/>
      </c>
      <c r="AQ221" s="169" t="str">
        <f t="shared" si="94"/>
        <v/>
      </c>
      <c r="AR221" s="169" t="str">
        <f t="shared" si="94"/>
        <v/>
      </c>
      <c r="AS221" s="169" t="str">
        <f t="shared" si="94"/>
        <v/>
      </c>
      <c r="AT221" s="169" t="str">
        <f t="shared" si="94"/>
        <v/>
      </c>
      <c r="AU221" s="299" t="str">
        <f t="shared" si="94"/>
        <v/>
      </c>
      <c r="AV221" s="169" t="str">
        <f t="shared" si="64"/>
        <v/>
      </c>
      <c r="AW221" s="169" t="str">
        <f t="shared" si="91"/>
        <v/>
      </c>
      <c r="AX221" s="169" t="str">
        <f t="shared" si="91"/>
        <v/>
      </c>
      <c r="AY221" s="169" t="str">
        <f t="shared" si="82"/>
        <v/>
      </c>
      <c r="AZ221" s="169" t="str">
        <f t="shared" si="82"/>
        <v/>
      </c>
      <c r="BA221" s="299" t="str">
        <f t="shared" si="82"/>
        <v/>
      </c>
      <c r="BB221" s="169" t="str">
        <f t="shared" si="67"/>
        <v/>
      </c>
      <c r="BC221" s="169" t="str">
        <f t="shared" si="76"/>
        <v/>
      </c>
      <c r="BD221" s="169" t="str">
        <f t="shared" si="88"/>
        <v/>
      </c>
      <c r="BE221" s="169" t="str">
        <f t="shared" si="83"/>
        <v/>
      </c>
      <c r="BF221" s="169" t="str">
        <f t="shared" si="83"/>
        <v/>
      </c>
      <c r="BG221" s="169" t="str">
        <f t="shared" si="83"/>
        <v/>
      </c>
      <c r="BH221" s="298" t="str">
        <f t="shared" ref="BH221:BM222" si="98">IF($L221=BH$159,$DC221,"")</f>
        <v/>
      </c>
      <c r="BI221" s="169" t="str">
        <f t="shared" si="98"/>
        <v/>
      </c>
      <c r="BJ221" s="169" t="str">
        <f t="shared" si="98"/>
        <v/>
      </c>
      <c r="BK221" s="169" t="str">
        <f t="shared" si="98"/>
        <v/>
      </c>
      <c r="BL221" s="169" t="str">
        <f t="shared" si="98"/>
        <v/>
      </c>
      <c r="BM221" s="299" t="str">
        <f t="shared" si="98"/>
        <v/>
      </c>
      <c r="BN221" s="298" t="str">
        <f t="shared" si="95"/>
        <v/>
      </c>
      <c r="BO221" s="169" t="str">
        <f t="shared" si="95"/>
        <v/>
      </c>
      <c r="BP221" s="169" t="str">
        <f t="shared" si="95"/>
        <v/>
      </c>
      <c r="BQ221" s="169" t="str">
        <f t="shared" si="95"/>
        <v/>
      </c>
      <c r="BR221" s="169" t="str">
        <f t="shared" si="95"/>
        <v/>
      </c>
      <c r="BS221" s="169" t="str">
        <f t="shared" si="95"/>
        <v/>
      </c>
      <c r="BT221" s="169" t="str">
        <f t="shared" si="95"/>
        <v/>
      </c>
      <c r="BU221" s="169" t="str">
        <f t="shared" si="95"/>
        <v/>
      </c>
      <c r="BV221" s="299" t="str">
        <f t="shared" si="95"/>
        <v/>
      </c>
      <c r="BW221" s="298" t="str">
        <f t="shared" si="96"/>
        <v/>
      </c>
      <c r="BX221" s="169" t="str">
        <f t="shared" si="96"/>
        <v/>
      </c>
      <c r="BY221" s="169" t="str">
        <f t="shared" si="96"/>
        <v/>
      </c>
      <c r="BZ221" s="169" t="str">
        <f t="shared" si="96"/>
        <v/>
      </c>
      <c r="CA221" s="169" t="str">
        <f t="shared" si="96"/>
        <v/>
      </c>
      <c r="CB221" s="169" t="str">
        <f t="shared" si="96"/>
        <v/>
      </c>
      <c r="CC221" s="169" t="str">
        <f t="shared" si="96"/>
        <v/>
      </c>
      <c r="CD221" s="169" t="str">
        <f t="shared" si="96"/>
        <v/>
      </c>
      <c r="CE221" s="299" t="str">
        <f t="shared" si="96"/>
        <v/>
      </c>
      <c r="CF221" s="298" t="str">
        <f t="shared" ref="CF221:CK222" si="99">IF($O221=CF$159,$DC221,"")</f>
        <v/>
      </c>
      <c r="CG221" s="169" t="str">
        <f t="shared" si="99"/>
        <v/>
      </c>
      <c r="CH221" s="169" t="str">
        <f t="shared" si="99"/>
        <v/>
      </c>
      <c r="CI221" s="169" t="str">
        <f t="shared" si="99"/>
        <v/>
      </c>
      <c r="CJ221" s="169" t="str">
        <f t="shared" si="99"/>
        <v/>
      </c>
      <c r="CK221" s="299" t="str">
        <f t="shared" si="99"/>
        <v/>
      </c>
      <c r="CL221" s="298" t="str">
        <f t="shared" si="79"/>
        <v/>
      </c>
      <c r="CM221" s="169" t="str">
        <f t="shared" si="70"/>
        <v/>
      </c>
      <c r="CN221" s="169" t="str">
        <f t="shared" si="71"/>
        <v/>
      </c>
      <c r="CO221" s="169" t="str">
        <f t="shared" si="84"/>
        <v/>
      </c>
      <c r="CP221" s="169" t="str">
        <f t="shared" si="80"/>
        <v/>
      </c>
      <c r="CQ221" s="299" t="str">
        <f t="shared" si="80"/>
        <v/>
      </c>
      <c r="CR221" s="298" t="str">
        <f t="shared" si="97"/>
        <v/>
      </c>
      <c r="CS221" s="169" t="str">
        <f t="shared" si="97"/>
        <v/>
      </c>
      <c r="CT221" s="169" t="str">
        <f t="shared" si="97"/>
        <v/>
      </c>
      <c r="CU221" s="169" t="str">
        <f t="shared" si="97"/>
        <v/>
      </c>
      <c r="CV221" s="169" t="str">
        <f t="shared" si="97"/>
        <v/>
      </c>
      <c r="CW221" s="299" t="str">
        <f t="shared" si="97"/>
        <v/>
      </c>
      <c r="CX221" s="299" t="str">
        <f t="shared" si="81"/>
        <v/>
      </c>
      <c r="CZ221" s="10"/>
      <c r="DB221" s="10">
        <f t="shared" si="65"/>
        <v>22</v>
      </c>
      <c r="DC221" s="10">
        <f t="shared" si="66"/>
        <v>11</v>
      </c>
    </row>
    <row r="222" spans="2:107" outlineLevel="1" x14ac:dyDescent="0.25">
      <c r="B222" s="116"/>
      <c r="C222" s="528" t="str">
        <f>IF(C89&gt;0,B89 &amp; " (" &amp;C89 &amp; ")",B89)</f>
        <v xml:space="preserve"> ---Nothing Follows--- </v>
      </c>
      <c r="D222" s="529">
        <f>E89</f>
        <v>0</v>
      </c>
      <c r="G222" s="40"/>
      <c r="Q222" s="47"/>
      <c r="S222" s="298" t="str">
        <f t="shared" ref="S222:AA231" si="100">IF($G222=S$159,$DB222,"")</f>
        <v/>
      </c>
      <c r="T222" s="169" t="str">
        <f t="shared" si="100"/>
        <v/>
      </c>
      <c r="U222" s="169" t="str">
        <f t="shared" si="100"/>
        <v/>
      </c>
      <c r="V222" s="169" t="str">
        <f t="shared" si="100"/>
        <v/>
      </c>
      <c r="W222" s="169" t="str">
        <f t="shared" si="100"/>
        <v/>
      </c>
      <c r="X222" s="169" t="str">
        <f t="shared" si="100"/>
        <v/>
      </c>
      <c r="Y222" s="169" t="str">
        <f t="shared" si="100"/>
        <v/>
      </c>
      <c r="Z222" s="169" t="str">
        <f t="shared" si="100"/>
        <v/>
      </c>
      <c r="AA222" s="299" t="str">
        <f t="shared" si="100"/>
        <v/>
      </c>
      <c r="AB222" s="169" t="str">
        <f t="shared" ref="AB222:AJ231" si="101">IF($H222=AB$159,$DB222,"")</f>
        <v/>
      </c>
      <c r="AC222" s="169" t="str">
        <f t="shared" si="101"/>
        <v/>
      </c>
      <c r="AD222" s="169" t="str">
        <f t="shared" si="101"/>
        <v/>
      </c>
      <c r="AE222" s="169" t="str">
        <f t="shared" si="101"/>
        <v/>
      </c>
      <c r="AF222" s="169" t="str">
        <f t="shared" si="101"/>
        <v/>
      </c>
      <c r="AG222" s="169" t="str">
        <f t="shared" si="101"/>
        <v/>
      </c>
      <c r="AH222" s="169" t="str">
        <f t="shared" si="101"/>
        <v/>
      </c>
      <c r="AI222" s="169" t="str">
        <f t="shared" si="101"/>
        <v/>
      </c>
      <c r="AJ222" s="299" t="str">
        <f t="shared" si="101"/>
        <v/>
      </c>
      <c r="AK222" s="298" t="str">
        <f t="shared" ref="AK222:AL241" si="102">IF($P222=AK$159,$DC222,"")</f>
        <v/>
      </c>
      <c r="AL222" s="299" t="str">
        <f t="shared" si="102"/>
        <v/>
      </c>
      <c r="AM222" s="169" t="str">
        <f t="shared" ref="AM222:AU231" si="103">IF($I222=AM$159,$DB222,"")</f>
        <v/>
      </c>
      <c r="AN222" s="169" t="str">
        <f t="shared" si="103"/>
        <v/>
      </c>
      <c r="AO222" s="169" t="str">
        <f t="shared" si="103"/>
        <v/>
      </c>
      <c r="AP222" s="169" t="str">
        <f t="shared" si="103"/>
        <v/>
      </c>
      <c r="AQ222" s="169" t="str">
        <f t="shared" si="103"/>
        <v/>
      </c>
      <c r="AR222" s="169" t="str">
        <f t="shared" si="103"/>
        <v/>
      </c>
      <c r="AS222" s="169" t="str">
        <f t="shared" si="103"/>
        <v/>
      </c>
      <c r="AT222" s="169" t="str">
        <f t="shared" si="103"/>
        <v/>
      </c>
      <c r="AU222" s="299" t="str">
        <f t="shared" si="103"/>
        <v/>
      </c>
      <c r="AV222" s="169" t="str">
        <f t="shared" si="64"/>
        <v/>
      </c>
      <c r="AW222" s="169" t="str">
        <f t="shared" si="91"/>
        <v/>
      </c>
      <c r="AX222" s="169" t="str">
        <f t="shared" si="91"/>
        <v/>
      </c>
      <c r="AY222" s="169" t="str">
        <f t="shared" si="82"/>
        <v/>
      </c>
      <c r="AZ222" s="169" t="str">
        <f t="shared" si="82"/>
        <v/>
      </c>
      <c r="BA222" s="299" t="str">
        <f t="shared" si="82"/>
        <v/>
      </c>
      <c r="BB222" s="169" t="str">
        <f t="shared" si="67"/>
        <v/>
      </c>
      <c r="BC222" s="169" t="str">
        <f t="shared" si="76"/>
        <v/>
      </c>
      <c r="BD222" s="169" t="str">
        <f t="shared" si="88"/>
        <v/>
      </c>
      <c r="BE222" s="169" t="str">
        <f t="shared" si="83"/>
        <v/>
      </c>
      <c r="BF222" s="169" t="str">
        <f t="shared" si="83"/>
        <v/>
      </c>
      <c r="BG222" s="169" t="str">
        <f t="shared" si="83"/>
        <v/>
      </c>
      <c r="BH222" s="298" t="str">
        <f t="shared" si="98"/>
        <v/>
      </c>
      <c r="BI222" s="169" t="str">
        <f t="shared" si="98"/>
        <v/>
      </c>
      <c r="BJ222" s="169" t="str">
        <f t="shared" si="98"/>
        <v/>
      </c>
      <c r="BK222" s="169" t="str">
        <f t="shared" si="98"/>
        <v/>
      </c>
      <c r="BL222" s="169" t="str">
        <f t="shared" si="98"/>
        <v/>
      </c>
      <c r="BM222" s="299" t="str">
        <f t="shared" si="98"/>
        <v/>
      </c>
      <c r="BN222" s="298" t="str">
        <f t="shared" ref="BN222:BV231" si="104">IF($M222=BN$159,$DB222,"")</f>
        <v/>
      </c>
      <c r="BO222" s="169" t="str">
        <f t="shared" si="104"/>
        <v/>
      </c>
      <c r="BP222" s="169" t="str">
        <f t="shared" si="104"/>
        <v/>
      </c>
      <c r="BQ222" s="169" t="str">
        <f t="shared" si="104"/>
        <v/>
      </c>
      <c r="BR222" s="169" t="str">
        <f t="shared" si="104"/>
        <v/>
      </c>
      <c r="BS222" s="169" t="str">
        <f t="shared" si="104"/>
        <v/>
      </c>
      <c r="BT222" s="169" t="str">
        <f t="shared" si="104"/>
        <v/>
      </c>
      <c r="BU222" s="169" t="str">
        <f t="shared" si="104"/>
        <v/>
      </c>
      <c r="BV222" s="299" t="str">
        <f t="shared" si="104"/>
        <v/>
      </c>
      <c r="BW222" s="298" t="str">
        <f t="shared" ref="BW222:CE231" si="105">IF($N222=BW$159,$DB222,"")</f>
        <v/>
      </c>
      <c r="BX222" s="169" t="str">
        <f t="shared" si="105"/>
        <v/>
      </c>
      <c r="BY222" s="169" t="str">
        <f t="shared" si="105"/>
        <v/>
      </c>
      <c r="BZ222" s="169" t="str">
        <f t="shared" si="105"/>
        <v/>
      </c>
      <c r="CA222" s="169" t="str">
        <f t="shared" si="105"/>
        <v/>
      </c>
      <c r="CB222" s="169" t="str">
        <f t="shared" si="105"/>
        <v/>
      </c>
      <c r="CC222" s="169" t="str">
        <f t="shared" si="105"/>
        <v/>
      </c>
      <c r="CD222" s="169" t="str">
        <f t="shared" si="105"/>
        <v/>
      </c>
      <c r="CE222" s="299" t="str">
        <f t="shared" si="105"/>
        <v/>
      </c>
      <c r="CF222" s="298" t="str">
        <f t="shared" si="99"/>
        <v/>
      </c>
      <c r="CG222" s="169" t="str">
        <f t="shared" si="99"/>
        <v/>
      </c>
      <c r="CH222" s="169" t="str">
        <f t="shared" si="99"/>
        <v/>
      </c>
      <c r="CI222" s="169" t="str">
        <f t="shared" si="99"/>
        <v/>
      </c>
      <c r="CJ222" s="169" t="str">
        <f t="shared" si="99"/>
        <v/>
      </c>
      <c r="CK222" s="299" t="str">
        <f t="shared" si="99"/>
        <v/>
      </c>
      <c r="CL222" s="298" t="str">
        <f t="shared" si="79"/>
        <v/>
      </c>
      <c r="CM222" s="169" t="str">
        <f t="shared" si="70"/>
        <v/>
      </c>
      <c r="CN222" s="169" t="str">
        <f t="shared" si="71"/>
        <v/>
      </c>
      <c r="CO222" s="169" t="str">
        <f t="shared" si="84"/>
        <v/>
      </c>
      <c r="CP222" s="169" t="str">
        <f t="shared" ref="CP222:CQ241" si="106">IF($P222=CP$159,$DC222,"")</f>
        <v/>
      </c>
      <c r="CQ222" s="299" t="str">
        <f t="shared" si="106"/>
        <v/>
      </c>
      <c r="CR222" s="298" t="str">
        <f t="shared" si="97"/>
        <v/>
      </c>
      <c r="CS222" s="169" t="str">
        <f t="shared" si="97"/>
        <v/>
      </c>
      <c r="CT222" s="169" t="str">
        <f t="shared" si="97"/>
        <v/>
      </c>
      <c r="CU222" s="169" t="str">
        <f t="shared" si="97"/>
        <v/>
      </c>
      <c r="CV222" s="169" t="str">
        <f t="shared" si="97"/>
        <v/>
      </c>
      <c r="CW222" s="299" t="str">
        <f t="shared" si="97"/>
        <v/>
      </c>
      <c r="CX222" s="299" t="str">
        <f t="shared" si="81"/>
        <v/>
      </c>
      <c r="CZ222" s="10"/>
      <c r="DB222" s="10">
        <f t="shared" si="65"/>
        <v>0</v>
      </c>
      <c r="DC222" s="10">
        <f t="shared" si="66"/>
        <v>0</v>
      </c>
    </row>
    <row r="223" spans="2:107" ht="15.75" thickBot="1" x14ac:dyDescent="0.3">
      <c r="B223" s="116"/>
      <c r="C223" s="530"/>
      <c r="D223" s="531"/>
      <c r="G223" s="40"/>
      <c r="Q223" s="47"/>
      <c r="S223" s="298" t="str">
        <f t="shared" si="100"/>
        <v/>
      </c>
      <c r="T223" s="169" t="str">
        <f t="shared" si="100"/>
        <v/>
      </c>
      <c r="U223" s="169" t="str">
        <f t="shared" si="100"/>
        <v/>
      </c>
      <c r="V223" s="169" t="str">
        <f t="shared" si="100"/>
        <v/>
      </c>
      <c r="W223" s="169" t="str">
        <f t="shared" si="100"/>
        <v/>
      </c>
      <c r="X223" s="169" t="str">
        <f t="shared" si="100"/>
        <v/>
      </c>
      <c r="Y223" s="169" t="str">
        <f t="shared" si="100"/>
        <v/>
      </c>
      <c r="Z223" s="169" t="str">
        <f t="shared" si="100"/>
        <v/>
      </c>
      <c r="AA223" s="299" t="str">
        <f t="shared" si="100"/>
        <v/>
      </c>
      <c r="AB223" s="169" t="str">
        <f t="shared" si="101"/>
        <v/>
      </c>
      <c r="AC223" s="169" t="str">
        <f t="shared" si="101"/>
        <v/>
      </c>
      <c r="AD223" s="169" t="str">
        <f t="shared" si="101"/>
        <v/>
      </c>
      <c r="AE223" s="169" t="str">
        <f t="shared" si="101"/>
        <v/>
      </c>
      <c r="AF223" s="169" t="str">
        <f t="shared" si="101"/>
        <v/>
      </c>
      <c r="AG223" s="169" t="str">
        <f t="shared" si="101"/>
        <v/>
      </c>
      <c r="AH223" s="169" t="str">
        <f t="shared" si="101"/>
        <v/>
      </c>
      <c r="AI223" s="169" t="str">
        <f t="shared" si="101"/>
        <v/>
      </c>
      <c r="AJ223" s="299" t="str">
        <f t="shared" si="101"/>
        <v/>
      </c>
      <c r="AK223" s="298" t="str">
        <f t="shared" si="102"/>
        <v/>
      </c>
      <c r="AL223" s="299" t="str">
        <f t="shared" si="102"/>
        <v/>
      </c>
      <c r="AM223" s="169" t="str">
        <f t="shared" si="103"/>
        <v/>
      </c>
      <c r="AN223" s="169" t="str">
        <f t="shared" si="103"/>
        <v/>
      </c>
      <c r="AO223" s="169" t="str">
        <f t="shared" si="103"/>
        <v/>
      </c>
      <c r="AP223" s="169" t="str">
        <f t="shared" si="103"/>
        <v/>
      </c>
      <c r="AQ223" s="169" t="str">
        <f t="shared" si="103"/>
        <v/>
      </c>
      <c r="AR223" s="169" t="str">
        <f t="shared" si="103"/>
        <v/>
      </c>
      <c r="AS223" s="169" t="str">
        <f t="shared" si="103"/>
        <v/>
      </c>
      <c r="AT223" s="169" t="str">
        <f t="shared" si="103"/>
        <v/>
      </c>
      <c r="AU223" s="299" t="str">
        <f t="shared" si="103"/>
        <v/>
      </c>
      <c r="AV223" s="169" t="str">
        <f t="shared" si="64"/>
        <v/>
      </c>
      <c r="AW223" s="169" t="str">
        <f t="shared" si="91"/>
        <v/>
      </c>
      <c r="AX223" s="169" t="str">
        <f t="shared" si="91"/>
        <v/>
      </c>
      <c r="AY223" s="169" t="str">
        <f t="shared" ref="AY223:BA242" si="107">IF($J223=AY$159,$DC223,"")</f>
        <v/>
      </c>
      <c r="AZ223" s="169" t="str">
        <f t="shared" si="107"/>
        <v/>
      </c>
      <c r="BA223" s="299" t="str">
        <f t="shared" si="107"/>
        <v/>
      </c>
      <c r="BB223" s="169" t="str">
        <f t="shared" si="67"/>
        <v/>
      </c>
      <c r="BC223" s="169" t="str">
        <f t="shared" si="76"/>
        <v/>
      </c>
      <c r="BD223" s="169" t="str">
        <f t="shared" si="88"/>
        <v/>
      </c>
      <c r="BE223" s="169" t="str">
        <f t="shared" ref="BE223:BG242" si="108">IF($K223=BE$159,$DC223,"")</f>
        <v/>
      </c>
      <c r="BF223" s="169" t="str">
        <f t="shared" si="108"/>
        <v/>
      </c>
      <c r="BG223" s="169" t="str">
        <f t="shared" si="108"/>
        <v/>
      </c>
      <c r="BH223" s="298"/>
      <c r="BI223" s="169"/>
      <c r="BJ223" s="169"/>
      <c r="BK223" s="169"/>
      <c r="BL223" s="169"/>
      <c r="BM223" s="299"/>
      <c r="BN223" s="298" t="str">
        <f t="shared" si="104"/>
        <v/>
      </c>
      <c r="BO223" s="169" t="str">
        <f t="shared" si="104"/>
        <v/>
      </c>
      <c r="BP223" s="169" t="str">
        <f t="shared" si="104"/>
        <v/>
      </c>
      <c r="BQ223" s="169" t="str">
        <f t="shared" si="104"/>
        <v/>
      </c>
      <c r="BR223" s="169" t="str">
        <f t="shared" si="104"/>
        <v/>
      </c>
      <c r="BS223" s="169" t="str">
        <f t="shared" si="104"/>
        <v/>
      </c>
      <c r="BT223" s="169" t="str">
        <f t="shared" si="104"/>
        <v/>
      </c>
      <c r="BU223" s="169" t="str">
        <f t="shared" si="104"/>
        <v/>
      </c>
      <c r="BV223" s="299" t="str">
        <f t="shared" si="104"/>
        <v/>
      </c>
      <c r="BW223" s="298" t="str">
        <f t="shared" si="105"/>
        <v/>
      </c>
      <c r="BX223" s="169" t="str">
        <f t="shared" si="105"/>
        <v/>
      </c>
      <c r="BY223" s="169" t="str">
        <f t="shared" si="105"/>
        <v/>
      </c>
      <c r="BZ223" s="169" t="str">
        <f t="shared" si="105"/>
        <v/>
      </c>
      <c r="CA223" s="169" t="str">
        <f t="shared" si="105"/>
        <v/>
      </c>
      <c r="CB223" s="169" t="str">
        <f t="shared" si="105"/>
        <v/>
      </c>
      <c r="CC223" s="169" t="str">
        <f t="shared" si="105"/>
        <v/>
      </c>
      <c r="CD223" s="169" t="str">
        <f t="shared" si="105"/>
        <v/>
      </c>
      <c r="CE223" s="299" t="str">
        <f t="shared" si="105"/>
        <v/>
      </c>
      <c r="CF223" s="298"/>
      <c r="CG223" s="169"/>
      <c r="CH223" s="169"/>
      <c r="CI223" s="169"/>
      <c r="CJ223" s="169"/>
      <c r="CK223" s="299"/>
      <c r="CL223" s="298" t="str">
        <f t="shared" si="79"/>
        <v/>
      </c>
      <c r="CM223" s="169" t="str">
        <f t="shared" si="70"/>
        <v/>
      </c>
      <c r="CN223" s="169" t="str">
        <f t="shared" si="71"/>
        <v/>
      </c>
      <c r="CO223" s="169" t="str">
        <f t="shared" si="84"/>
        <v/>
      </c>
      <c r="CP223" s="169" t="str">
        <f t="shared" si="106"/>
        <v/>
      </c>
      <c r="CQ223" s="299" t="str">
        <f t="shared" si="106"/>
        <v/>
      </c>
      <c r="CR223" s="298" t="str">
        <f t="shared" si="97"/>
        <v/>
      </c>
      <c r="CS223" s="169" t="str">
        <f t="shared" si="97"/>
        <v/>
      </c>
      <c r="CT223" s="169" t="str">
        <f t="shared" si="97"/>
        <v/>
      </c>
      <c r="CU223" s="169" t="str">
        <f t="shared" si="97"/>
        <v/>
      </c>
      <c r="CV223" s="169" t="str">
        <f t="shared" si="97"/>
        <v/>
      </c>
      <c r="CW223" s="299" t="str">
        <f t="shared" si="97"/>
        <v/>
      </c>
      <c r="CX223" s="299" t="str">
        <f t="shared" si="81"/>
        <v/>
      </c>
      <c r="CZ223" s="10"/>
      <c r="DB223" s="10">
        <f t="shared" si="65"/>
        <v>0</v>
      </c>
      <c r="DC223" s="10">
        <f t="shared" si="66"/>
        <v>0</v>
      </c>
    </row>
    <row r="224" spans="2:107" ht="15.75" thickTop="1" x14ac:dyDescent="0.25">
      <c r="B224" s="116"/>
      <c r="C224" s="528"/>
      <c r="D224" s="529"/>
      <c r="G224" s="40"/>
      <c r="Q224" s="47"/>
      <c r="S224" s="298" t="str">
        <f t="shared" si="100"/>
        <v/>
      </c>
      <c r="T224" s="169" t="str">
        <f t="shared" si="100"/>
        <v/>
      </c>
      <c r="U224" s="169" t="str">
        <f t="shared" si="100"/>
        <v/>
      </c>
      <c r="V224" s="169" t="str">
        <f t="shared" si="100"/>
        <v/>
      </c>
      <c r="W224" s="169" t="str">
        <f t="shared" si="100"/>
        <v/>
      </c>
      <c r="X224" s="169" t="str">
        <f t="shared" si="100"/>
        <v/>
      </c>
      <c r="Y224" s="169" t="str">
        <f t="shared" si="100"/>
        <v/>
      </c>
      <c r="Z224" s="169" t="str">
        <f t="shared" si="100"/>
        <v/>
      </c>
      <c r="AA224" s="299" t="str">
        <f t="shared" si="100"/>
        <v/>
      </c>
      <c r="AB224" s="169" t="str">
        <f t="shared" si="101"/>
        <v/>
      </c>
      <c r="AC224" s="169" t="str">
        <f t="shared" si="101"/>
        <v/>
      </c>
      <c r="AD224" s="169" t="str">
        <f t="shared" si="101"/>
        <v/>
      </c>
      <c r="AE224" s="169" t="str">
        <f t="shared" si="101"/>
        <v/>
      </c>
      <c r="AF224" s="169" t="str">
        <f t="shared" si="101"/>
        <v/>
      </c>
      <c r="AG224" s="169" t="str">
        <f t="shared" si="101"/>
        <v/>
      </c>
      <c r="AH224" s="169" t="str">
        <f t="shared" si="101"/>
        <v/>
      </c>
      <c r="AI224" s="169" t="str">
        <f t="shared" si="101"/>
        <v/>
      </c>
      <c r="AJ224" s="299" t="str">
        <f t="shared" si="101"/>
        <v/>
      </c>
      <c r="AK224" s="298" t="str">
        <f t="shared" si="102"/>
        <v/>
      </c>
      <c r="AL224" s="299" t="str">
        <f t="shared" si="102"/>
        <v/>
      </c>
      <c r="AM224" s="169" t="str">
        <f t="shared" si="103"/>
        <v/>
      </c>
      <c r="AN224" s="169" t="str">
        <f t="shared" si="103"/>
        <v/>
      </c>
      <c r="AO224" s="169" t="str">
        <f t="shared" si="103"/>
        <v/>
      </c>
      <c r="AP224" s="169" t="str">
        <f t="shared" si="103"/>
        <v/>
      </c>
      <c r="AQ224" s="169" t="str">
        <f t="shared" si="103"/>
        <v/>
      </c>
      <c r="AR224" s="169" t="str">
        <f t="shared" si="103"/>
        <v/>
      </c>
      <c r="AS224" s="169" t="str">
        <f t="shared" si="103"/>
        <v/>
      </c>
      <c r="AT224" s="169" t="str">
        <f t="shared" si="103"/>
        <v/>
      </c>
      <c r="AU224" s="299" t="str">
        <f t="shared" si="103"/>
        <v/>
      </c>
      <c r="AV224" s="169" t="str">
        <f t="shared" si="64"/>
        <v/>
      </c>
      <c r="AW224" s="169" t="str">
        <f t="shared" si="91"/>
        <v/>
      </c>
      <c r="AX224" s="169" t="str">
        <f t="shared" si="91"/>
        <v/>
      </c>
      <c r="AY224" s="169" t="str">
        <f t="shared" si="107"/>
        <v/>
      </c>
      <c r="AZ224" s="169" t="str">
        <f t="shared" si="107"/>
        <v/>
      </c>
      <c r="BA224" s="299" t="str">
        <f t="shared" si="107"/>
        <v/>
      </c>
      <c r="BB224" s="169" t="str">
        <f t="shared" si="67"/>
        <v/>
      </c>
      <c r="BC224" s="169" t="str">
        <f t="shared" si="76"/>
        <v/>
      </c>
      <c r="BD224" s="169" t="str">
        <f t="shared" si="88"/>
        <v/>
      </c>
      <c r="BE224" s="169" t="str">
        <f t="shared" si="108"/>
        <v/>
      </c>
      <c r="BF224" s="169" t="str">
        <f t="shared" si="108"/>
        <v/>
      </c>
      <c r="BG224" s="169" t="str">
        <f t="shared" si="108"/>
        <v/>
      </c>
      <c r="BH224" s="298"/>
      <c r="BI224" s="169"/>
      <c r="BJ224" s="169"/>
      <c r="BK224" s="169"/>
      <c r="BL224" s="169"/>
      <c r="BM224" s="299"/>
      <c r="BN224" s="298" t="str">
        <f t="shared" si="104"/>
        <v/>
      </c>
      <c r="BO224" s="169" t="str">
        <f t="shared" si="104"/>
        <v/>
      </c>
      <c r="BP224" s="169" t="str">
        <f t="shared" si="104"/>
        <v/>
      </c>
      <c r="BQ224" s="169" t="str">
        <f t="shared" si="104"/>
        <v/>
      </c>
      <c r="BR224" s="169" t="str">
        <f t="shared" si="104"/>
        <v/>
      </c>
      <c r="BS224" s="169" t="str">
        <f t="shared" si="104"/>
        <v/>
      </c>
      <c r="BT224" s="169" t="str">
        <f t="shared" si="104"/>
        <v/>
      </c>
      <c r="BU224" s="169" t="str">
        <f t="shared" si="104"/>
        <v/>
      </c>
      <c r="BV224" s="299" t="str">
        <f t="shared" si="104"/>
        <v/>
      </c>
      <c r="BW224" s="298" t="str">
        <f t="shared" si="105"/>
        <v/>
      </c>
      <c r="BX224" s="169" t="str">
        <f t="shared" si="105"/>
        <v/>
      </c>
      <c r="BY224" s="169" t="str">
        <f t="shared" si="105"/>
        <v/>
      </c>
      <c r="BZ224" s="169" t="str">
        <f t="shared" si="105"/>
        <v/>
      </c>
      <c r="CA224" s="169" t="str">
        <f t="shared" si="105"/>
        <v/>
      </c>
      <c r="CB224" s="169" t="str">
        <f t="shared" si="105"/>
        <v/>
      </c>
      <c r="CC224" s="169" t="str">
        <f t="shared" si="105"/>
        <v/>
      </c>
      <c r="CD224" s="169" t="str">
        <f t="shared" si="105"/>
        <v/>
      </c>
      <c r="CE224" s="299" t="str">
        <f t="shared" si="105"/>
        <v/>
      </c>
      <c r="CF224" s="298"/>
      <c r="CG224" s="169"/>
      <c r="CH224" s="169"/>
      <c r="CI224" s="169"/>
      <c r="CJ224" s="169"/>
      <c r="CK224" s="299"/>
      <c r="CL224" s="298" t="str">
        <f t="shared" si="79"/>
        <v/>
      </c>
      <c r="CM224" s="169" t="str">
        <f t="shared" si="70"/>
        <v/>
      </c>
      <c r="CN224" s="169" t="str">
        <f t="shared" si="71"/>
        <v/>
      </c>
      <c r="CO224" s="169" t="str">
        <f t="shared" si="84"/>
        <v/>
      </c>
      <c r="CP224" s="169" t="str">
        <f t="shared" si="106"/>
        <v/>
      </c>
      <c r="CQ224" s="299" t="str">
        <f t="shared" si="106"/>
        <v/>
      </c>
      <c r="CR224" s="298" t="str">
        <f t="shared" si="97"/>
        <v/>
      </c>
      <c r="CS224" s="169" t="str">
        <f t="shared" si="97"/>
        <v/>
      </c>
      <c r="CT224" s="169" t="str">
        <f t="shared" si="97"/>
        <v/>
      </c>
      <c r="CU224" s="169" t="str">
        <f t="shared" si="97"/>
        <v/>
      </c>
      <c r="CV224" s="169" t="str">
        <f t="shared" si="97"/>
        <v/>
      </c>
      <c r="CW224" s="299" t="str">
        <f t="shared" si="97"/>
        <v/>
      </c>
      <c r="CX224" s="299" t="str">
        <f t="shared" si="81"/>
        <v/>
      </c>
      <c r="CZ224" s="10"/>
      <c r="DB224" s="10">
        <f t="shared" si="65"/>
        <v>0</v>
      </c>
      <c r="DC224" s="10">
        <f t="shared" si="66"/>
        <v>0</v>
      </c>
    </row>
    <row r="225" spans="2:107" x14ac:dyDescent="0.25">
      <c r="B225" s="116"/>
      <c r="C225" s="532" t="s">
        <v>139</v>
      </c>
      <c r="D225" s="529"/>
      <c r="G225" s="40"/>
      <c r="Q225" s="47"/>
      <c r="S225" s="298" t="str">
        <f t="shared" si="100"/>
        <v/>
      </c>
      <c r="T225" s="169" t="str">
        <f t="shared" si="100"/>
        <v/>
      </c>
      <c r="U225" s="169" t="str">
        <f t="shared" si="100"/>
        <v/>
      </c>
      <c r="V225" s="169" t="str">
        <f t="shared" si="100"/>
        <v/>
      </c>
      <c r="W225" s="169" t="str">
        <f t="shared" si="100"/>
        <v/>
      </c>
      <c r="X225" s="169" t="str">
        <f t="shared" si="100"/>
        <v/>
      </c>
      <c r="Y225" s="169" t="str">
        <f t="shared" si="100"/>
        <v/>
      </c>
      <c r="Z225" s="169" t="str">
        <f t="shared" si="100"/>
        <v/>
      </c>
      <c r="AA225" s="299" t="str">
        <f t="shared" si="100"/>
        <v/>
      </c>
      <c r="AB225" s="169" t="str">
        <f t="shared" si="101"/>
        <v/>
      </c>
      <c r="AC225" s="169" t="str">
        <f t="shared" si="101"/>
        <v/>
      </c>
      <c r="AD225" s="169" t="str">
        <f t="shared" si="101"/>
        <v/>
      </c>
      <c r="AE225" s="169" t="str">
        <f t="shared" si="101"/>
        <v/>
      </c>
      <c r="AF225" s="169" t="str">
        <f t="shared" si="101"/>
        <v/>
      </c>
      <c r="AG225" s="169" t="str">
        <f t="shared" si="101"/>
        <v/>
      </c>
      <c r="AH225" s="169" t="str">
        <f t="shared" si="101"/>
        <v/>
      </c>
      <c r="AI225" s="169" t="str">
        <f t="shared" si="101"/>
        <v/>
      </c>
      <c r="AJ225" s="299" t="str">
        <f t="shared" si="101"/>
        <v/>
      </c>
      <c r="AK225" s="298" t="str">
        <f t="shared" si="102"/>
        <v/>
      </c>
      <c r="AL225" s="299" t="str">
        <f t="shared" si="102"/>
        <v/>
      </c>
      <c r="AM225" s="169" t="str">
        <f t="shared" si="103"/>
        <v/>
      </c>
      <c r="AN225" s="169" t="str">
        <f t="shared" si="103"/>
        <v/>
      </c>
      <c r="AO225" s="169" t="str">
        <f t="shared" si="103"/>
        <v/>
      </c>
      <c r="AP225" s="169" t="str">
        <f t="shared" si="103"/>
        <v/>
      </c>
      <c r="AQ225" s="169" t="str">
        <f t="shared" si="103"/>
        <v/>
      </c>
      <c r="AR225" s="169" t="str">
        <f t="shared" si="103"/>
        <v/>
      </c>
      <c r="AS225" s="169" t="str">
        <f t="shared" si="103"/>
        <v/>
      </c>
      <c r="AT225" s="169" t="str">
        <f t="shared" si="103"/>
        <v/>
      </c>
      <c r="AU225" s="299" t="str">
        <f t="shared" si="103"/>
        <v/>
      </c>
      <c r="AV225" s="169" t="str">
        <f t="shared" si="64"/>
        <v/>
      </c>
      <c r="AW225" s="169" t="str">
        <f t="shared" si="91"/>
        <v/>
      </c>
      <c r="AX225" s="169" t="str">
        <f t="shared" si="91"/>
        <v/>
      </c>
      <c r="AY225" s="169" t="str">
        <f t="shared" si="107"/>
        <v/>
      </c>
      <c r="AZ225" s="169" t="str">
        <f t="shared" si="107"/>
        <v/>
      </c>
      <c r="BA225" s="299" t="str">
        <f t="shared" si="107"/>
        <v/>
      </c>
      <c r="BB225" s="169" t="str">
        <f t="shared" si="67"/>
        <v/>
      </c>
      <c r="BC225" s="169" t="str">
        <f t="shared" si="76"/>
        <v/>
      </c>
      <c r="BD225" s="169" t="str">
        <f t="shared" si="88"/>
        <v/>
      </c>
      <c r="BE225" s="169" t="str">
        <f t="shared" si="108"/>
        <v/>
      </c>
      <c r="BF225" s="169" t="str">
        <f t="shared" si="108"/>
        <v/>
      </c>
      <c r="BG225" s="169" t="str">
        <f t="shared" si="108"/>
        <v/>
      </c>
      <c r="BH225" s="298"/>
      <c r="BI225" s="169"/>
      <c r="BJ225" s="169"/>
      <c r="BK225" s="169"/>
      <c r="BL225" s="169"/>
      <c r="BM225" s="299"/>
      <c r="BN225" s="298" t="str">
        <f t="shared" si="104"/>
        <v/>
      </c>
      <c r="BO225" s="169" t="str">
        <f t="shared" si="104"/>
        <v/>
      </c>
      <c r="BP225" s="169" t="str">
        <f t="shared" si="104"/>
        <v/>
      </c>
      <c r="BQ225" s="169" t="str">
        <f t="shared" si="104"/>
        <v/>
      </c>
      <c r="BR225" s="169" t="str">
        <f t="shared" si="104"/>
        <v/>
      </c>
      <c r="BS225" s="169" t="str">
        <f t="shared" si="104"/>
        <v/>
      </c>
      <c r="BT225" s="169" t="str">
        <f t="shared" si="104"/>
        <v/>
      </c>
      <c r="BU225" s="169" t="str">
        <f t="shared" si="104"/>
        <v/>
      </c>
      <c r="BV225" s="299" t="str">
        <f t="shared" si="104"/>
        <v/>
      </c>
      <c r="BW225" s="298" t="str">
        <f t="shared" si="105"/>
        <v/>
      </c>
      <c r="BX225" s="169" t="str">
        <f t="shared" si="105"/>
        <v/>
      </c>
      <c r="BY225" s="169" t="str">
        <f t="shared" si="105"/>
        <v/>
      </c>
      <c r="BZ225" s="169" t="str">
        <f t="shared" si="105"/>
        <v/>
      </c>
      <c r="CA225" s="169" t="str">
        <f t="shared" si="105"/>
        <v/>
      </c>
      <c r="CB225" s="169" t="str">
        <f t="shared" si="105"/>
        <v/>
      </c>
      <c r="CC225" s="169" t="str">
        <f t="shared" si="105"/>
        <v/>
      </c>
      <c r="CD225" s="169" t="str">
        <f t="shared" si="105"/>
        <v/>
      </c>
      <c r="CE225" s="299" t="str">
        <f t="shared" si="105"/>
        <v/>
      </c>
      <c r="CF225" s="298"/>
      <c r="CG225" s="169"/>
      <c r="CH225" s="169"/>
      <c r="CI225" s="169"/>
      <c r="CJ225" s="169"/>
      <c r="CK225" s="299"/>
      <c r="CL225" s="298" t="str">
        <f t="shared" si="79"/>
        <v/>
      </c>
      <c r="CM225" s="169" t="str">
        <f t="shared" si="70"/>
        <v/>
      </c>
      <c r="CN225" s="169" t="str">
        <f t="shared" si="71"/>
        <v/>
      </c>
      <c r="CO225" s="169" t="str">
        <f t="shared" si="84"/>
        <v/>
      </c>
      <c r="CP225" s="169" t="str">
        <f t="shared" si="106"/>
        <v/>
      </c>
      <c r="CQ225" s="299" t="str">
        <f t="shared" si="106"/>
        <v/>
      </c>
      <c r="CR225" s="298" t="str">
        <f t="shared" si="97"/>
        <v/>
      </c>
      <c r="CS225" s="169" t="str">
        <f t="shared" si="97"/>
        <v/>
      </c>
      <c r="CT225" s="169" t="str">
        <f t="shared" si="97"/>
        <v/>
      </c>
      <c r="CU225" s="169" t="str">
        <f t="shared" si="97"/>
        <v/>
      </c>
      <c r="CV225" s="169" t="str">
        <f t="shared" si="97"/>
        <v/>
      </c>
      <c r="CW225" s="299" t="str">
        <f t="shared" si="97"/>
        <v/>
      </c>
      <c r="CX225" s="299" t="str">
        <f t="shared" si="81"/>
        <v/>
      </c>
      <c r="CZ225" s="10"/>
      <c r="DB225" s="10">
        <f t="shared" si="65"/>
        <v>0</v>
      </c>
      <c r="DC225" s="10">
        <f t="shared" si="66"/>
        <v>0</v>
      </c>
    </row>
    <row r="226" spans="2:107" hidden="1" outlineLevel="1" x14ac:dyDescent="0.25">
      <c r="B226" s="116"/>
      <c r="C226" s="528">
        <f t="shared" ref="C226:C234" si="109">IF(C94&gt;0,B94 &amp; " (" &amp;C94 &amp; ")",B94)</f>
        <v>0</v>
      </c>
      <c r="D226" s="529">
        <f t="shared" ref="D226:D234" si="110">E94</f>
        <v>0</v>
      </c>
      <c r="G226" s="40"/>
      <c r="Q226" s="47"/>
      <c r="S226" s="298" t="str">
        <f t="shared" si="100"/>
        <v/>
      </c>
      <c r="T226" s="169" t="str">
        <f t="shared" si="100"/>
        <v/>
      </c>
      <c r="U226" s="169" t="str">
        <f t="shared" si="100"/>
        <v/>
      </c>
      <c r="V226" s="169" t="str">
        <f t="shared" si="100"/>
        <v/>
      </c>
      <c r="W226" s="169" t="str">
        <f t="shared" si="100"/>
        <v/>
      </c>
      <c r="X226" s="169" t="str">
        <f t="shared" si="100"/>
        <v/>
      </c>
      <c r="Y226" s="169" t="str">
        <f t="shared" si="100"/>
        <v/>
      </c>
      <c r="Z226" s="169" t="str">
        <f t="shared" si="100"/>
        <v/>
      </c>
      <c r="AA226" s="299" t="str">
        <f t="shared" si="100"/>
        <v/>
      </c>
      <c r="AB226" s="169" t="str">
        <f t="shared" si="101"/>
        <v/>
      </c>
      <c r="AC226" s="169" t="str">
        <f t="shared" si="101"/>
        <v/>
      </c>
      <c r="AD226" s="169" t="str">
        <f t="shared" si="101"/>
        <v/>
      </c>
      <c r="AE226" s="169" t="str">
        <f t="shared" si="101"/>
        <v/>
      </c>
      <c r="AF226" s="169" t="str">
        <f t="shared" si="101"/>
        <v/>
      </c>
      <c r="AG226" s="169" t="str">
        <f t="shared" si="101"/>
        <v/>
      </c>
      <c r="AH226" s="169" t="str">
        <f t="shared" si="101"/>
        <v/>
      </c>
      <c r="AI226" s="169" t="str">
        <f t="shared" si="101"/>
        <v/>
      </c>
      <c r="AJ226" s="299" t="str">
        <f t="shared" si="101"/>
        <v/>
      </c>
      <c r="AK226" s="298" t="str">
        <f t="shared" si="102"/>
        <v/>
      </c>
      <c r="AL226" s="299" t="str">
        <f t="shared" si="102"/>
        <v/>
      </c>
      <c r="AM226" s="169" t="str">
        <f t="shared" si="103"/>
        <v/>
      </c>
      <c r="AN226" s="169" t="str">
        <f t="shared" si="103"/>
        <v/>
      </c>
      <c r="AO226" s="169" t="str">
        <f t="shared" si="103"/>
        <v/>
      </c>
      <c r="AP226" s="169" t="str">
        <f t="shared" si="103"/>
        <v/>
      </c>
      <c r="AQ226" s="169" t="str">
        <f t="shared" si="103"/>
        <v/>
      </c>
      <c r="AR226" s="169" t="str">
        <f t="shared" si="103"/>
        <v/>
      </c>
      <c r="AS226" s="169" t="str">
        <f t="shared" si="103"/>
        <v/>
      </c>
      <c r="AT226" s="169" t="str">
        <f t="shared" si="103"/>
        <v/>
      </c>
      <c r="AU226" s="299" t="str">
        <f t="shared" si="103"/>
        <v/>
      </c>
      <c r="AV226" s="169" t="str">
        <f t="shared" si="64"/>
        <v/>
      </c>
      <c r="AW226" s="169" t="str">
        <f t="shared" si="91"/>
        <v/>
      </c>
      <c r="AX226" s="169" t="str">
        <f t="shared" si="91"/>
        <v/>
      </c>
      <c r="AY226" s="169" t="str">
        <f t="shared" si="107"/>
        <v/>
      </c>
      <c r="AZ226" s="169" t="str">
        <f t="shared" si="107"/>
        <v/>
      </c>
      <c r="BA226" s="299" t="str">
        <f t="shared" si="107"/>
        <v/>
      </c>
      <c r="BB226" s="169" t="str">
        <f t="shared" si="67"/>
        <v/>
      </c>
      <c r="BC226" s="169" t="str">
        <f t="shared" si="76"/>
        <v/>
      </c>
      <c r="BD226" s="169" t="str">
        <f t="shared" si="88"/>
        <v/>
      </c>
      <c r="BE226" s="169" t="str">
        <f t="shared" si="108"/>
        <v/>
      </c>
      <c r="BF226" s="169" t="str">
        <f t="shared" si="108"/>
        <v/>
      </c>
      <c r="BG226" s="169" t="str">
        <f t="shared" si="108"/>
        <v/>
      </c>
      <c r="BH226" s="298"/>
      <c r="BI226" s="169"/>
      <c r="BJ226" s="169"/>
      <c r="BK226" s="169"/>
      <c r="BL226" s="169"/>
      <c r="BM226" s="299"/>
      <c r="BN226" s="298" t="str">
        <f t="shared" si="104"/>
        <v/>
      </c>
      <c r="BO226" s="169" t="str">
        <f t="shared" si="104"/>
        <v/>
      </c>
      <c r="BP226" s="169" t="str">
        <f t="shared" si="104"/>
        <v/>
      </c>
      <c r="BQ226" s="169" t="str">
        <f t="shared" si="104"/>
        <v/>
      </c>
      <c r="BR226" s="169" t="str">
        <f t="shared" si="104"/>
        <v/>
      </c>
      <c r="BS226" s="169" t="str">
        <f t="shared" si="104"/>
        <v/>
      </c>
      <c r="BT226" s="169" t="str">
        <f t="shared" si="104"/>
        <v/>
      </c>
      <c r="BU226" s="169" t="str">
        <f t="shared" si="104"/>
        <v/>
      </c>
      <c r="BV226" s="299" t="str">
        <f t="shared" si="104"/>
        <v/>
      </c>
      <c r="BW226" s="298" t="str">
        <f t="shared" si="105"/>
        <v/>
      </c>
      <c r="BX226" s="169" t="str">
        <f t="shared" si="105"/>
        <v/>
      </c>
      <c r="BY226" s="169" t="str">
        <f t="shared" si="105"/>
        <v/>
      </c>
      <c r="BZ226" s="169" t="str">
        <f t="shared" si="105"/>
        <v/>
      </c>
      <c r="CA226" s="169" t="str">
        <f t="shared" si="105"/>
        <v/>
      </c>
      <c r="CB226" s="169" t="str">
        <f t="shared" si="105"/>
        <v/>
      </c>
      <c r="CC226" s="169" t="str">
        <f t="shared" si="105"/>
        <v/>
      </c>
      <c r="CD226" s="169" t="str">
        <f t="shared" si="105"/>
        <v/>
      </c>
      <c r="CE226" s="299" t="str">
        <f t="shared" si="105"/>
        <v/>
      </c>
      <c r="CF226" s="298"/>
      <c r="CG226" s="169"/>
      <c r="CH226" s="169"/>
      <c r="CI226" s="169"/>
      <c r="CJ226" s="169"/>
      <c r="CK226" s="299"/>
      <c r="CL226" s="298" t="str">
        <f t="shared" si="79"/>
        <v/>
      </c>
      <c r="CM226" s="169" t="str">
        <f t="shared" si="70"/>
        <v/>
      </c>
      <c r="CN226" s="169" t="str">
        <f t="shared" si="71"/>
        <v/>
      </c>
      <c r="CO226" s="169" t="str">
        <f t="shared" si="84"/>
        <v/>
      </c>
      <c r="CP226" s="169" t="str">
        <f t="shared" si="106"/>
        <v/>
      </c>
      <c r="CQ226" s="299" t="str">
        <f t="shared" si="106"/>
        <v/>
      </c>
      <c r="CR226" s="298" t="str">
        <f t="shared" ref="CR226:CW235" si="111">IF($P226=CR$159,$DC226,"")</f>
        <v/>
      </c>
      <c r="CS226" s="169" t="str">
        <f t="shared" si="111"/>
        <v/>
      </c>
      <c r="CT226" s="169" t="str">
        <f t="shared" si="111"/>
        <v/>
      </c>
      <c r="CU226" s="169" t="str">
        <f t="shared" si="111"/>
        <v/>
      </c>
      <c r="CV226" s="169" t="str">
        <f t="shared" si="111"/>
        <v/>
      </c>
      <c r="CW226" s="299" t="str">
        <f t="shared" si="111"/>
        <v/>
      </c>
      <c r="CX226" s="299" t="str">
        <f t="shared" si="81"/>
        <v/>
      </c>
      <c r="CZ226" s="10"/>
      <c r="DB226" s="10">
        <f t="shared" si="65"/>
        <v>0</v>
      </c>
      <c r="DC226" s="10">
        <f t="shared" si="66"/>
        <v>0</v>
      </c>
    </row>
    <row r="227" spans="2:107" hidden="1" outlineLevel="1" x14ac:dyDescent="0.25">
      <c r="B227" s="116"/>
      <c r="C227" s="528" t="str">
        <f t="shared" si="109"/>
        <v>To gas water heater</v>
      </c>
      <c r="D227" s="529">
        <f t="shared" si="110"/>
        <v>0</v>
      </c>
      <c r="G227" s="40"/>
      <c r="Q227" s="47"/>
      <c r="S227" s="298" t="str">
        <f t="shared" si="100"/>
        <v/>
      </c>
      <c r="T227" s="169" t="str">
        <f t="shared" si="100"/>
        <v/>
      </c>
      <c r="U227" s="169" t="str">
        <f t="shared" si="100"/>
        <v/>
      </c>
      <c r="V227" s="169" t="str">
        <f t="shared" si="100"/>
        <v/>
      </c>
      <c r="W227" s="169" t="str">
        <f t="shared" si="100"/>
        <v/>
      </c>
      <c r="X227" s="169" t="str">
        <f t="shared" si="100"/>
        <v/>
      </c>
      <c r="Y227" s="169" t="str">
        <f t="shared" si="100"/>
        <v/>
      </c>
      <c r="Z227" s="169" t="str">
        <f t="shared" si="100"/>
        <v/>
      </c>
      <c r="AA227" s="299" t="str">
        <f t="shared" si="100"/>
        <v/>
      </c>
      <c r="AB227" s="169" t="str">
        <f t="shared" si="101"/>
        <v/>
      </c>
      <c r="AC227" s="169" t="str">
        <f t="shared" si="101"/>
        <v/>
      </c>
      <c r="AD227" s="169" t="str">
        <f t="shared" si="101"/>
        <v/>
      </c>
      <c r="AE227" s="169" t="str">
        <f t="shared" si="101"/>
        <v/>
      </c>
      <c r="AF227" s="169" t="str">
        <f t="shared" si="101"/>
        <v/>
      </c>
      <c r="AG227" s="169" t="str">
        <f t="shared" si="101"/>
        <v/>
      </c>
      <c r="AH227" s="169" t="str">
        <f t="shared" si="101"/>
        <v/>
      </c>
      <c r="AI227" s="169" t="str">
        <f t="shared" si="101"/>
        <v/>
      </c>
      <c r="AJ227" s="299" t="str">
        <f t="shared" si="101"/>
        <v/>
      </c>
      <c r="AK227" s="298" t="str">
        <f t="shared" si="102"/>
        <v/>
      </c>
      <c r="AL227" s="299" t="str">
        <f t="shared" si="102"/>
        <v/>
      </c>
      <c r="AM227" s="169" t="str">
        <f t="shared" si="103"/>
        <v/>
      </c>
      <c r="AN227" s="169" t="str">
        <f t="shared" si="103"/>
        <v/>
      </c>
      <c r="AO227" s="169" t="str">
        <f t="shared" si="103"/>
        <v/>
      </c>
      <c r="AP227" s="169" t="str">
        <f t="shared" si="103"/>
        <v/>
      </c>
      <c r="AQ227" s="169" t="str">
        <f t="shared" si="103"/>
        <v/>
      </c>
      <c r="AR227" s="169" t="str">
        <f t="shared" si="103"/>
        <v/>
      </c>
      <c r="AS227" s="169" t="str">
        <f t="shared" si="103"/>
        <v/>
      </c>
      <c r="AT227" s="169" t="str">
        <f t="shared" si="103"/>
        <v/>
      </c>
      <c r="AU227" s="299" t="str">
        <f t="shared" si="103"/>
        <v/>
      </c>
      <c r="AV227" s="169" t="str">
        <f t="shared" ref="AV227:AV258" si="112">IF($J227=AV$159,$DC227,"")</f>
        <v/>
      </c>
      <c r="AW227" s="169" t="str">
        <f t="shared" si="91"/>
        <v/>
      </c>
      <c r="AX227" s="169" t="str">
        <f t="shared" si="91"/>
        <v/>
      </c>
      <c r="AY227" s="169" t="str">
        <f t="shared" si="107"/>
        <v/>
      </c>
      <c r="AZ227" s="169" t="str">
        <f t="shared" si="107"/>
        <v/>
      </c>
      <c r="BA227" s="299" t="str">
        <f t="shared" si="107"/>
        <v/>
      </c>
      <c r="BB227" s="169" t="str">
        <f t="shared" si="67"/>
        <v/>
      </c>
      <c r="BC227" s="169" t="str">
        <f t="shared" si="76"/>
        <v/>
      </c>
      <c r="BD227" s="169" t="str">
        <f t="shared" si="88"/>
        <v/>
      </c>
      <c r="BE227" s="169" t="str">
        <f t="shared" si="108"/>
        <v/>
      </c>
      <c r="BF227" s="169" t="str">
        <f t="shared" si="108"/>
        <v/>
      </c>
      <c r="BG227" s="169" t="str">
        <f t="shared" si="108"/>
        <v/>
      </c>
      <c r="BH227" s="298"/>
      <c r="BI227" s="169"/>
      <c r="BJ227" s="169"/>
      <c r="BK227" s="169"/>
      <c r="BL227" s="169"/>
      <c r="BM227" s="299"/>
      <c r="BN227" s="298" t="str">
        <f t="shared" si="104"/>
        <v/>
      </c>
      <c r="BO227" s="169" t="str">
        <f t="shared" si="104"/>
        <v/>
      </c>
      <c r="BP227" s="169" t="str">
        <f t="shared" si="104"/>
        <v/>
      </c>
      <c r="BQ227" s="169" t="str">
        <f t="shared" si="104"/>
        <v/>
      </c>
      <c r="BR227" s="169" t="str">
        <f t="shared" si="104"/>
        <v/>
      </c>
      <c r="BS227" s="169" t="str">
        <f t="shared" si="104"/>
        <v/>
      </c>
      <c r="BT227" s="169" t="str">
        <f t="shared" si="104"/>
        <v/>
      </c>
      <c r="BU227" s="169" t="str">
        <f t="shared" si="104"/>
        <v/>
      </c>
      <c r="BV227" s="299" t="str">
        <f t="shared" si="104"/>
        <v/>
      </c>
      <c r="BW227" s="298" t="str">
        <f t="shared" si="105"/>
        <v/>
      </c>
      <c r="BX227" s="169" t="str">
        <f t="shared" si="105"/>
        <v/>
      </c>
      <c r="BY227" s="169" t="str">
        <f t="shared" si="105"/>
        <v/>
      </c>
      <c r="BZ227" s="169" t="str">
        <f t="shared" si="105"/>
        <v/>
      </c>
      <c r="CA227" s="169" t="str">
        <f t="shared" si="105"/>
        <v/>
      </c>
      <c r="CB227" s="169" t="str">
        <f t="shared" si="105"/>
        <v/>
      </c>
      <c r="CC227" s="169" t="str">
        <f t="shared" si="105"/>
        <v/>
      </c>
      <c r="CD227" s="169" t="str">
        <f t="shared" si="105"/>
        <v/>
      </c>
      <c r="CE227" s="299" t="str">
        <f t="shared" si="105"/>
        <v/>
      </c>
      <c r="CF227" s="298"/>
      <c r="CG227" s="169"/>
      <c r="CH227" s="169"/>
      <c r="CI227" s="169"/>
      <c r="CJ227" s="169"/>
      <c r="CK227" s="299"/>
      <c r="CL227" s="298" t="str">
        <f t="shared" si="79"/>
        <v/>
      </c>
      <c r="CM227" s="169" t="str">
        <f t="shared" si="70"/>
        <v/>
      </c>
      <c r="CN227" s="169" t="str">
        <f t="shared" si="71"/>
        <v/>
      </c>
      <c r="CO227" s="169" t="str">
        <f t="shared" si="84"/>
        <v/>
      </c>
      <c r="CP227" s="169" t="str">
        <f t="shared" si="106"/>
        <v/>
      </c>
      <c r="CQ227" s="299" t="str">
        <f t="shared" si="106"/>
        <v/>
      </c>
      <c r="CR227" s="298" t="str">
        <f t="shared" si="111"/>
        <v/>
      </c>
      <c r="CS227" s="169" t="str">
        <f t="shared" si="111"/>
        <v/>
      </c>
      <c r="CT227" s="169" t="str">
        <f t="shared" si="111"/>
        <v/>
      </c>
      <c r="CU227" s="169" t="str">
        <f t="shared" si="111"/>
        <v/>
      </c>
      <c r="CV227" s="169" t="str">
        <f t="shared" si="111"/>
        <v/>
      </c>
      <c r="CW227" s="299" t="str">
        <f t="shared" si="111"/>
        <v/>
      </c>
      <c r="CX227" s="299" t="str">
        <f t="shared" si="81"/>
        <v/>
      </c>
      <c r="CZ227" s="10"/>
      <c r="DB227" s="10">
        <f t="shared" si="65"/>
        <v>0</v>
      </c>
      <c r="DC227" s="10">
        <f t="shared" si="66"/>
        <v>0</v>
      </c>
    </row>
    <row r="228" spans="2:107" hidden="1" outlineLevel="1" x14ac:dyDescent="0.25">
      <c r="B228" s="116"/>
      <c r="C228" s="528" t="str">
        <f t="shared" si="109"/>
        <v>Accessories</v>
      </c>
      <c r="D228" s="529">
        <f t="shared" si="110"/>
        <v>0</v>
      </c>
      <c r="G228" s="40"/>
      <c r="Q228" s="47"/>
      <c r="S228" s="298" t="str">
        <f t="shared" si="100"/>
        <v/>
      </c>
      <c r="T228" s="169" t="str">
        <f t="shared" si="100"/>
        <v/>
      </c>
      <c r="U228" s="169" t="str">
        <f t="shared" si="100"/>
        <v/>
      </c>
      <c r="V228" s="169" t="str">
        <f t="shared" si="100"/>
        <v/>
      </c>
      <c r="W228" s="169" t="str">
        <f t="shared" si="100"/>
        <v/>
      </c>
      <c r="X228" s="169" t="str">
        <f t="shared" si="100"/>
        <v/>
      </c>
      <c r="Y228" s="169" t="str">
        <f t="shared" si="100"/>
        <v/>
      </c>
      <c r="Z228" s="169" t="str">
        <f t="shared" si="100"/>
        <v/>
      </c>
      <c r="AA228" s="299" t="str">
        <f t="shared" si="100"/>
        <v/>
      </c>
      <c r="AB228" s="169" t="str">
        <f t="shared" si="101"/>
        <v/>
      </c>
      <c r="AC228" s="169" t="str">
        <f t="shared" si="101"/>
        <v/>
      </c>
      <c r="AD228" s="169" t="str">
        <f t="shared" si="101"/>
        <v/>
      </c>
      <c r="AE228" s="169" t="str">
        <f t="shared" si="101"/>
        <v/>
      </c>
      <c r="AF228" s="169" t="str">
        <f t="shared" si="101"/>
        <v/>
      </c>
      <c r="AG228" s="169" t="str">
        <f t="shared" si="101"/>
        <v/>
      </c>
      <c r="AH228" s="169" t="str">
        <f t="shared" si="101"/>
        <v/>
      </c>
      <c r="AI228" s="169" t="str">
        <f t="shared" si="101"/>
        <v/>
      </c>
      <c r="AJ228" s="299" t="str">
        <f t="shared" si="101"/>
        <v/>
      </c>
      <c r="AK228" s="298" t="str">
        <f t="shared" si="102"/>
        <v/>
      </c>
      <c r="AL228" s="299" t="str">
        <f t="shared" si="102"/>
        <v/>
      </c>
      <c r="AM228" s="169" t="str">
        <f t="shared" si="103"/>
        <v/>
      </c>
      <c r="AN228" s="169" t="str">
        <f t="shared" si="103"/>
        <v/>
      </c>
      <c r="AO228" s="169" t="str">
        <f t="shared" si="103"/>
        <v/>
      </c>
      <c r="AP228" s="169" t="str">
        <f t="shared" si="103"/>
        <v/>
      </c>
      <c r="AQ228" s="169" t="str">
        <f t="shared" si="103"/>
        <v/>
      </c>
      <c r="AR228" s="169" t="str">
        <f t="shared" si="103"/>
        <v/>
      </c>
      <c r="AS228" s="169" t="str">
        <f t="shared" si="103"/>
        <v/>
      </c>
      <c r="AT228" s="169" t="str">
        <f t="shared" si="103"/>
        <v/>
      </c>
      <c r="AU228" s="299" t="str">
        <f t="shared" si="103"/>
        <v/>
      </c>
      <c r="AV228" s="169" t="str">
        <f t="shared" si="112"/>
        <v/>
      </c>
      <c r="AW228" s="169" t="str">
        <f t="shared" si="91"/>
        <v/>
      </c>
      <c r="AX228" s="169" t="str">
        <f t="shared" si="91"/>
        <v/>
      </c>
      <c r="AY228" s="169" t="str">
        <f t="shared" si="107"/>
        <v/>
      </c>
      <c r="AZ228" s="169" t="str">
        <f t="shared" si="107"/>
        <v/>
      </c>
      <c r="BA228" s="299" t="str">
        <f t="shared" si="107"/>
        <v/>
      </c>
      <c r="BB228" s="169" t="str">
        <f t="shared" ref="BB228:BB259" si="113">IF($K228=BB$159,$DC228,"")</f>
        <v/>
      </c>
      <c r="BC228" s="169" t="str">
        <f t="shared" si="76"/>
        <v/>
      </c>
      <c r="BD228" s="169" t="str">
        <f t="shared" si="88"/>
        <v/>
      </c>
      <c r="BE228" s="169" t="str">
        <f t="shared" si="108"/>
        <v/>
      </c>
      <c r="BF228" s="169" t="str">
        <f t="shared" si="108"/>
        <v/>
      </c>
      <c r="BG228" s="169" t="str">
        <f t="shared" si="108"/>
        <v/>
      </c>
      <c r="BH228" s="298"/>
      <c r="BI228" s="169"/>
      <c r="BJ228" s="169"/>
      <c r="BK228" s="169"/>
      <c r="BL228" s="169"/>
      <c r="BM228" s="299"/>
      <c r="BN228" s="298" t="str">
        <f t="shared" si="104"/>
        <v/>
      </c>
      <c r="BO228" s="169" t="str">
        <f t="shared" si="104"/>
        <v/>
      </c>
      <c r="BP228" s="169" t="str">
        <f t="shared" si="104"/>
        <v/>
      </c>
      <c r="BQ228" s="169" t="str">
        <f t="shared" si="104"/>
        <v/>
      </c>
      <c r="BR228" s="169" t="str">
        <f t="shared" si="104"/>
        <v/>
      </c>
      <c r="BS228" s="169" t="str">
        <f t="shared" si="104"/>
        <v/>
      </c>
      <c r="BT228" s="169" t="str">
        <f t="shared" si="104"/>
        <v/>
      </c>
      <c r="BU228" s="169" t="str">
        <f t="shared" si="104"/>
        <v/>
      </c>
      <c r="BV228" s="299" t="str">
        <f t="shared" si="104"/>
        <v/>
      </c>
      <c r="BW228" s="298" t="str">
        <f t="shared" si="105"/>
        <v/>
      </c>
      <c r="BX228" s="169" t="str">
        <f t="shared" si="105"/>
        <v/>
      </c>
      <c r="BY228" s="169" t="str">
        <f t="shared" si="105"/>
        <v/>
      </c>
      <c r="BZ228" s="169" t="str">
        <f t="shared" si="105"/>
        <v/>
      </c>
      <c r="CA228" s="169" t="str">
        <f t="shared" si="105"/>
        <v/>
      </c>
      <c r="CB228" s="169" t="str">
        <f t="shared" si="105"/>
        <v/>
      </c>
      <c r="CC228" s="169" t="str">
        <f t="shared" si="105"/>
        <v/>
      </c>
      <c r="CD228" s="169" t="str">
        <f t="shared" si="105"/>
        <v/>
      </c>
      <c r="CE228" s="299" t="str">
        <f t="shared" si="105"/>
        <v/>
      </c>
      <c r="CF228" s="298"/>
      <c r="CG228" s="169"/>
      <c r="CH228" s="169"/>
      <c r="CI228" s="169"/>
      <c r="CJ228" s="169"/>
      <c r="CK228" s="299"/>
      <c r="CL228" s="298" t="str">
        <f t="shared" si="79"/>
        <v/>
      </c>
      <c r="CM228" s="169" t="str">
        <f t="shared" si="70"/>
        <v/>
      </c>
      <c r="CN228" s="169" t="str">
        <f t="shared" si="71"/>
        <v/>
      </c>
      <c r="CO228" s="169" t="str">
        <f t="shared" si="84"/>
        <v/>
      </c>
      <c r="CP228" s="169" t="str">
        <f t="shared" si="106"/>
        <v/>
      </c>
      <c r="CQ228" s="299" t="str">
        <f t="shared" si="106"/>
        <v/>
      </c>
      <c r="CR228" s="298" t="str">
        <f t="shared" si="111"/>
        <v/>
      </c>
      <c r="CS228" s="169" t="str">
        <f t="shared" si="111"/>
        <v/>
      </c>
      <c r="CT228" s="169" t="str">
        <f t="shared" si="111"/>
        <v/>
      </c>
      <c r="CU228" s="169" t="str">
        <f t="shared" si="111"/>
        <v/>
      </c>
      <c r="CV228" s="169" t="str">
        <f t="shared" si="111"/>
        <v/>
      </c>
      <c r="CW228" s="299" t="str">
        <f t="shared" si="111"/>
        <v/>
      </c>
      <c r="CX228" s="299" t="str">
        <f t="shared" si="81"/>
        <v/>
      </c>
      <c r="CZ228" s="10"/>
      <c r="DB228" s="10">
        <f t="shared" si="65"/>
        <v>0</v>
      </c>
      <c r="DC228" s="10">
        <f t="shared" si="66"/>
        <v>0</v>
      </c>
    </row>
    <row r="229" spans="2:107" hidden="1" outlineLevel="1" x14ac:dyDescent="0.25">
      <c r="B229" s="116"/>
      <c r="C229" s="528" t="str">
        <f t="shared" si="109"/>
        <v>Shut-off valve 1-1/4"</v>
      </c>
      <c r="D229" s="529">
        <f t="shared" si="110"/>
        <v>1</v>
      </c>
      <c r="G229" s="40"/>
      <c r="Q229" s="47"/>
      <c r="S229" s="298" t="str">
        <f t="shared" si="100"/>
        <v/>
      </c>
      <c r="T229" s="169" t="str">
        <f t="shared" si="100"/>
        <v/>
      </c>
      <c r="U229" s="169" t="str">
        <f t="shared" si="100"/>
        <v/>
      </c>
      <c r="V229" s="169" t="str">
        <f t="shared" si="100"/>
        <v/>
      </c>
      <c r="W229" s="169" t="str">
        <f t="shared" si="100"/>
        <v/>
      </c>
      <c r="X229" s="169" t="str">
        <f t="shared" si="100"/>
        <v/>
      </c>
      <c r="Y229" s="169" t="str">
        <f t="shared" si="100"/>
        <v/>
      </c>
      <c r="Z229" s="169" t="str">
        <f t="shared" si="100"/>
        <v/>
      </c>
      <c r="AA229" s="299" t="str">
        <f t="shared" si="100"/>
        <v/>
      </c>
      <c r="AB229" s="169" t="str">
        <f t="shared" si="101"/>
        <v/>
      </c>
      <c r="AC229" s="169" t="str">
        <f t="shared" si="101"/>
        <v/>
      </c>
      <c r="AD229" s="169" t="str">
        <f t="shared" si="101"/>
        <v/>
      </c>
      <c r="AE229" s="169" t="str">
        <f t="shared" si="101"/>
        <v/>
      </c>
      <c r="AF229" s="169" t="str">
        <f t="shared" si="101"/>
        <v/>
      </c>
      <c r="AG229" s="169" t="str">
        <f t="shared" si="101"/>
        <v/>
      </c>
      <c r="AH229" s="169" t="str">
        <f t="shared" si="101"/>
        <v/>
      </c>
      <c r="AI229" s="169" t="str">
        <f t="shared" si="101"/>
        <v/>
      </c>
      <c r="AJ229" s="299" t="str">
        <f t="shared" si="101"/>
        <v/>
      </c>
      <c r="AK229" s="298" t="str">
        <f t="shared" si="102"/>
        <v/>
      </c>
      <c r="AL229" s="299" t="str">
        <f t="shared" si="102"/>
        <v/>
      </c>
      <c r="AM229" s="169" t="str">
        <f t="shared" si="103"/>
        <v/>
      </c>
      <c r="AN229" s="169" t="str">
        <f t="shared" si="103"/>
        <v/>
      </c>
      <c r="AO229" s="169" t="str">
        <f t="shared" si="103"/>
        <v/>
      </c>
      <c r="AP229" s="169" t="str">
        <f t="shared" si="103"/>
        <v/>
      </c>
      <c r="AQ229" s="169" t="str">
        <f t="shared" si="103"/>
        <v/>
      </c>
      <c r="AR229" s="169" t="str">
        <f t="shared" si="103"/>
        <v/>
      </c>
      <c r="AS229" s="169" t="str">
        <f t="shared" si="103"/>
        <v/>
      </c>
      <c r="AT229" s="169" t="str">
        <f t="shared" si="103"/>
        <v/>
      </c>
      <c r="AU229" s="299" t="str">
        <f t="shared" si="103"/>
        <v/>
      </c>
      <c r="AV229" s="169" t="str">
        <f t="shared" si="112"/>
        <v/>
      </c>
      <c r="AW229" s="169" t="str">
        <f t="shared" si="91"/>
        <v/>
      </c>
      <c r="AX229" s="169" t="str">
        <f t="shared" si="91"/>
        <v/>
      </c>
      <c r="AY229" s="169" t="str">
        <f t="shared" si="107"/>
        <v/>
      </c>
      <c r="AZ229" s="169" t="str">
        <f t="shared" si="107"/>
        <v/>
      </c>
      <c r="BA229" s="299" t="str">
        <f t="shared" si="107"/>
        <v/>
      </c>
      <c r="BB229" s="169" t="str">
        <f t="shared" si="113"/>
        <v/>
      </c>
      <c r="BC229" s="169" t="str">
        <f t="shared" si="76"/>
        <v/>
      </c>
      <c r="BD229" s="169" t="str">
        <f t="shared" si="88"/>
        <v/>
      </c>
      <c r="BE229" s="169" t="str">
        <f t="shared" si="108"/>
        <v/>
      </c>
      <c r="BF229" s="169" t="str">
        <f t="shared" si="108"/>
        <v/>
      </c>
      <c r="BG229" s="169" t="str">
        <f t="shared" si="108"/>
        <v/>
      </c>
      <c r="BH229" s="298"/>
      <c r="BI229" s="169"/>
      <c r="BJ229" s="169"/>
      <c r="BK229" s="169"/>
      <c r="BL229" s="169"/>
      <c r="BM229" s="299"/>
      <c r="BN229" s="298" t="str">
        <f t="shared" si="104"/>
        <v/>
      </c>
      <c r="BO229" s="169" t="str">
        <f t="shared" si="104"/>
        <v/>
      </c>
      <c r="BP229" s="169" t="str">
        <f t="shared" si="104"/>
        <v/>
      </c>
      <c r="BQ229" s="169" t="str">
        <f t="shared" si="104"/>
        <v/>
      </c>
      <c r="BR229" s="169" t="str">
        <f t="shared" si="104"/>
        <v/>
      </c>
      <c r="BS229" s="169" t="str">
        <f t="shared" si="104"/>
        <v/>
      </c>
      <c r="BT229" s="169" t="str">
        <f t="shared" si="104"/>
        <v/>
      </c>
      <c r="BU229" s="169" t="str">
        <f t="shared" si="104"/>
        <v/>
      </c>
      <c r="BV229" s="299" t="str">
        <f t="shared" si="104"/>
        <v/>
      </c>
      <c r="BW229" s="298" t="str">
        <f t="shared" si="105"/>
        <v/>
      </c>
      <c r="BX229" s="169" t="str">
        <f t="shared" si="105"/>
        <v/>
      </c>
      <c r="BY229" s="169" t="str">
        <f t="shared" si="105"/>
        <v/>
      </c>
      <c r="BZ229" s="169" t="str">
        <f t="shared" si="105"/>
        <v/>
      </c>
      <c r="CA229" s="169" t="str">
        <f t="shared" si="105"/>
        <v/>
      </c>
      <c r="CB229" s="169" t="str">
        <f t="shared" si="105"/>
        <v/>
      </c>
      <c r="CC229" s="169" t="str">
        <f t="shared" si="105"/>
        <v/>
      </c>
      <c r="CD229" s="169" t="str">
        <f t="shared" si="105"/>
        <v/>
      </c>
      <c r="CE229" s="299" t="str">
        <f t="shared" si="105"/>
        <v/>
      </c>
      <c r="CF229" s="298"/>
      <c r="CG229" s="169"/>
      <c r="CH229" s="169"/>
      <c r="CI229" s="169"/>
      <c r="CJ229" s="169"/>
      <c r="CK229" s="299"/>
      <c r="CL229" s="298" t="str">
        <f t="shared" si="79"/>
        <v/>
      </c>
      <c r="CM229" s="169" t="str">
        <f t="shared" si="70"/>
        <v/>
      </c>
      <c r="CN229" s="169" t="str">
        <f t="shared" si="71"/>
        <v/>
      </c>
      <c r="CO229" s="169" t="str">
        <f t="shared" si="84"/>
        <v/>
      </c>
      <c r="CP229" s="169" t="str">
        <f t="shared" si="106"/>
        <v/>
      </c>
      <c r="CQ229" s="299" t="str">
        <f t="shared" si="106"/>
        <v/>
      </c>
      <c r="CR229" s="298" t="str">
        <f t="shared" si="111"/>
        <v/>
      </c>
      <c r="CS229" s="169" t="str">
        <f t="shared" si="111"/>
        <v/>
      </c>
      <c r="CT229" s="169" t="str">
        <f t="shared" si="111"/>
        <v/>
      </c>
      <c r="CU229" s="169" t="str">
        <f t="shared" si="111"/>
        <v/>
      </c>
      <c r="CV229" s="169" t="str">
        <f t="shared" si="111"/>
        <v/>
      </c>
      <c r="CW229" s="299" t="str">
        <f t="shared" si="111"/>
        <v/>
      </c>
      <c r="CX229" s="299" t="str">
        <f t="shared" si="81"/>
        <v/>
      </c>
      <c r="CZ229" s="10"/>
      <c r="DB229" s="10">
        <f t="shared" ref="DB229:DB244" si="114">($D229*$C$158)+($D229*$B$162)</f>
        <v>11</v>
      </c>
      <c r="DC229" s="10">
        <f t="shared" ref="DC229:DC243" si="115">(($D229*$C$158)+($D229*$B$162))/2</f>
        <v>5.5</v>
      </c>
    </row>
    <row r="230" spans="2:107" hidden="1" outlineLevel="1" x14ac:dyDescent="0.25">
      <c r="B230" s="116"/>
      <c r="C230" s="528">
        <f t="shared" si="109"/>
        <v>0</v>
      </c>
      <c r="D230" s="529">
        <f t="shared" si="110"/>
        <v>0</v>
      </c>
      <c r="G230" s="40"/>
      <c r="Q230" s="47"/>
      <c r="S230" s="298" t="str">
        <f t="shared" si="100"/>
        <v/>
      </c>
      <c r="T230" s="169" t="str">
        <f t="shared" si="100"/>
        <v/>
      </c>
      <c r="U230" s="169" t="str">
        <f t="shared" si="100"/>
        <v/>
      </c>
      <c r="V230" s="169" t="str">
        <f t="shared" si="100"/>
        <v/>
      </c>
      <c r="W230" s="169" t="str">
        <f t="shared" si="100"/>
        <v/>
      </c>
      <c r="X230" s="169" t="str">
        <f t="shared" si="100"/>
        <v/>
      </c>
      <c r="Y230" s="169" t="str">
        <f t="shared" si="100"/>
        <v/>
      </c>
      <c r="Z230" s="169" t="str">
        <f t="shared" si="100"/>
        <v/>
      </c>
      <c r="AA230" s="299" t="str">
        <f t="shared" si="100"/>
        <v/>
      </c>
      <c r="AB230" s="169" t="str">
        <f t="shared" si="101"/>
        <v/>
      </c>
      <c r="AC230" s="169" t="str">
        <f t="shared" si="101"/>
        <v/>
      </c>
      <c r="AD230" s="169" t="str">
        <f t="shared" si="101"/>
        <v/>
      </c>
      <c r="AE230" s="169" t="str">
        <f t="shared" si="101"/>
        <v/>
      </c>
      <c r="AF230" s="169" t="str">
        <f t="shared" si="101"/>
        <v/>
      </c>
      <c r="AG230" s="169" t="str">
        <f t="shared" si="101"/>
        <v/>
      </c>
      <c r="AH230" s="169" t="str">
        <f t="shared" si="101"/>
        <v/>
      </c>
      <c r="AI230" s="169" t="str">
        <f t="shared" si="101"/>
        <v/>
      </c>
      <c r="AJ230" s="299" t="str">
        <f t="shared" si="101"/>
        <v/>
      </c>
      <c r="AK230" s="298" t="str">
        <f t="shared" si="102"/>
        <v/>
      </c>
      <c r="AL230" s="299" t="str">
        <f t="shared" si="102"/>
        <v/>
      </c>
      <c r="AM230" s="169" t="str">
        <f t="shared" si="103"/>
        <v/>
      </c>
      <c r="AN230" s="169" t="str">
        <f t="shared" si="103"/>
        <v/>
      </c>
      <c r="AO230" s="169" t="str">
        <f t="shared" si="103"/>
        <v/>
      </c>
      <c r="AP230" s="169" t="str">
        <f t="shared" si="103"/>
        <v/>
      </c>
      <c r="AQ230" s="169" t="str">
        <f t="shared" si="103"/>
        <v/>
      </c>
      <c r="AR230" s="169" t="str">
        <f t="shared" si="103"/>
        <v/>
      </c>
      <c r="AS230" s="169" t="str">
        <f t="shared" si="103"/>
        <v/>
      </c>
      <c r="AT230" s="169" t="str">
        <f t="shared" si="103"/>
        <v/>
      </c>
      <c r="AU230" s="299" t="str">
        <f t="shared" si="103"/>
        <v/>
      </c>
      <c r="AV230" s="169" t="str">
        <f t="shared" si="112"/>
        <v/>
      </c>
      <c r="AW230" s="169" t="str">
        <f t="shared" si="91"/>
        <v/>
      </c>
      <c r="AX230" s="169" t="str">
        <f t="shared" si="91"/>
        <v/>
      </c>
      <c r="AY230" s="169" t="str">
        <f t="shared" si="107"/>
        <v/>
      </c>
      <c r="AZ230" s="169" t="str">
        <f t="shared" si="107"/>
        <v/>
      </c>
      <c r="BA230" s="299" t="str">
        <f t="shared" si="107"/>
        <v/>
      </c>
      <c r="BB230" s="169" t="str">
        <f t="shared" si="113"/>
        <v/>
      </c>
      <c r="BC230" s="169" t="str">
        <f t="shared" si="76"/>
        <v/>
      </c>
      <c r="BD230" s="169" t="str">
        <f t="shared" si="88"/>
        <v/>
      </c>
      <c r="BE230" s="169" t="str">
        <f t="shared" si="108"/>
        <v/>
      </c>
      <c r="BF230" s="169" t="str">
        <f t="shared" si="108"/>
        <v/>
      </c>
      <c r="BG230" s="169" t="str">
        <f t="shared" si="108"/>
        <v/>
      </c>
      <c r="BH230" s="298"/>
      <c r="BI230" s="169"/>
      <c r="BJ230" s="169"/>
      <c r="BK230" s="169"/>
      <c r="BL230" s="169"/>
      <c r="BM230" s="299"/>
      <c r="BN230" s="298" t="str">
        <f t="shared" si="104"/>
        <v/>
      </c>
      <c r="BO230" s="169" t="str">
        <f t="shared" si="104"/>
        <v/>
      </c>
      <c r="BP230" s="169" t="str">
        <f t="shared" si="104"/>
        <v/>
      </c>
      <c r="BQ230" s="169" t="str">
        <f t="shared" si="104"/>
        <v/>
      </c>
      <c r="BR230" s="169" t="str">
        <f t="shared" si="104"/>
        <v/>
      </c>
      <c r="BS230" s="169" t="str">
        <f t="shared" si="104"/>
        <v/>
      </c>
      <c r="BT230" s="169" t="str">
        <f t="shared" si="104"/>
        <v/>
      </c>
      <c r="BU230" s="169" t="str">
        <f t="shared" si="104"/>
        <v/>
      </c>
      <c r="BV230" s="299" t="str">
        <f t="shared" si="104"/>
        <v/>
      </c>
      <c r="BW230" s="298" t="str">
        <f t="shared" si="105"/>
        <v/>
      </c>
      <c r="BX230" s="169" t="str">
        <f t="shared" si="105"/>
        <v/>
      </c>
      <c r="BY230" s="169" t="str">
        <f t="shared" si="105"/>
        <v/>
      </c>
      <c r="BZ230" s="169" t="str">
        <f t="shared" si="105"/>
        <v/>
      </c>
      <c r="CA230" s="169" t="str">
        <f t="shared" si="105"/>
        <v/>
      </c>
      <c r="CB230" s="169" t="str">
        <f t="shared" si="105"/>
        <v/>
      </c>
      <c r="CC230" s="169" t="str">
        <f t="shared" si="105"/>
        <v/>
      </c>
      <c r="CD230" s="169" t="str">
        <f t="shared" si="105"/>
        <v/>
      </c>
      <c r="CE230" s="299" t="str">
        <f t="shared" si="105"/>
        <v/>
      </c>
      <c r="CF230" s="298"/>
      <c r="CG230" s="169"/>
      <c r="CH230" s="169"/>
      <c r="CI230" s="169"/>
      <c r="CJ230" s="169"/>
      <c r="CK230" s="299"/>
      <c r="CL230" s="298" t="str">
        <f t="shared" si="79"/>
        <v/>
      </c>
      <c r="CM230" s="169" t="str">
        <f t="shared" si="70"/>
        <v/>
      </c>
      <c r="CN230" s="169" t="str">
        <f t="shared" si="71"/>
        <v/>
      </c>
      <c r="CO230" s="169" t="str">
        <f t="shared" si="84"/>
        <v/>
      </c>
      <c r="CP230" s="169" t="str">
        <f t="shared" si="106"/>
        <v/>
      </c>
      <c r="CQ230" s="299" t="str">
        <f t="shared" si="106"/>
        <v/>
      </c>
      <c r="CR230" s="298" t="str">
        <f t="shared" si="111"/>
        <v/>
      </c>
      <c r="CS230" s="169" t="str">
        <f t="shared" si="111"/>
        <v/>
      </c>
      <c r="CT230" s="169" t="str">
        <f t="shared" si="111"/>
        <v/>
      </c>
      <c r="CU230" s="169" t="str">
        <f t="shared" si="111"/>
        <v/>
      </c>
      <c r="CV230" s="169" t="str">
        <f t="shared" si="111"/>
        <v/>
      </c>
      <c r="CW230" s="299" t="str">
        <f t="shared" si="111"/>
        <v/>
      </c>
      <c r="CX230" s="299" t="str">
        <f t="shared" si="81"/>
        <v/>
      </c>
      <c r="CZ230" s="10"/>
      <c r="DB230" s="10">
        <f t="shared" si="114"/>
        <v>0</v>
      </c>
      <c r="DC230" s="10">
        <f t="shared" si="115"/>
        <v>0</v>
      </c>
    </row>
    <row r="231" spans="2:107" hidden="1" outlineLevel="1" x14ac:dyDescent="0.25">
      <c r="B231" s="116"/>
      <c r="C231" s="528" t="str">
        <f t="shared" si="109"/>
        <v>To RTU-1 / 2</v>
      </c>
      <c r="D231" s="529">
        <f t="shared" si="110"/>
        <v>0</v>
      </c>
      <c r="G231" s="40"/>
      <c r="Q231" s="47"/>
      <c r="S231" s="298" t="str">
        <f t="shared" si="100"/>
        <v/>
      </c>
      <c r="T231" s="169" t="str">
        <f t="shared" si="100"/>
        <v/>
      </c>
      <c r="U231" s="169" t="str">
        <f t="shared" si="100"/>
        <v/>
      </c>
      <c r="V231" s="169" t="str">
        <f t="shared" si="100"/>
        <v/>
      </c>
      <c r="W231" s="169" t="str">
        <f t="shared" si="100"/>
        <v/>
      </c>
      <c r="X231" s="169" t="str">
        <f t="shared" si="100"/>
        <v/>
      </c>
      <c r="Y231" s="169" t="str">
        <f t="shared" si="100"/>
        <v/>
      </c>
      <c r="Z231" s="169" t="str">
        <f t="shared" si="100"/>
        <v/>
      </c>
      <c r="AA231" s="299" t="str">
        <f t="shared" si="100"/>
        <v/>
      </c>
      <c r="AB231" s="169" t="str">
        <f t="shared" si="101"/>
        <v/>
      </c>
      <c r="AC231" s="169" t="str">
        <f t="shared" si="101"/>
        <v/>
      </c>
      <c r="AD231" s="169" t="str">
        <f t="shared" si="101"/>
        <v/>
      </c>
      <c r="AE231" s="169" t="str">
        <f t="shared" si="101"/>
        <v/>
      </c>
      <c r="AF231" s="169" t="str">
        <f t="shared" si="101"/>
        <v/>
      </c>
      <c r="AG231" s="169" t="str">
        <f t="shared" si="101"/>
        <v/>
      </c>
      <c r="AH231" s="169" t="str">
        <f t="shared" si="101"/>
        <v/>
      </c>
      <c r="AI231" s="169" t="str">
        <f t="shared" si="101"/>
        <v/>
      </c>
      <c r="AJ231" s="299" t="str">
        <f t="shared" si="101"/>
        <v/>
      </c>
      <c r="AK231" s="298" t="str">
        <f t="shared" si="102"/>
        <v/>
      </c>
      <c r="AL231" s="299" t="str">
        <f t="shared" si="102"/>
        <v/>
      </c>
      <c r="AM231" s="169" t="str">
        <f t="shared" si="103"/>
        <v/>
      </c>
      <c r="AN231" s="169" t="str">
        <f t="shared" si="103"/>
        <v/>
      </c>
      <c r="AO231" s="169" t="str">
        <f t="shared" si="103"/>
        <v/>
      </c>
      <c r="AP231" s="169" t="str">
        <f t="shared" si="103"/>
        <v/>
      </c>
      <c r="AQ231" s="169" t="str">
        <f t="shared" si="103"/>
        <v/>
      </c>
      <c r="AR231" s="169" t="str">
        <f t="shared" si="103"/>
        <v/>
      </c>
      <c r="AS231" s="169" t="str">
        <f t="shared" si="103"/>
        <v/>
      </c>
      <c r="AT231" s="169" t="str">
        <f t="shared" si="103"/>
        <v/>
      </c>
      <c r="AU231" s="299" t="str">
        <f t="shared" si="103"/>
        <v/>
      </c>
      <c r="AV231" s="169" t="str">
        <f t="shared" si="112"/>
        <v/>
      </c>
      <c r="AW231" s="169" t="str">
        <f t="shared" ref="AW231:AX250" si="116">IF($J231=AW$159,$DC231,"")</f>
        <v/>
      </c>
      <c r="AX231" s="169" t="str">
        <f t="shared" si="116"/>
        <v/>
      </c>
      <c r="AY231" s="169" t="str">
        <f t="shared" si="107"/>
        <v/>
      </c>
      <c r="AZ231" s="169" t="str">
        <f t="shared" si="107"/>
        <v/>
      </c>
      <c r="BA231" s="299" t="str">
        <f t="shared" si="107"/>
        <v/>
      </c>
      <c r="BB231" s="169" t="str">
        <f t="shared" si="113"/>
        <v/>
      </c>
      <c r="BC231" s="169" t="str">
        <f t="shared" si="76"/>
        <v/>
      </c>
      <c r="BD231" s="169" t="str">
        <f t="shared" si="88"/>
        <v/>
      </c>
      <c r="BE231" s="169" t="str">
        <f t="shared" si="108"/>
        <v/>
      </c>
      <c r="BF231" s="169" t="str">
        <f t="shared" si="108"/>
        <v/>
      </c>
      <c r="BG231" s="169" t="str">
        <f t="shared" si="108"/>
        <v/>
      </c>
      <c r="BH231" s="298"/>
      <c r="BI231" s="169"/>
      <c r="BJ231" s="169"/>
      <c r="BK231" s="169"/>
      <c r="BL231" s="169"/>
      <c r="BM231" s="299"/>
      <c r="BN231" s="298" t="str">
        <f t="shared" si="104"/>
        <v/>
      </c>
      <c r="BO231" s="169" t="str">
        <f t="shared" si="104"/>
        <v/>
      </c>
      <c r="BP231" s="169" t="str">
        <f t="shared" si="104"/>
        <v/>
      </c>
      <c r="BQ231" s="169" t="str">
        <f t="shared" si="104"/>
        <v/>
      </c>
      <c r="BR231" s="169" t="str">
        <f t="shared" si="104"/>
        <v/>
      </c>
      <c r="BS231" s="169" t="str">
        <f t="shared" si="104"/>
        <v/>
      </c>
      <c r="BT231" s="169" t="str">
        <f t="shared" si="104"/>
        <v/>
      </c>
      <c r="BU231" s="169" t="str">
        <f t="shared" si="104"/>
        <v/>
      </c>
      <c r="BV231" s="299" t="str">
        <f t="shared" si="104"/>
        <v/>
      </c>
      <c r="BW231" s="298" t="str">
        <f t="shared" si="105"/>
        <v/>
      </c>
      <c r="BX231" s="169" t="str">
        <f t="shared" si="105"/>
        <v/>
      </c>
      <c r="BY231" s="169" t="str">
        <f t="shared" si="105"/>
        <v/>
      </c>
      <c r="BZ231" s="169" t="str">
        <f t="shared" si="105"/>
        <v/>
      </c>
      <c r="CA231" s="169" t="str">
        <f t="shared" si="105"/>
        <v/>
      </c>
      <c r="CB231" s="169" t="str">
        <f t="shared" si="105"/>
        <v/>
      </c>
      <c r="CC231" s="169" t="str">
        <f t="shared" si="105"/>
        <v/>
      </c>
      <c r="CD231" s="169" t="str">
        <f t="shared" si="105"/>
        <v/>
      </c>
      <c r="CE231" s="299" t="str">
        <f t="shared" si="105"/>
        <v/>
      </c>
      <c r="CF231" s="298"/>
      <c r="CG231" s="169"/>
      <c r="CH231" s="169"/>
      <c r="CI231" s="169"/>
      <c r="CJ231" s="169"/>
      <c r="CK231" s="299"/>
      <c r="CL231" s="298" t="str">
        <f t="shared" si="79"/>
        <v/>
      </c>
      <c r="CM231" s="169" t="str">
        <f t="shared" si="70"/>
        <v/>
      </c>
      <c r="CN231" s="169" t="str">
        <f t="shared" si="71"/>
        <v/>
      </c>
      <c r="CO231" s="169" t="str">
        <f t="shared" si="84"/>
        <v/>
      </c>
      <c r="CP231" s="169" t="str">
        <f t="shared" si="106"/>
        <v/>
      </c>
      <c r="CQ231" s="299" t="str">
        <f t="shared" si="106"/>
        <v/>
      </c>
      <c r="CR231" s="298" t="str">
        <f t="shared" si="111"/>
        <v/>
      </c>
      <c r="CS231" s="169" t="str">
        <f t="shared" si="111"/>
        <v/>
      </c>
      <c r="CT231" s="169" t="str">
        <f t="shared" si="111"/>
        <v/>
      </c>
      <c r="CU231" s="169" t="str">
        <f t="shared" si="111"/>
        <v/>
      </c>
      <c r="CV231" s="169" t="str">
        <f t="shared" si="111"/>
        <v/>
      </c>
      <c r="CW231" s="299" t="str">
        <f t="shared" si="111"/>
        <v/>
      </c>
      <c r="CX231" s="299" t="str">
        <f t="shared" si="81"/>
        <v/>
      </c>
      <c r="CZ231" s="10"/>
      <c r="DB231" s="10">
        <f t="shared" si="114"/>
        <v>0</v>
      </c>
      <c r="DC231" s="10">
        <f t="shared" si="115"/>
        <v>0</v>
      </c>
    </row>
    <row r="232" spans="2:107" hidden="1" outlineLevel="1" x14ac:dyDescent="0.25">
      <c r="B232" s="116"/>
      <c r="C232" s="528" t="str">
        <f t="shared" si="109"/>
        <v>Accessories</v>
      </c>
      <c r="D232" s="529">
        <f t="shared" si="110"/>
        <v>0</v>
      </c>
      <c r="G232" s="40"/>
      <c r="Q232" s="47"/>
      <c r="S232" s="298" t="str">
        <f t="shared" ref="S232:AA241" si="117">IF($G232=S$159,$DB232,"")</f>
        <v/>
      </c>
      <c r="T232" s="169" t="str">
        <f t="shared" si="117"/>
        <v/>
      </c>
      <c r="U232" s="169" t="str">
        <f t="shared" si="117"/>
        <v/>
      </c>
      <c r="V232" s="169" t="str">
        <f t="shared" si="117"/>
        <v/>
      </c>
      <c r="W232" s="169" t="str">
        <f t="shared" si="117"/>
        <v/>
      </c>
      <c r="X232" s="169" t="str">
        <f t="shared" si="117"/>
        <v/>
      </c>
      <c r="Y232" s="169" t="str">
        <f t="shared" si="117"/>
        <v/>
      </c>
      <c r="Z232" s="169" t="str">
        <f t="shared" si="117"/>
        <v/>
      </c>
      <c r="AA232" s="299" t="str">
        <f t="shared" si="117"/>
        <v/>
      </c>
      <c r="AB232" s="169" t="str">
        <f t="shared" ref="AB232:AJ241" si="118">IF($H232=AB$159,$DB232,"")</f>
        <v/>
      </c>
      <c r="AC232" s="169" t="str">
        <f t="shared" si="118"/>
        <v/>
      </c>
      <c r="AD232" s="169" t="str">
        <f t="shared" si="118"/>
        <v/>
      </c>
      <c r="AE232" s="169" t="str">
        <f t="shared" si="118"/>
        <v/>
      </c>
      <c r="AF232" s="169" t="str">
        <f t="shared" si="118"/>
        <v/>
      </c>
      <c r="AG232" s="169" t="str">
        <f t="shared" si="118"/>
        <v/>
      </c>
      <c r="AH232" s="169" t="str">
        <f t="shared" si="118"/>
        <v/>
      </c>
      <c r="AI232" s="169" t="str">
        <f t="shared" si="118"/>
        <v/>
      </c>
      <c r="AJ232" s="299" t="str">
        <f t="shared" si="118"/>
        <v/>
      </c>
      <c r="AK232" s="298" t="str">
        <f t="shared" si="102"/>
        <v/>
      </c>
      <c r="AL232" s="299" t="str">
        <f t="shared" si="102"/>
        <v/>
      </c>
      <c r="AM232" s="169" t="str">
        <f t="shared" ref="AM232:AU241" si="119">IF($I232=AM$159,$DB232,"")</f>
        <v/>
      </c>
      <c r="AN232" s="169" t="str">
        <f t="shared" si="119"/>
        <v/>
      </c>
      <c r="AO232" s="169" t="str">
        <f t="shared" si="119"/>
        <v/>
      </c>
      <c r="AP232" s="169" t="str">
        <f t="shared" si="119"/>
        <v/>
      </c>
      <c r="AQ232" s="169" t="str">
        <f t="shared" si="119"/>
        <v/>
      </c>
      <c r="AR232" s="169" t="str">
        <f t="shared" si="119"/>
        <v/>
      </c>
      <c r="AS232" s="169" t="str">
        <f t="shared" si="119"/>
        <v/>
      </c>
      <c r="AT232" s="169" t="str">
        <f t="shared" si="119"/>
        <v/>
      </c>
      <c r="AU232" s="299" t="str">
        <f t="shared" si="119"/>
        <v/>
      </c>
      <c r="AV232" s="169" t="str">
        <f t="shared" si="112"/>
        <v/>
      </c>
      <c r="AW232" s="169" t="str">
        <f t="shared" si="116"/>
        <v/>
      </c>
      <c r="AX232" s="169" t="str">
        <f t="shared" si="116"/>
        <v/>
      </c>
      <c r="AY232" s="169" t="str">
        <f t="shared" si="107"/>
        <v/>
      </c>
      <c r="AZ232" s="169" t="str">
        <f t="shared" si="107"/>
        <v/>
      </c>
      <c r="BA232" s="299" t="str">
        <f t="shared" si="107"/>
        <v/>
      </c>
      <c r="BB232" s="169" t="str">
        <f t="shared" si="113"/>
        <v/>
      </c>
      <c r="BC232" s="169" t="str">
        <f t="shared" si="76"/>
        <v/>
      </c>
      <c r="BD232" s="169" t="str">
        <f t="shared" si="88"/>
        <v/>
      </c>
      <c r="BE232" s="169" t="str">
        <f t="shared" si="108"/>
        <v/>
      </c>
      <c r="BF232" s="169" t="str">
        <f t="shared" si="108"/>
        <v/>
      </c>
      <c r="BG232" s="169" t="str">
        <f t="shared" si="108"/>
        <v/>
      </c>
      <c r="BH232" s="298"/>
      <c r="BI232" s="169"/>
      <c r="BJ232" s="169"/>
      <c r="BK232" s="169"/>
      <c r="BL232" s="169"/>
      <c r="BM232" s="299"/>
      <c r="BN232" s="298" t="str">
        <f t="shared" ref="BN232:BV241" si="120">IF($M232=BN$159,$DB232,"")</f>
        <v/>
      </c>
      <c r="BO232" s="169" t="str">
        <f t="shared" si="120"/>
        <v/>
      </c>
      <c r="BP232" s="169" t="str">
        <f t="shared" si="120"/>
        <v/>
      </c>
      <c r="BQ232" s="169" t="str">
        <f t="shared" si="120"/>
        <v/>
      </c>
      <c r="BR232" s="169" t="str">
        <f t="shared" si="120"/>
        <v/>
      </c>
      <c r="BS232" s="169" t="str">
        <f t="shared" si="120"/>
        <v/>
      </c>
      <c r="BT232" s="169" t="str">
        <f t="shared" si="120"/>
        <v/>
      </c>
      <c r="BU232" s="169" t="str">
        <f t="shared" si="120"/>
        <v/>
      </c>
      <c r="BV232" s="299" t="str">
        <f t="shared" si="120"/>
        <v/>
      </c>
      <c r="BW232" s="298" t="str">
        <f t="shared" ref="BW232:CE241" si="121">IF($N232=BW$159,$DB232,"")</f>
        <v/>
      </c>
      <c r="BX232" s="169" t="str">
        <f t="shared" si="121"/>
        <v/>
      </c>
      <c r="BY232" s="169" t="str">
        <f t="shared" si="121"/>
        <v/>
      </c>
      <c r="BZ232" s="169" t="str">
        <f t="shared" si="121"/>
        <v/>
      </c>
      <c r="CA232" s="169" t="str">
        <f t="shared" si="121"/>
        <v/>
      </c>
      <c r="CB232" s="169" t="str">
        <f t="shared" si="121"/>
        <v/>
      </c>
      <c r="CC232" s="169" t="str">
        <f t="shared" si="121"/>
        <v/>
      </c>
      <c r="CD232" s="169" t="str">
        <f t="shared" si="121"/>
        <v/>
      </c>
      <c r="CE232" s="299" t="str">
        <f t="shared" si="121"/>
        <v/>
      </c>
      <c r="CF232" s="298"/>
      <c r="CG232" s="169"/>
      <c r="CH232" s="169"/>
      <c r="CI232" s="169"/>
      <c r="CJ232" s="169"/>
      <c r="CK232" s="299"/>
      <c r="CL232" s="298" t="str">
        <f t="shared" si="79"/>
        <v/>
      </c>
      <c r="CM232" s="169" t="str">
        <f t="shared" ref="CM232:CM263" si="122">IF($P232=CM$159,$DC232,"")</f>
        <v/>
      </c>
      <c r="CN232" s="169" t="str">
        <f t="shared" si="71"/>
        <v/>
      </c>
      <c r="CO232" s="169" t="str">
        <f t="shared" si="84"/>
        <v/>
      </c>
      <c r="CP232" s="169" t="str">
        <f t="shared" si="106"/>
        <v/>
      </c>
      <c r="CQ232" s="299" t="str">
        <f t="shared" si="106"/>
        <v/>
      </c>
      <c r="CR232" s="298" t="str">
        <f t="shared" si="111"/>
        <v/>
      </c>
      <c r="CS232" s="169" t="str">
        <f t="shared" si="111"/>
        <v/>
      </c>
      <c r="CT232" s="169" t="str">
        <f t="shared" si="111"/>
        <v/>
      </c>
      <c r="CU232" s="169" t="str">
        <f t="shared" si="111"/>
        <v/>
      </c>
      <c r="CV232" s="169" t="str">
        <f t="shared" si="111"/>
        <v/>
      </c>
      <c r="CW232" s="299" t="str">
        <f t="shared" si="111"/>
        <v/>
      </c>
      <c r="CX232" s="299" t="str">
        <f t="shared" si="81"/>
        <v/>
      </c>
      <c r="CZ232" s="10"/>
      <c r="DB232" s="10">
        <f t="shared" si="114"/>
        <v>0</v>
      </c>
      <c r="DC232" s="10">
        <f t="shared" si="115"/>
        <v>0</v>
      </c>
    </row>
    <row r="233" spans="2:107" hidden="1" outlineLevel="1" x14ac:dyDescent="0.25">
      <c r="B233" s="116"/>
      <c r="C233" s="528" t="str">
        <f t="shared" si="109"/>
        <v>Shut-off valve 1-1/4"</v>
      </c>
      <c r="D233" s="529">
        <f t="shared" si="110"/>
        <v>2</v>
      </c>
      <c r="G233" s="40"/>
      <c r="Q233" s="47"/>
      <c r="S233" s="298" t="str">
        <f t="shared" si="117"/>
        <v/>
      </c>
      <c r="T233" s="169" t="str">
        <f t="shared" si="117"/>
        <v/>
      </c>
      <c r="U233" s="169" t="str">
        <f t="shared" si="117"/>
        <v/>
      </c>
      <c r="V233" s="169" t="str">
        <f t="shared" si="117"/>
        <v/>
      </c>
      <c r="W233" s="169" t="str">
        <f t="shared" si="117"/>
        <v/>
      </c>
      <c r="X233" s="169" t="str">
        <f t="shared" si="117"/>
        <v/>
      </c>
      <c r="Y233" s="169" t="str">
        <f t="shared" si="117"/>
        <v/>
      </c>
      <c r="Z233" s="169" t="str">
        <f t="shared" si="117"/>
        <v/>
      </c>
      <c r="AA233" s="299" t="str">
        <f t="shared" si="117"/>
        <v/>
      </c>
      <c r="AB233" s="169" t="str">
        <f t="shared" si="118"/>
        <v/>
      </c>
      <c r="AC233" s="169" t="str">
        <f t="shared" si="118"/>
        <v/>
      </c>
      <c r="AD233" s="169" t="str">
        <f t="shared" si="118"/>
        <v/>
      </c>
      <c r="AE233" s="169" t="str">
        <f t="shared" si="118"/>
        <v/>
      </c>
      <c r="AF233" s="169" t="str">
        <f t="shared" si="118"/>
        <v/>
      </c>
      <c r="AG233" s="169" t="str">
        <f t="shared" si="118"/>
        <v/>
      </c>
      <c r="AH233" s="169" t="str">
        <f t="shared" si="118"/>
        <v/>
      </c>
      <c r="AI233" s="169" t="str">
        <f t="shared" si="118"/>
        <v/>
      </c>
      <c r="AJ233" s="299" t="str">
        <f t="shared" si="118"/>
        <v/>
      </c>
      <c r="AK233" s="298" t="str">
        <f t="shared" si="102"/>
        <v/>
      </c>
      <c r="AL233" s="299" t="str">
        <f t="shared" si="102"/>
        <v/>
      </c>
      <c r="AM233" s="169" t="str">
        <f t="shared" si="119"/>
        <v/>
      </c>
      <c r="AN233" s="169" t="str">
        <f t="shared" si="119"/>
        <v/>
      </c>
      <c r="AO233" s="169" t="str">
        <f t="shared" si="119"/>
        <v/>
      </c>
      <c r="AP233" s="169" t="str">
        <f t="shared" si="119"/>
        <v/>
      </c>
      <c r="AQ233" s="169" t="str">
        <f t="shared" si="119"/>
        <v/>
      </c>
      <c r="AR233" s="169" t="str">
        <f t="shared" si="119"/>
        <v/>
      </c>
      <c r="AS233" s="169" t="str">
        <f t="shared" si="119"/>
        <v/>
      </c>
      <c r="AT233" s="169" t="str">
        <f t="shared" si="119"/>
        <v/>
      </c>
      <c r="AU233" s="299" t="str">
        <f t="shared" si="119"/>
        <v/>
      </c>
      <c r="AV233" s="169" t="str">
        <f t="shared" si="112"/>
        <v/>
      </c>
      <c r="AW233" s="169" t="str">
        <f t="shared" si="116"/>
        <v/>
      </c>
      <c r="AX233" s="169" t="str">
        <f t="shared" si="116"/>
        <v/>
      </c>
      <c r="AY233" s="169" t="str">
        <f t="shared" si="107"/>
        <v/>
      </c>
      <c r="AZ233" s="169" t="str">
        <f t="shared" si="107"/>
        <v/>
      </c>
      <c r="BA233" s="299" t="str">
        <f t="shared" si="107"/>
        <v/>
      </c>
      <c r="BB233" s="169" t="str">
        <f t="shared" si="113"/>
        <v/>
      </c>
      <c r="BC233" s="169" t="str">
        <f t="shared" si="76"/>
        <v/>
      </c>
      <c r="BD233" s="169" t="str">
        <f t="shared" si="88"/>
        <v/>
      </c>
      <c r="BE233" s="169" t="str">
        <f t="shared" si="108"/>
        <v/>
      </c>
      <c r="BF233" s="169" t="str">
        <f t="shared" si="108"/>
        <v/>
      </c>
      <c r="BG233" s="169" t="str">
        <f t="shared" si="108"/>
        <v/>
      </c>
      <c r="BH233" s="298"/>
      <c r="BI233" s="169"/>
      <c r="BJ233" s="169"/>
      <c r="BK233" s="169"/>
      <c r="BL233" s="169"/>
      <c r="BM233" s="299"/>
      <c r="BN233" s="298" t="str">
        <f t="shared" si="120"/>
        <v/>
      </c>
      <c r="BO233" s="169" t="str">
        <f t="shared" si="120"/>
        <v/>
      </c>
      <c r="BP233" s="169" t="str">
        <f t="shared" si="120"/>
        <v/>
      </c>
      <c r="BQ233" s="169" t="str">
        <f t="shared" si="120"/>
        <v/>
      </c>
      <c r="BR233" s="169" t="str">
        <f t="shared" si="120"/>
        <v/>
      </c>
      <c r="BS233" s="169" t="str">
        <f t="shared" si="120"/>
        <v/>
      </c>
      <c r="BT233" s="169" t="str">
        <f t="shared" si="120"/>
        <v/>
      </c>
      <c r="BU233" s="169" t="str">
        <f t="shared" si="120"/>
        <v/>
      </c>
      <c r="BV233" s="299" t="str">
        <f t="shared" si="120"/>
        <v/>
      </c>
      <c r="BW233" s="298" t="str">
        <f t="shared" si="121"/>
        <v/>
      </c>
      <c r="BX233" s="169" t="str">
        <f t="shared" si="121"/>
        <v/>
      </c>
      <c r="BY233" s="169" t="str">
        <f t="shared" si="121"/>
        <v/>
      </c>
      <c r="BZ233" s="169" t="str">
        <f t="shared" si="121"/>
        <v/>
      </c>
      <c r="CA233" s="169" t="str">
        <f t="shared" si="121"/>
        <v/>
      </c>
      <c r="CB233" s="169" t="str">
        <f t="shared" si="121"/>
        <v/>
      </c>
      <c r="CC233" s="169" t="str">
        <f t="shared" si="121"/>
        <v/>
      </c>
      <c r="CD233" s="169" t="str">
        <f t="shared" si="121"/>
        <v/>
      </c>
      <c r="CE233" s="299" t="str">
        <f t="shared" si="121"/>
        <v/>
      </c>
      <c r="CF233" s="298"/>
      <c r="CG233" s="169"/>
      <c r="CH233" s="169"/>
      <c r="CI233" s="169"/>
      <c r="CJ233" s="169"/>
      <c r="CK233" s="299"/>
      <c r="CL233" s="298" t="str">
        <f t="shared" si="79"/>
        <v/>
      </c>
      <c r="CM233" s="169" t="str">
        <f t="shared" si="122"/>
        <v/>
      </c>
      <c r="CN233" s="169" t="str">
        <f t="shared" ref="CN233:CN264" si="123">IF($P233=CN$159,$DC233,"")</f>
        <v/>
      </c>
      <c r="CO233" s="169" t="str">
        <f t="shared" si="84"/>
        <v/>
      </c>
      <c r="CP233" s="169" t="str">
        <f t="shared" si="106"/>
        <v/>
      </c>
      <c r="CQ233" s="299" t="str">
        <f t="shared" si="106"/>
        <v/>
      </c>
      <c r="CR233" s="298" t="str">
        <f t="shared" si="111"/>
        <v/>
      </c>
      <c r="CS233" s="169" t="str">
        <f t="shared" si="111"/>
        <v/>
      </c>
      <c r="CT233" s="169" t="str">
        <f t="shared" si="111"/>
        <v/>
      </c>
      <c r="CU233" s="169" t="str">
        <f t="shared" si="111"/>
        <v/>
      </c>
      <c r="CV233" s="169" t="str">
        <f t="shared" si="111"/>
        <v/>
      </c>
      <c r="CW233" s="299" t="str">
        <f t="shared" si="111"/>
        <v/>
      </c>
      <c r="CX233" s="299" t="str">
        <f t="shared" si="81"/>
        <v/>
      </c>
      <c r="CZ233" s="10"/>
      <c r="DB233" s="10">
        <f t="shared" si="114"/>
        <v>22</v>
      </c>
      <c r="DC233" s="10">
        <f t="shared" si="115"/>
        <v>11</v>
      </c>
    </row>
    <row r="234" spans="2:107" hidden="1" outlineLevel="1" x14ac:dyDescent="0.25">
      <c r="B234" s="116"/>
      <c r="C234" s="528">
        <f t="shared" si="109"/>
        <v>0</v>
      </c>
      <c r="D234" s="529">
        <f t="shared" si="110"/>
        <v>0</v>
      </c>
      <c r="G234" s="40"/>
      <c r="Q234" s="47"/>
      <c r="S234" s="298" t="str">
        <f t="shared" si="117"/>
        <v/>
      </c>
      <c r="T234" s="169" t="str">
        <f t="shared" si="117"/>
        <v/>
      </c>
      <c r="U234" s="169" t="str">
        <f t="shared" si="117"/>
        <v/>
      </c>
      <c r="V234" s="169" t="str">
        <f t="shared" si="117"/>
        <v/>
      </c>
      <c r="W234" s="169" t="str">
        <f t="shared" si="117"/>
        <v/>
      </c>
      <c r="X234" s="169" t="str">
        <f t="shared" si="117"/>
        <v/>
      </c>
      <c r="Y234" s="169" t="str">
        <f t="shared" si="117"/>
        <v/>
      </c>
      <c r="Z234" s="169" t="str">
        <f t="shared" si="117"/>
        <v/>
      </c>
      <c r="AA234" s="299" t="str">
        <f t="shared" si="117"/>
        <v/>
      </c>
      <c r="AB234" s="169" t="str">
        <f t="shared" si="118"/>
        <v/>
      </c>
      <c r="AC234" s="169" t="str">
        <f t="shared" si="118"/>
        <v/>
      </c>
      <c r="AD234" s="169" t="str">
        <f t="shared" si="118"/>
        <v/>
      </c>
      <c r="AE234" s="169" t="str">
        <f t="shared" si="118"/>
        <v/>
      </c>
      <c r="AF234" s="169" t="str">
        <f t="shared" si="118"/>
        <v/>
      </c>
      <c r="AG234" s="169" t="str">
        <f t="shared" si="118"/>
        <v/>
      </c>
      <c r="AH234" s="169" t="str">
        <f t="shared" si="118"/>
        <v/>
      </c>
      <c r="AI234" s="169" t="str">
        <f t="shared" si="118"/>
        <v/>
      </c>
      <c r="AJ234" s="299" t="str">
        <f t="shared" si="118"/>
        <v/>
      </c>
      <c r="AK234" s="298" t="str">
        <f t="shared" si="102"/>
        <v/>
      </c>
      <c r="AL234" s="299" t="str">
        <f t="shared" si="102"/>
        <v/>
      </c>
      <c r="AM234" s="169" t="str">
        <f t="shared" si="119"/>
        <v/>
      </c>
      <c r="AN234" s="169" t="str">
        <f t="shared" si="119"/>
        <v/>
      </c>
      <c r="AO234" s="169" t="str">
        <f t="shared" si="119"/>
        <v/>
      </c>
      <c r="AP234" s="169" t="str">
        <f t="shared" si="119"/>
        <v/>
      </c>
      <c r="AQ234" s="169" t="str">
        <f t="shared" si="119"/>
        <v/>
      </c>
      <c r="AR234" s="169" t="str">
        <f t="shared" si="119"/>
        <v/>
      </c>
      <c r="AS234" s="169" t="str">
        <f t="shared" si="119"/>
        <v/>
      </c>
      <c r="AT234" s="169" t="str">
        <f t="shared" si="119"/>
        <v/>
      </c>
      <c r="AU234" s="299" t="str">
        <f t="shared" si="119"/>
        <v/>
      </c>
      <c r="AV234" s="169" t="str">
        <f t="shared" si="112"/>
        <v/>
      </c>
      <c r="AW234" s="169" t="str">
        <f t="shared" si="116"/>
        <v/>
      </c>
      <c r="AX234" s="169" t="str">
        <f t="shared" si="116"/>
        <v/>
      </c>
      <c r="AY234" s="169" t="str">
        <f t="shared" si="107"/>
        <v/>
      </c>
      <c r="AZ234" s="169" t="str">
        <f t="shared" si="107"/>
        <v/>
      </c>
      <c r="BA234" s="299" t="str">
        <f t="shared" si="107"/>
        <v/>
      </c>
      <c r="BB234" s="169" t="str">
        <f t="shared" si="113"/>
        <v/>
      </c>
      <c r="BC234" s="169" t="str">
        <f t="shared" ref="BC234:BC265" si="124">IF($K234=BC$159,$DC234,"")</f>
        <v/>
      </c>
      <c r="BD234" s="169" t="str">
        <f t="shared" si="88"/>
        <v/>
      </c>
      <c r="BE234" s="169" t="str">
        <f t="shared" si="108"/>
        <v/>
      </c>
      <c r="BF234" s="169" t="str">
        <f t="shared" si="108"/>
        <v/>
      </c>
      <c r="BG234" s="169" t="str">
        <f t="shared" si="108"/>
        <v/>
      </c>
      <c r="BH234" s="298"/>
      <c r="BI234" s="169"/>
      <c r="BJ234" s="169"/>
      <c r="BK234" s="169"/>
      <c r="BL234" s="169"/>
      <c r="BM234" s="299"/>
      <c r="BN234" s="298" t="str">
        <f t="shared" si="120"/>
        <v/>
      </c>
      <c r="BO234" s="169" t="str">
        <f t="shared" si="120"/>
        <v/>
      </c>
      <c r="BP234" s="169" t="str">
        <f t="shared" si="120"/>
        <v/>
      </c>
      <c r="BQ234" s="169" t="str">
        <f t="shared" si="120"/>
        <v/>
      </c>
      <c r="BR234" s="169" t="str">
        <f t="shared" si="120"/>
        <v/>
      </c>
      <c r="BS234" s="169" t="str">
        <f t="shared" si="120"/>
        <v/>
      </c>
      <c r="BT234" s="169" t="str">
        <f t="shared" si="120"/>
        <v/>
      </c>
      <c r="BU234" s="169" t="str">
        <f t="shared" si="120"/>
        <v/>
      </c>
      <c r="BV234" s="299" t="str">
        <f t="shared" si="120"/>
        <v/>
      </c>
      <c r="BW234" s="298" t="str">
        <f t="shared" si="121"/>
        <v/>
      </c>
      <c r="BX234" s="169" t="str">
        <f t="shared" si="121"/>
        <v/>
      </c>
      <c r="BY234" s="169" t="str">
        <f t="shared" si="121"/>
        <v/>
      </c>
      <c r="BZ234" s="169" t="str">
        <f t="shared" si="121"/>
        <v/>
      </c>
      <c r="CA234" s="169" t="str">
        <f t="shared" si="121"/>
        <v/>
      </c>
      <c r="CB234" s="169" t="str">
        <f t="shared" si="121"/>
        <v/>
      </c>
      <c r="CC234" s="169" t="str">
        <f t="shared" si="121"/>
        <v/>
      </c>
      <c r="CD234" s="169" t="str">
        <f t="shared" si="121"/>
        <v/>
      </c>
      <c r="CE234" s="299" t="str">
        <f t="shared" si="121"/>
        <v/>
      </c>
      <c r="CF234" s="298"/>
      <c r="CG234" s="169"/>
      <c r="CH234" s="169"/>
      <c r="CI234" s="169"/>
      <c r="CJ234" s="169"/>
      <c r="CK234" s="299"/>
      <c r="CL234" s="298" t="str">
        <f t="shared" ref="CL234:CL265" si="125">IF($P234=CL$159,$DC234,"")</f>
        <v/>
      </c>
      <c r="CM234" s="169" t="str">
        <f t="shared" si="122"/>
        <v/>
      </c>
      <c r="CN234" s="169" t="str">
        <f t="shared" si="123"/>
        <v/>
      </c>
      <c r="CO234" s="169" t="str">
        <f t="shared" si="84"/>
        <v/>
      </c>
      <c r="CP234" s="169" t="str">
        <f t="shared" si="106"/>
        <v/>
      </c>
      <c r="CQ234" s="299" t="str">
        <f t="shared" si="106"/>
        <v/>
      </c>
      <c r="CR234" s="298" t="str">
        <f t="shared" si="111"/>
        <v/>
      </c>
      <c r="CS234" s="169" t="str">
        <f t="shared" si="111"/>
        <v/>
      </c>
      <c r="CT234" s="169" t="str">
        <f t="shared" si="111"/>
        <v/>
      </c>
      <c r="CU234" s="169" t="str">
        <f t="shared" si="111"/>
        <v/>
      </c>
      <c r="CV234" s="169" t="str">
        <f t="shared" si="111"/>
        <v/>
      </c>
      <c r="CW234" s="299" t="str">
        <f t="shared" si="111"/>
        <v/>
      </c>
      <c r="CX234" s="299" t="str">
        <f t="shared" ref="CX234:CX265" si="126">IF($P234=CX$159,$DC234,"")</f>
        <v/>
      </c>
      <c r="CZ234" s="10"/>
      <c r="DB234" s="10">
        <f t="shared" si="114"/>
        <v>0</v>
      </c>
      <c r="DC234" s="10">
        <f t="shared" si="115"/>
        <v>0</v>
      </c>
    </row>
    <row r="235" spans="2:107" hidden="1" outlineLevel="1" x14ac:dyDescent="0.25">
      <c r="B235" s="116"/>
      <c r="C235" s="528">
        <f>IF(C106&gt;0,B106 &amp; " (" &amp;C106 &amp; ")",B106)</f>
        <v>0</v>
      </c>
      <c r="D235" s="529">
        <f>E106</f>
        <v>0</v>
      </c>
      <c r="G235" s="40"/>
      <c r="Q235" s="47"/>
      <c r="S235" s="298" t="str">
        <f t="shared" si="117"/>
        <v/>
      </c>
      <c r="T235" s="169" t="str">
        <f t="shared" si="117"/>
        <v/>
      </c>
      <c r="U235" s="169" t="str">
        <f t="shared" si="117"/>
        <v/>
      </c>
      <c r="V235" s="169" t="str">
        <f t="shared" si="117"/>
        <v/>
      </c>
      <c r="W235" s="169" t="str">
        <f t="shared" si="117"/>
        <v/>
      </c>
      <c r="X235" s="169" t="str">
        <f t="shared" si="117"/>
        <v/>
      </c>
      <c r="Y235" s="169" t="str">
        <f t="shared" si="117"/>
        <v/>
      </c>
      <c r="Z235" s="169" t="str">
        <f t="shared" si="117"/>
        <v/>
      </c>
      <c r="AA235" s="299" t="str">
        <f t="shared" si="117"/>
        <v/>
      </c>
      <c r="AB235" s="169" t="str">
        <f t="shared" si="118"/>
        <v/>
      </c>
      <c r="AC235" s="169" t="str">
        <f t="shared" si="118"/>
        <v/>
      </c>
      <c r="AD235" s="169" t="str">
        <f t="shared" si="118"/>
        <v/>
      </c>
      <c r="AE235" s="169" t="str">
        <f t="shared" si="118"/>
        <v/>
      </c>
      <c r="AF235" s="169" t="str">
        <f t="shared" si="118"/>
        <v/>
      </c>
      <c r="AG235" s="169" t="str">
        <f t="shared" si="118"/>
        <v/>
      </c>
      <c r="AH235" s="169" t="str">
        <f t="shared" si="118"/>
        <v/>
      </c>
      <c r="AI235" s="169" t="str">
        <f t="shared" si="118"/>
        <v/>
      </c>
      <c r="AJ235" s="299" t="str">
        <f t="shared" si="118"/>
        <v/>
      </c>
      <c r="AK235" s="298" t="str">
        <f t="shared" si="102"/>
        <v/>
      </c>
      <c r="AL235" s="299" t="str">
        <f t="shared" si="102"/>
        <v/>
      </c>
      <c r="AM235" s="169" t="str">
        <f t="shared" si="119"/>
        <v/>
      </c>
      <c r="AN235" s="169" t="str">
        <f t="shared" si="119"/>
        <v/>
      </c>
      <c r="AO235" s="169" t="str">
        <f t="shared" si="119"/>
        <v/>
      </c>
      <c r="AP235" s="169" t="str">
        <f t="shared" si="119"/>
        <v/>
      </c>
      <c r="AQ235" s="169" t="str">
        <f t="shared" si="119"/>
        <v/>
      </c>
      <c r="AR235" s="169" t="str">
        <f t="shared" si="119"/>
        <v/>
      </c>
      <c r="AS235" s="169" t="str">
        <f t="shared" si="119"/>
        <v/>
      </c>
      <c r="AT235" s="169" t="str">
        <f t="shared" si="119"/>
        <v/>
      </c>
      <c r="AU235" s="299" t="str">
        <f t="shared" si="119"/>
        <v/>
      </c>
      <c r="AV235" s="169" t="str">
        <f t="shared" si="112"/>
        <v/>
      </c>
      <c r="AW235" s="169" t="str">
        <f t="shared" si="116"/>
        <v/>
      </c>
      <c r="AX235" s="169" t="str">
        <f t="shared" si="116"/>
        <v/>
      </c>
      <c r="AY235" s="169" t="str">
        <f t="shared" si="107"/>
        <v/>
      </c>
      <c r="AZ235" s="169" t="str">
        <f t="shared" si="107"/>
        <v/>
      </c>
      <c r="BA235" s="299" t="str">
        <f t="shared" si="107"/>
        <v/>
      </c>
      <c r="BB235" s="169" t="str">
        <f t="shared" si="113"/>
        <v/>
      </c>
      <c r="BC235" s="169" t="str">
        <f t="shared" si="124"/>
        <v/>
      </c>
      <c r="BD235" s="169" t="str">
        <f t="shared" si="88"/>
        <v/>
      </c>
      <c r="BE235" s="169" t="str">
        <f t="shared" si="108"/>
        <v/>
      </c>
      <c r="BF235" s="169" t="str">
        <f t="shared" si="108"/>
        <v/>
      </c>
      <c r="BG235" s="169" t="str">
        <f t="shared" si="108"/>
        <v/>
      </c>
      <c r="BH235" s="298"/>
      <c r="BI235" s="169"/>
      <c r="BJ235" s="169"/>
      <c r="BK235" s="169"/>
      <c r="BL235" s="169"/>
      <c r="BM235" s="299"/>
      <c r="BN235" s="298" t="str">
        <f t="shared" si="120"/>
        <v/>
      </c>
      <c r="BO235" s="169" t="str">
        <f t="shared" si="120"/>
        <v/>
      </c>
      <c r="BP235" s="169" t="str">
        <f t="shared" si="120"/>
        <v/>
      </c>
      <c r="BQ235" s="169" t="str">
        <f t="shared" si="120"/>
        <v/>
      </c>
      <c r="BR235" s="169" t="str">
        <f t="shared" si="120"/>
        <v/>
      </c>
      <c r="BS235" s="169" t="str">
        <f t="shared" si="120"/>
        <v/>
      </c>
      <c r="BT235" s="169" t="str">
        <f t="shared" si="120"/>
        <v/>
      </c>
      <c r="BU235" s="169" t="str">
        <f t="shared" si="120"/>
        <v/>
      </c>
      <c r="BV235" s="299" t="str">
        <f t="shared" si="120"/>
        <v/>
      </c>
      <c r="BW235" s="298" t="str">
        <f t="shared" si="121"/>
        <v/>
      </c>
      <c r="BX235" s="169" t="str">
        <f t="shared" si="121"/>
        <v/>
      </c>
      <c r="BY235" s="169" t="str">
        <f t="shared" si="121"/>
        <v/>
      </c>
      <c r="BZ235" s="169" t="str">
        <f t="shared" si="121"/>
        <v/>
      </c>
      <c r="CA235" s="169" t="str">
        <f t="shared" si="121"/>
        <v/>
      </c>
      <c r="CB235" s="169" t="str">
        <f t="shared" si="121"/>
        <v/>
      </c>
      <c r="CC235" s="169" t="str">
        <f t="shared" si="121"/>
        <v/>
      </c>
      <c r="CD235" s="169" t="str">
        <f t="shared" si="121"/>
        <v/>
      </c>
      <c r="CE235" s="299" t="str">
        <f t="shared" si="121"/>
        <v/>
      </c>
      <c r="CF235" s="298"/>
      <c r="CG235" s="169"/>
      <c r="CH235" s="169"/>
      <c r="CI235" s="169"/>
      <c r="CJ235" s="169"/>
      <c r="CK235" s="299"/>
      <c r="CL235" s="298" t="str">
        <f t="shared" si="125"/>
        <v/>
      </c>
      <c r="CM235" s="169" t="str">
        <f t="shared" si="122"/>
        <v/>
      </c>
      <c r="CN235" s="169" t="str">
        <f t="shared" si="123"/>
        <v/>
      </c>
      <c r="CO235" s="169" t="str">
        <f t="shared" ref="CO235:CO266" si="127">IF($P235=CO$159,$DC235,"")</f>
        <v/>
      </c>
      <c r="CP235" s="169" t="str">
        <f t="shared" si="106"/>
        <v/>
      </c>
      <c r="CQ235" s="299" t="str">
        <f t="shared" si="106"/>
        <v/>
      </c>
      <c r="CR235" s="298" t="str">
        <f t="shared" si="111"/>
        <v/>
      </c>
      <c r="CS235" s="169" t="str">
        <f t="shared" si="111"/>
        <v/>
      </c>
      <c r="CT235" s="169" t="str">
        <f t="shared" si="111"/>
        <v/>
      </c>
      <c r="CU235" s="169" t="str">
        <f t="shared" si="111"/>
        <v/>
      </c>
      <c r="CV235" s="169" t="str">
        <f t="shared" si="111"/>
        <v/>
      </c>
      <c r="CW235" s="299" t="str">
        <f t="shared" si="111"/>
        <v/>
      </c>
      <c r="CX235" s="299" t="str">
        <f t="shared" si="126"/>
        <v/>
      </c>
      <c r="CZ235" s="10"/>
      <c r="DB235" s="10">
        <f t="shared" si="114"/>
        <v>0</v>
      </c>
      <c r="DC235" s="10">
        <f t="shared" si="115"/>
        <v>0</v>
      </c>
    </row>
    <row r="236" spans="2:107" hidden="1" outlineLevel="1" x14ac:dyDescent="0.25">
      <c r="B236" s="116"/>
      <c r="C236" s="528">
        <f>IF(C107&gt;0,B107 &amp; " (" &amp;C107 &amp; ")",B107)</f>
        <v>0</v>
      </c>
      <c r="D236" s="529">
        <f>E107</f>
        <v>0</v>
      </c>
      <c r="G236" s="40"/>
      <c r="Q236" s="47"/>
      <c r="S236" s="298" t="str">
        <f t="shared" si="117"/>
        <v/>
      </c>
      <c r="T236" s="169" t="str">
        <f t="shared" si="117"/>
        <v/>
      </c>
      <c r="U236" s="169" t="str">
        <f t="shared" si="117"/>
        <v/>
      </c>
      <c r="V236" s="169" t="str">
        <f t="shared" si="117"/>
        <v/>
      </c>
      <c r="W236" s="169" t="str">
        <f t="shared" si="117"/>
        <v/>
      </c>
      <c r="X236" s="169" t="str">
        <f t="shared" si="117"/>
        <v/>
      </c>
      <c r="Y236" s="169" t="str">
        <f t="shared" si="117"/>
        <v/>
      </c>
      <c r="Z236" s="169" t="str">
        <f t="shared" si="117"/>
        <v/>
      </c>
      <c r="AA236" s="299" t="str">
        <f t="shared" si="117"/>
        <v/>
      </c>
      <c r="AB236" s="169" t="str">
        <f t="shared" si="118"/>
        <v/>
      </c>
      <c r="AC236" s="169" t="str">
        <f t="shared" si="118"/>
        <v/>
      </c>
      <c r="AD236" s="169" t="str">
        <f t="shared" si="118"/>
        <v/>
      </c>
      <c r="AE236" s="169" t="str">
        <f t="shared" si="118"/>
        <v/>
      </c>
      <c r="AF236" s="169" t="str">
        <f t="shared" si="118"/>
        <v/>
      </c>
      <c r="AG236" s="169" t="str">
        <f t="shared" si="118"/>
        <v/>
      </c>
      <c r="AH236" s="169" t="str">
        <f t="shared" si="118"/>
        <v/>
      </c>
      <c r="AI236" s="169" t="str">
        <f t="shared" si="118"/>
        <v/>
      </c>
      <c r="AJ236" s="299" t="str">
        <f t="shared" si="118"/>
        <v/>
      </c>
      <c r="AK236" s="298" t="str">
        <f t="shared" si="102"/>
        <v/>
      </c>
      <c r="AL236" s="299" t="str">
        <f t="shared" si="102"/>
        <v/>
      </c>
      <c r="AM236" s="169" t="str">
        <f t="shared" si="119"/>
        <v/>
      </c>
      <c r="AN236" s="169" t="str">
        <f t="shared" si="119"/>
        <v/>
      </c>
      <c r="AO236" s="169" t="str">
        <f t="shared" si="119"/>
        <v/>
      </c>
      <c r="AP236" s="169" t="str">
        <f t="shared" si="119"/>
        <v/>
      </c>
      <c r="AQ236" s="169" t="str">
        <f t="shared" si="119"/>
        <v/>
      </c>
      <c r="AR236" s="169" t="str">
        <f t="shared" si="119"/>
        <v/>
      </c>
      <c r="AS236" s="169" t="str">
        <f t="shared" si="119"/>
        <v/>
      </c>
      <c r="AT236" s="169" t="str">
        <f t="shared" si="119"/>
        <v/>
      </c>
      <c r="AU236" s="299" t="str">
        <f t="shared" si="119"/>
        <v/>
      </c>
      <c r="AV236" s="169" t="str">
        <f t="shared" si="112"/>
        <v/>
      </c>
      <c r="AW236" s="169" t="str">
        <f t="shared" si="116"/>
        <v/>
      </c>
      <c r="AX236" s="169" t="str">
        <f t="shared" si="116"/>
        <v/>
      </c>
      <c r="AY236" s="169" t="str">
        <f t="shared" si="107"/>
        <v/>
      </c>
      <c r="AZ236" s="169" t="str">
        <f t="shared" si="107"/>
        <v/>
      </c>
      <c r="BA236" s="299" t="str">
        <f t="shared" si="107"/>
        <v/>
      </c>
      <c r="BB236" s="169" t="str">
        <f t="shared" si="113"/>
        <v/>
      </c>
      <c r="BC236" s="169" t="str">
        <f t="shared" si="124"/>
        <v/>
      </c>
      <c r="BD236" s="169" t="str">
        <f t="shared" si="88"/>
        <v/>
      </c>
      <c r="BE236" s="169" t="str">
        <f t="shared" si="108"/>
        <v/>
      </c>
      <c r="BF236" s="169" t="str">
        <f t="shared" si="108"/>
        <v/>
      </c>
      <c r="BG236" s="169" t="str">
        <f t="shared" si="108"/>
        <v/>
      </c>
      <c r="BH236" s="298"/>
      <c r="BI236" s="169"/>
      <c r="BJ236" s="169"/>
      <c r="BK236" s="169"/>
      <c r="BL236" s="169"/>
      <c r="BM236" s="299"/>
      <c r="BN236" s="298" t="str">
        <f t="shared" si="120"/>
        <v/>
      </c>
      <c r="BO236" s="169" t="str">
        <f t="shared" si="120"/>
        <v/>
      </c>
      <c r="BP236" s="169" t="str">
        <f t="shared" si="120"/>
        <v/>
      </c>
      <c r="BQ236" s="169" t="str">
        <f t="shared" si="120"/>
        <v/>
      </c>
      <c r="BR236" s="169" t="str">
        <f t="shared" si="120"/>
        <v/>
      </c>
      <c r="BS236" s="169" t="str">
        <f t="shared" si="120"/>
        <v/>
      </c>
      <c r="BT236" s="169" t="str">
        <f t="shared" si="120"/>
        <v/>
      </c>
      <c r="BU236" s="169" t="str">
        <f t="shared" si="120"/>
        <v/>
      </c>
      <c r="BV236" s="299" t="str">
        <f t="shared" si="120"/>
        <v/>
      </c>
      <c r="BW236" s="298" t="str">
        <f t="shared" si="121"/>
        <v/>
      </c>
      <c r="BX236" s="169" t="str">
        <f t="shared" si="121"/>
        <v/>
      </c>
      <c r="BY236" s="169" t="str">
        <f t="shared" si="121"/>
        <v/>
      </c>
      <c r="BZ236" s="169" t="str">
        <f t="shared" si="121"/>
        <v/>
      </c>
      <c r="CA236" s="169" t="str">
        <f t="shared" si="121"/>
        <v/>
      </c>
      <c r="CB236" s="169" t="str">
        <f t="shared" si="121"/>
        <v/>
      </c>
      <c r="CC236" s="169" t="str">
        <f t="shared" si="121"/>
        <v/>
      </c>
      <c r="CD236" s="169" t="str">
        <f t="shared" si="121"/>
        <v/>
      </c>
      <c r="CE236" s="299" t="str">
        <f t="shared" si="121"/>
        <v/>
      </c>
      <c r="CF236" s="298"/>
      <c r="CG236" s="169"/>
      <c r="CH236" s="169"/>
      <c r="CI236" s="169"/>
      <c r="CJ236" s="169"/>
      <c r="CK236" s="299"/>
      <c r="CL236" s="298" t="str">
        <f t="shared" si="125"/>
        <v/>
      </c>
      <c r="CM236" s="169" t="str">
        <f t="shared" si="122"/>
        <v/>
      </c>
      <c r="CN236" s="169" t="str">
        <f t="shared" si="123"/>
        <v/>
      </c>
      <c r="CO236" s="169" t="str">
        <f t="shared" si="127"/>
        <v/>
      </c>
      <c r="CP236" s="169" t="str">
        <f t="shared" si="106"/>
        <v/>
      </c>
      <c r="CQ236" s="299" t="str">
        <f t="shared" si="106"/>
        <v/>
      </c>
      <c r="CR236" s="298" t="str">
        <f t="shared" ref="CR236:CW245" si="128">IF($P236=CR$159,$DC236,"")</f>
        <v/>
      </c>
      <c r="CS236" s="169" t="str">
        <f t="shared" si="128"/>
        <v/>
      </c>
      <c r="CT236" s="169" t="str">
        <f t="shared" si="128"/>
        <v/>
      </c>
      <c r="CU236" s="169" t="str">
        <f t="shared" si="128"/>
        <v/>
      </c>
      <c r="CV236" s="169" t="str">
        <f t="shared" si="128"/>
        <v/>
      </c>
      <c r="CW236" s="299" t="str">
        <f t="shared" si="128"/>
        <v/>
      </c>
      <c r="CX236" s="299" t="str">
        <f t="shared" si="126"/>
        <v/>
      </c>
      <c r="CZ236" s="10"/>
      <c r="DB236" s="10">
        <f t="shared" si="114"/>
        <v>0</v>
      </c>
      <c r="DC236" s="10">
        <f t="shared" si="115"/>
        <v>0</v>
      </c>
    </row>
    <row r="237" spans="2:107" hidden="1" outlineLevel="1" x14ac:dyDescent="0.25">
      <c r="B237" s="116"/>
      <c r="C237" s="528" t="str">
        <f>IF(C108&gt;0,B108 &amp; " (" &amp;C108 &amp; ")",B108)</f>
        <v xml:space="preserve"> ---Nothing Follows--- </v>
      </c>
      <c r="D237" s="529">
        <f>E108</f>
        <v>0</v>
      </c>
      <c r="G237" s="40"/>
      <c r="Q237" s="47"/>
      <c r="S237" s="298" t="str">
        <f t="shared" si="117"/>
        <v/>
      </c>
      <c r="T237" s="169" t="str">
        <f t="shared" si="117"/>
        <v/>
      </c>
      <c r="U237" s="169" t="str">
        <f t="shared" si="117"/>
        <v/>
      </c>
      <c r="V237" s="169" t="str">
        <f t="shared" si="117"/>
        <v/>
      </c>
      <c r="W237" s="169" t="str">
        <f t="shared" si="117"/>
        <v/>
      </c>
      <c r="X237" s="169" t="str">
        <f t="shared" si="117"/>
        <v/>
      </c>
      <c r="Y237" s="169" t="str">
        <f t="shared" si="117"/>
        <v/>
      </c>
      <c r="Z237" s="169" t="str">
        <f t="shared" si="117"/>
        <v/>
      </c>
      <c r="AA237" s="299" t="str">
        <f t="shared" si="117"/>
        <v/>
      </c>
      <c r="AB237" s="169" t="str">
        <f t="shared" si="118"/>
        <v/>
      </c>
      <c r="AC237" s="169" t="str">
        <f t="shared" si="118"/>
        <v/>
      </c>
      <c r="AD237" s="169" t="str">
        <f t="shared" si="118"/>
        <v/>
      </c>
      <c r="AE237" s="169" t="str">
        <f t="shared" si="118"/>
        <v/>
      </c>
      <c r="AF237" s="169" t="str">
        <f t="shared" si="118"/>
        <v/>
      </c>
      <c r="AG237" s="169" t="str">
        <f t="shared" si="118"/>
        <v/>
      </c>
      <c r="AH237" s="169" t="str">
        <f t="shared" si="118"/>
        <v/>
      </c>
      <c r="AI237" s="169" t="str">
        <f t="shared" si="118"/>
        <v/>
      </c>
      <c r="AJ237" s="299" t="str">
        <f t="shared" si="118"/>
        <v/>
      </c>
      <c r="AK237" s="298" t="str">
        <f t="shared" si="102"/>
        <v/>
      </c>
      <c r="AL237" s="299" t="str">
        <f t="shared" si="102"/>
        <v/>
      </c>
      <c r="AM237" s="169" t="str">
        <f t="shared" si="119"/>
        <v/>
      </c>
      <c r="AN237" s="169" t="str">
        <f t="shared" si="119"/>
        <v/>
      </c>
      <c r="AO237" s="169" t="str">
        <f t="shared" si="119"/>
        <v/>
      </c>
      <c r="AP237" s="169" t="str">
        <f t="shared" si="119"/>
        <v/>
      </c>
      <c r="AQ237" s="169" t="str">
        <f t="shared" si="119"/>
        <v/>
      </c>
      <c r="AR237" s="169" t="str">
        <f t="shared" si="119"/>
        <v/>
      </c>
      <c r="AS237" s="169" t="str">
        <f t="shared" si="119"/>
        <v/>
      </c>
      <c r="AT237" s="169" t="str">
        <f t="shared" si="119"/>
        <v/>
      </c>
      <c r="AU237" s="299" t="str">
        <f t="shared" si="119"/>
        <v/>
      </c>
      <c r="AV237" s="169" t="str">
        <f t="shared" si="112"/>
        <v/>
      </c>
      <c r="AW237" s="169" t="str">
        <f t="shared" si="116"/>
        <v/>
      </c>
      <c r="AX237" s="169" t="str">
        <f t="shared" si="116"/>
        <v/>
      </c>
      <c r="AY237" s="169" t="str">
        <f t="shared" si="107"/>
        <v/>
      </c>
      <c r="AZ237" s="169" t="str">
        <f t="shared" si="107"/>
        <v/>
      </c>
      <c r="BA237" s="299" t="str">
        <f t="shared" si="107"/>
        <v/>
      </c>
      <c r="BB237" s="169" t="str">
        <f t="shared" si="113"/>
        <v/>
      </c>
      <c r="BC237" s="169" t="str">
        <f t="shared" si="124"/>
        <v/>
      </c>
      <c r="BD237" s="169" t="str">
        <f t="shared" si="88"/>
        <v/>
      </c>
      <c r="BE237" s="169" t="str">
        <f t="shared" si="108"/>
        <v/>
      </c>
      <c r="BF237" s="169" t="str">
        <f t="shared" si="108"/>
        <v/>
      </c>
      <c r="BG237" s="169" t="str">
        <f t="shared" si="108"/>
        <v/>
      </c>
      <c r="BH237" s="298"/>
      <c r="BI237" s="169"/>
      <c r="BJ237" s="169"/>
      <c r="BK237" s="169"/>
      <c r="BL237" s="169"/>
      <c r="BM237" s="299"/>
      <c r="BN237" s="298" t="str">
        <f t="shared" si="120"/>
        <v/>
      </c>
      <c r="BO237" s="169" t="str">
        <f t="shared" si="120"/>
        <v/>
      </c>
      <c r="BP237" s="169" t="str">
        <f t="shared" si="120"/>
        <v/>
      </c>
      <c r="BQ237" s="169" t="str">
        <f t="shared" si="120"/>
        <v/>
      </c>
      <c r="BR237" s="169" t="str">
        <f t="shared" si="120"/>
        <v/>
      </c>
      <c r="BS237" s="169" t="str">
        <f t="shared" si="120"/>
        <v/>
      </c>
      <c r="BT237" s="169" t="str">
        <f t="shared" si="120"/>
        <v/>
      </c>
      <c r="BU237" s="169" t="str">
        <f t="shared" si="120"/>
        <v/>
      </c>
      <c r="BV237" s="299" t="str">
        <f t="shared" si="120"/>
        <v/>
      </c>
      <c r="BW237" s="298" t="str">
        <f t="shared" si="121"/>
        <v/>
      </c>
      <c r="BX237" s="169" t="str">
        <f t="shared" si="121"/>
        <v/>
      </c>
      <c r="BY237" s="169" t="str">
        <f t="shared" si="121"/>
        <v/>
      </c>
      <c r="BZ237" s="169" t="str">
        <f t="shared" si="121"/>
        <v/>
      </c>
      <c r="CA237" s="169" t="str">
        <f t="shared" si="121"/>
        <v/>
      </c>
      <c r="CB237" s="169" t="str">
        <f t="shared" si="121"/>
        <v/>
      </c>
      <c r="CC237" s="169" t="str">
        <f t="shared" si="121"/>
        <v/>
      </c>
      <c r="CD237" s="169" t="str">
        <f t="shared" si="121"/>
        <v/>
      </c>
      <c r="CE237" s="299" t="str">
        <f t="shared" si="121"/>
        <v/>
      </c>
      <c r="CF237" s="298"/>
      <c r="CG237" s="169"/>
      <c r="CH237" s="169"/>
      <c r="CI237" s="169"/>
      <c r="CJ237" s="169"/>
      <c r="CK237" s="299"/>
      <c r="CL237" s="298" t="str">
        <f t="shared" si="125"/>
        <v/>
      </c>
      <c r="CM237" s="169" t="str">
        <f t="shared" si="122"/>
        <v/>
      </c>
      <c r="CN237" s="169" t="str">
        <f t="shared" si="123"/>
        <v/>
      </c>
      <c r="CO237" s="169" t="str">
        <f t="shared" si="127"/>
        <v/>
      </c>
      <c r="CP237" s="169" t="str">
        <f t="shared" si="106"/>
        <v/>
      </c>
      <c r="CQ237" s="299" t="str">
        <f t="shared" si="106"/>
        <v/>
      </c>
      <c r="CR237" s="298" t="str">
        <f t="shared" si="128"/>
        <v/>
      </c>
      <c r="CS237" s="169" t="str">
        <f t="shared" si="128"/>
        <v/>
      </c>
      <c r="CT237" s="169" t="str">
        <f t="shared" si="128"/>
        <v/>
      </c>
      <c r="CU237" s="169" t="str">
        <f t="shared" si="128"/>
        <v/>
      </c>
      <c r="CV237" s="169" t="str">
        <f t="shared" si="128"/>
        <v/>
      </c>
      <c r="CW237" s="299" t="str">
        <f t="shared" si="128"/>
        <v/>
      </c>
      <c r="CX237" s="299" t="str">
        <f t="shared" si="126"/>
        <v/>
      </c>
      <c r="CZ237" s="10"/>
      <c r="DB237" s="10">
        <f t="shared" si="114"/>
        <v>0</v>
      </c>
      <c r="DC237" s="10">
        <f t="shared" si="115"/>
        <v>0</v>
      </c>
    </row>
    <row r="238" spans="2:107" ht="15.75" collapsed="1" thickBot="1" x14ac:dyDescent="0.3">
      <c r="B238" s="116"/>
      <c r="C238" s="530">
        <f>IF(C109&gt;0,B109 &amp; " (" &amp;C109 &amp; ")",B109)</f>
        <v>0</v>
      </c>
      <c r="D238" s="531">
        <f>E109</f>
        <v>0</v>
      </c>
      <c r="G238" s="40"/>
      <c r="Q238" s="47"/>
      <c r="S238" s="298" t="str">
        <f t="shared" si="117"/>
        <v/>
      </c>
      <c r="T238" s="169" t="str">
        <f t="shared" si="117"/>
        <v/>
      </c>
      <c r="U238" s="169" t="str">
        <f t="shared" si="117"/>
        <v/>
      </c>
      <c r="V238" s="169" t="str">
        <f t="shared" si="117"/>
        <v/>
      </c>
      <c r="W238" s="169" t="str">
        <f t="shared" si="117"/>
        <v/>
      </c>
      <c r="X238" s="169" t="str">
        <f t="shared" si="117"/>
        <v/>
      </c>
      <c r="Y238" s="169" t="str">
        <f t="shared" si="117"/>
        <v/>
      </c>
      <c r="Z238" s="169" t="str">
        <f t="shared" si="117"/>
        <v/>
      </c>
      <c r="AA238" s="299" t="str">
        <f t="shared" si="117"/>
        <v/>
      </c>
      <c r="AB238" s="169" t="str">
        <f t="shared" si="118"/>
        <v/>
      </c>
      <c r="AC238" s="169" t="str">
        <f t="shared" si="118"/>
        <v/>
      </c>
      <c r="AD238" s="169" t="str">
        <f t="shared" si="118"/>
        <v/>
      </c>
      <c r="AE238" s="169" t="str">
        <f t="shared" si="118"/>
        <v/>
      </c>
      <c r="AF238" s="169" t="str">
        <f t="shared" si="118"/>
        <v/>
      </c>
      <c r="AG238" s="169" t="str">
        <f t="shared" si="118"/>
        <v/>
      </c>
      <c r="AH238" s="169" t="str">
        <f t="shared" si="118"/>
        <v/>
      </c>
      <c r="AI238" s="169" t="str">
        <f t="shared" si="118"/>
        <v/>
      </c>
      <c r="AJ238" s="299" t="str">
        <f t="shared" si="118"/>
        <v/>
      </c>
      <c r="AK238" s="298" t="str">
        <f t="shared" si="102"/>
        <v/>
      </c>
      <c r="AL238" s="299" t="str">
        <f t="shared" si="102"/>
        <v/>
      </c>
      <c r="AM238" s="169" t="str">
        <f t="shared" si="119"/>
        <v/>
      </c>
      <c r="AN238" s="169" t="str">
        <f t="shared" si="119"/>
        <v/>
      </c>
      <c r="AO238" s="169" t="str">
        <f t="shared" si="119"/>
        <v/>
      </c>
      <c r="AP238" s="169" t="str">
        <f t="shared" si="119"/>
        <v/>
      </c>
      <c r="AQ238" s="169" t="str">
        <f t="shared" si="119"/>
        <v/>
      </c>
      <c r="AR238" s="169" t="str">
        <f t="shared" si="119"/>
        <v/>
      </c>
      <c r="AS238" s="169" t="str">
        <f t="shared" si="119"/>
        <v/>
      </c>
      <c r="AT238" s="169" t="str">
        <f t="shared" si="119"/>
        <v/>
      </c>
      <c r="AU238" s="299" t="str">
        <f t="shared" si="119"/>
        <v/>
      </c>
      <c r="AV238" s="169" t="str">
        <f t="shared" si="112"/>
        <v/>
      </c>
      <c r="AW238" s="169" t="str">
        <f t="shared" si="116"/>
        <v/>
      </c>
      <c r="AX238" s="169" t="str">
        <f t="shared" si="116"/>
        <v/>
      </c>
      <c r="AY238" s="169" t="str">
        <f t="shared" si="107"/>
        <v/>
      </c>
      <c r="AZ238" s="169" t="str">
        <f t="shared" si="107"/>
        <v/>
      </c>
      <c r="BA238" s="299" t="str">
        <f t="shared" si="107"/>
        <v/>
      </c>
      <c r="BB238" s="169" t="str">
        <f t="shared" si="113"/>
        <v/>
      </c>
      <c r="BC238" s="169" t="str">
        <f t="shared" si="124"/>
        <v/>
      </c>
      <c r="BD238" s="169" t="str">
        <f t="shared" si="88"/>
        <v/>
      </c>
      <c r="BE238" s="169" t="str">
        <f t="shared" si="108"/>
        <v/>
      </c>
      <c r="BF238" s="169" t="str">
        <f t="shared" si="108"/>
        <v/>
      </c>
      <c r="BG238" s="169" t="str">
        <f t="shared" si="108"/>
        <v/>
      </c>
      <c r="BH238" s="298"/>
      <c r="BI238" s="169"/>
      <c r="BJ238" s="169"/>
      <c r="BK238" s="169"/>
      <c r="BL238" s="169"/>
      <c r="BM238" s="299"/>
      <c r="BN238" s="298" t="str">
        <f t="shared" si="120"/>
        <v/>
      </c>
      <c r="BO238" s="169" t="str">
        <f t="shared" si="120"/>
        <v/>
      </c>
      <c r="BP238" s="169" t="str">
        <f t="shared" si="120"/>
        <v/>
      </c>
      <c r="BQ238" s="169" t="str">
        <f t="shared" si="120"/>
        <v/>
      </c>
      <c r="BR238" s="169" t="str">
        <f t="shared" si="120"/>
        <v/>
      </c>
      <c r="BS238" s="169" t="str">
        <f t="shared" si="120"/>
        <v/>
      </c>
      <c r="BT238" s="169" t="str">
        <f t="shared" si="120"/>
        <v/>
      </c>
      <c r="BU238" s="169" t="str">
        <f t="shared" si="120"/>
        <v/>
      </c>
      <c r="BV238" s="299" t="str">
        <f t="shared" si="120"/>
        <v/>
      </c>
      <c r="BW238" s="298" t="str">
        <f t="shared" si="121"/>
        <v/>
      </c>
      <c r="BX238" s="169" t="str">
        <f t="shared" si="121"/>
        <v/>
      </c>
      <c r="BY238" s="169" t="str">
        <f t="shared" si="121"/>
        <v/>
      </c>
      <c r="BZ238" s="169" t="str">
        <f t="shared" si="121"/>
        <v/>
      </c>
      <c r="CA238" s="169" t="str">
        <f t="shared" si="121"/>
        <v/>
      </c>
      <c r="CB238" s="169" t="str">
        <f t="shared" si="121"/>
        <v/>
      </c>
      <c r="CC238" s="169" t="str">
        <f t="shared" si="121"/>
        <v/>
      </c>
      <c r="CD238" s="169" t="str">
        <f t="shared" si="121"/>
        <v/>
      </c>
      <c r="CE238" s="299" t="str">
        <f t="shared" si="121"/>
        <v/>
      </c>
      <c r="CF238" s="298"/>
      <c r="CG238" s="169"/>
      <c r="CH238" s="169"/>
      <c r="CI238" s="169"/>
      <c r="CJ238" s="169"/>
      <c r="CK238" s="299"/>
      <c r="CL238" s="298" t="str">
        <f t="shared" si="125"/>
        <v/>
      </c>
      <c r="CM238" s="169" t="str">
        <f t="shared" si="122"/>
        <v/>
      </c>
      <c r="CN238" s="169" t="str">
        <f t="shared" si="123"/>
        <v/>
      </c>
      <c r="CO238" s="169" t="str">
        <f t="shared" si="127"/>
        <v/>
      </c>
      <c r="CP238" s="169" t="str">
        <f t="shared" si="106"/>
        <v/>
      </c>
      <c r="CQ238" s="299" t="str">
        <f t="shared" si="106"/>
        <v/>
      </c>
      <c r="CR238" s="298" t="str">
        <f t="shared" si="128"/>
        <v/>
      </c>
      <c r="CS238" s="169" t="str">
        <f t="shared" si="128"/>
        <v/>
      </c>
      <c r="CT238" s="169" t="str">
        <f t="shared" si="128"/>
        <v/>
      </c>
      <c r="CU238" s="169" t="str">
        <f t="shared" si="128"/>
        <v/>
      </c>
      <c r="CV238" s="169" t="str">
        <f t="shared" si="128"/>
        <v/>
      </c>
      <c r="CW238" s="299" t="str">
        <f t="shared" si="128"/>
        <v/>
      </c>
      <c r="CX238" s="299" t="str">
        <f t="shared" si="126"/>
        <v/>
      </c>
      <c r="CZ238" s="10"/>
      <c r="DB238" s="10">
        <f t="shared" si="114"/>
        <v>0</v>
      </c>
      <c r="DC238" s="10">
        <f t="shared" si="115"/>
        <v>0</v>
      </c>
    </row>
    <row r="239" spans="2:107" ht="15.75" thickTop="1" x14ac:dyDescent="0.25">
      <c r="B239" s="116"/>
      <c r="C239" s="528">
        <f>IF(C110&gt;0,B110 &amp; " (" &amp;C110 &amp; ")",B110)</f>
        <v>0</v>
      </c>
      <c r="D239" s="529">
        <f>E110</f>
        <v>0</v>
      </c>
      <c r="G239" s="40"/>
      <c r="Q239" s="47"/>
      <c r="S239" s="298" t="str">
        <f t="shared" si="117"/>
        <v/>
      </c>
      <c r="T239" s="169" t="str">
        <f t="shared" si="117"/>
        <v/>
      </c>
      <c r="U239" s="169" t="str">
        <f t="shared" si="117"/>
        <v/>
      </c>
      <c r="V239" s="169" t="str">
        <f t="shared" si="117"/>
        <v/>
      </c>
      <c r="W239" s="169" t="str">
        <f t="shared" si="117"/>
        <v/>
      </c>
      <c r="X239" s="169" t="str">
        <f t="shared" si="117"/>
        <v/>
      </c>
      <c r="Y239" s="169" t="str">
        <f t="shared" si="117"/>
        <v/>
      </c>
      <c r="Z239" s="169" t="str">
        <f t="shared" si="117"/>
        <v/>
      </c>
      <c r="AA239" s="299" t="str">
        <f t="shared" si="117"/>
        <v/>
      </c>
      <c r="AB239" s="169" t="str">
        <f t="shared" si="118"/>
        <v/>
      </c>
      <c r="AC239" s="169" t="str">
        <f t="shared" si="118"/>
        <v/>
      </c>
      <c r="AD239" s="169" t="str">
        <f t="shared" si="118"/>
        <v/>
      </c>
      <c r="AE239" s="169" t="str">
        <f t="shared" si="118"/>
        <v/>
      </c>
      <c r="AF239" s="169" t="str">
        <f t="shared" si="118"/>
        <v/>
      </c>
      <c r="AG239" s="169" t="str">
        <f t="shared" si="118"/>
        <v/>
      </c>
      <c r="AH239" s="169" t="str">
        <f t="shared" si="118"/>
        <v/>
      </c>
      <c r="AI239" s="169" t="str">
        <f t="shared" si="118"/>
        <v/>
      </c>
      <c r="AJ239" s="299" t="str">
        <f t="shared" si="118"/>
        <v/>
      </c>
      <c r="AK239" s="298" t="str">
        <f t="shared" si="102"/>
        <v/>
      </c>
      <c r="AL239" s="299" t="str">
        <f t="shared" si="102"/>
        <v/>
      </c>
      <c r="AM239" s="169" t="str">
        <f t="shared" si="119"/>
        <v/>
      </c>
      <c r="AN239" s="169" t="str">
        <f t="shared" si="119"/>
        <v/>
      </c>
      <c r="AO239" s="169" t="str">
        <f t="shared" si="119"/>
        <v/>
      </c>
      <c r="AP239" s="169" t="str">
        <f t="shared" si="119"/>
        <v/>
      </c>
      <c r="AQ239" s="169" t="str">
        <f t="shared" si="119"/>
        <v/>
      </c>
      <c r="AR239" s="169" t="str">
        <f t="shared" si="119"/>
        <v/>
      </c>
      <c r="AS239" s="169" t="str">
        <f t="shared" si="119"/>
        <v/>
      </c>
      <c r="AT239" s="169" t="str">
        <f t="shared" si="119"/>
        <v/>
      </c>
      <c r="AU239" s="299" t="str">
        <f t="shared" si="119"/>
        <v/>
      </c>
      <c r="AV239" s="169" t="str">
        <f t="shared" si="112"/>
        <v/>
      </c>
      <c r="AW239" s="169" t="str">
        <f t="shared" si="116"/>
        <v/>
      </c>
      <c r="AX239" s="169" t="str">
        <f t="shared" si="116"/>
        <v/>
      </c>
      <c r="AY239" s="169" t="str">
        <f t="shared" si="107"/>
        <v/>
      </c>
      <c r="AZ239" s="169" t="str">
        <f t="shared" si="107"/>
        <v/>
      </c>
      <c r="BA239" s="299" t="str">
        <f t="shared" si="107"/>
        <v/>
      </c>
      <c r="BB239" s="169" t="str">
        <f t="shared" si="113"/>
        <v/>
      </c>
      <c r="BC239" s="169" t="str">
        <f t="shared" si="124"/>
        <v/>
      </c>
      <c r="BD239" s="169" t="str">
        <f t="shared" si="88"/>
        <v/>
      </c>
      <c r="BE239" s="169" t="str">
        <f t="shared" si="108"/>
        <v/>
      </c>
      <c r="BF239" s="169" t="str">
        <f t="shared" si="108"/>
        <v/>
      </c>
      <c r="BG239" s="169" t="str">
        <f t="shared" si="108"/>
        <v/>
      </c>
      <c r="BH239" s="298"/>
      <c r="BI239" s="169"/>
      <c r="BJ239" s="169"/>
      <c r="BK239" s="169"/>
      <c r="BL239" s="169"/>
      <c r="BM239" s="299"/>
      <c r="BN239" s="298" t="str">
        <f t="shared" si="120"/>
        <v/>
      </c>
      <c r="BO239" s="169" t="str">
        <f t="shared" si="120"/>
        <v/>
      </c>
      <c r="BP239" s="169" t="str">
        <f t="shared" si="120"/>
        <v/>
      </c>
      <c r="BQ239" s="169" t="str">
        <f t="shared" si="120"/>
        <v/>
      </c>
      <c r="BR239" s="169" t="str">
        <f t="shared" si="120"/>
        <v/>
      </c>
      <c r="BS239" s="169" t="str">
        <f t="shared" si="120"/>
        <v/>
      </c>
      <c r="BT239" s="169" t="str">
        <f t="shared" si="120"/>
        <v/>
      </c>
      <c r="BU239" s="169" t="str">
        <f t="shared" si="120"/>
        <v/>
      </c>
      <c r="BV239" s="299" t="str">
        <f t="shared" si="120"/>
        <v/>
      </c>
      <c r="BW239" s="298" t="str">
        <f t="shared" si="121"/>
        <v/>
      </c>
      <c r="BX239" s="169" t="str">
        <f t="shared" si="121"/>
        <v/>
      </c>
      <c r="BY239" s="169" t="str">
        <f t="shared" si="121"/>
        <v/>
      </c>
      <c r="BZ239" s="169" t="str">
        <f t="shared" si="121"/>
        <v/>
      </c>
      <c r="CA239" s="169" t="str">
        <f t="shared" si="121"/>
        <v/>
      </c>
      <c r="CB239" s="169" t="str">
        <f t="shared" si="121"/>
        <v/>
      </c>
      <c r="CC239" s="169" t="str">
        <f t="shared" si="121"/>
        <v/>
      </c>
      <c r="CD239" s="169" t="str">
        <f t="shared" si="121"/>
        <v/>
      </c>
      <c r="CE239" s="299" t="str">
        <f t="shared" si="121"/>
        <v/>
      </c>
      <c r="CF239" s="298"/>
      <c r="CG239" s="169"/>
      <c r="CH239" s="169"/>
      <c r="CI239" s="169"/>
      <c r="CJ239" s="169"/>
      <c r="CK239" s="299"/>
      <c r="CL239" s="298" t="str">
        <f t="shared" si="125"/>
        <v/>
      </c>
      <c r="CM239" s="169" t="str">
        <f t="shared" si="122"/>
        <v/>
      </c>
      <c r="CN239" s="169" t="str">
        <f t="shared" si="123"/>
        <v/>
      </c>
      <c r="CO239" s="169" t="str">
        <f t="shared" si="127"/>
        <v/>
      </c>
      <c r="CP239" s="169" t="str">
        <f t="shared" si="106"/>
        <v/>
      </c>
      <c r="CQ239" s="299" t="str">
        <f t="shared" si="106"/>
        <v/>
      </c>
      <c r="CR239" s="298" t="str">
        <f t="shared" si="128"/>
        <v/>
      </c>
      <c r="CS239" s="169" t="str">
        <f t="shared" si="128"/>
        <v/>
      </c>
      <c r="CT239" s="169" t="str">
        <f t="shared" si="128"/>
        <v/>
      </c>
      <c r="CU239" s="169" t="str">
        <f t="shared" si="128"/>
        <v/>
      </c>
      <c r="CV239" s="169" t="str">
        <f t="shared" si="128"/>
        <v/>
      </c>
      <c r="CW239" s="299" t="str">
        <f t="shared" si="128"/>
        <v/>
      </c>
      <c r="CX239" s="299" t="str">
        <f t="shared" si="126"/>
        <v/>
      </c>
      <c r="CZ239" s="10"/>
      <c r="DB239" s="10">
        <f t="shared" si="114"/>
        <v>0</v>
      </c>
      <c r="DC239" s="10">
        <f t="shared" si="115"/>
        <v>0</v>
      </c>
    </row>
    <row r="240" spans="2:107" x14ac:dyDescent="0.25">
      <c r="B240" s="116"/>
      <c r="C240" s="532" t="s">
        <v>488</v>
      </c>
      <c r="D240" s="529">
        <f t="shared" ref="D240:D249" si="129">E112</f>
        <v>0</v>
      </c>
      <c r="G240" s="40"/>
      <c r="Q240" s="47"/>
      <c r="S240" s="298" t="str">
        <f t="shared" si="117"/>
        <v/>
      </c>
      <c r="T240" s="169" t="str">
        <f t="shared" si="117"/>
        <v/>
      </c>
      <c r="U240" s="169" t="str">
        <f t="shared" si="117"/>
        <v/>
      </c>
      <c r="V240" s="169" t="str">
        <f t="shared" si="117"/>
        <v/>
      </c>
      <c r="W240" s="169" t="str">
        <f t="shared" si="117"/>
        <v/>
      </c>
      <c r="X240" s="169" t="str">
        <f t="shared" si="117"/>
        <v/>
      </c>
      <c r="Y240" s="169" t="str">
        <f t="shared" si="117"/>
        <v/>
      </c>
      <c r="Z240" s="169" t="str">
        <f t="shared" si="117"/>
        <v/>
      </c>
      <c r="AA240" s="299" t="str">
        <f t="shared" si="117"/>
        <v/>
      </c>
      <c r="AB240" s="169" t="str">
        <f t="shared" si="118"/>
        <v/>
      </c>
      <c r="AC240" s="169" t="str">
        <f t="shared" si="118"/>
        <v/>
      </c>
      <c r="AD240" s="169" t="str">
        <f t="shared" si="118"/>
        <v/>
      </c>
      <c r="AE240" s="169" t="str">
        <f t="shared" si="118"/>
        <v/>
      </c>
      <c r="AF240" s="169" t="str">
        <f t="shared" si="118"/>
        <v/>
      </c>
      <c r="AG240" s="169" t="str">
        <f t="shared" si="118"/>
        <v/>
      </c>
      <c r="AH240" s="169" t="str">
        <f t="shared" si="118"/>
        <v/>
      </c>
      <c r="AI240" s="169" t="str">
        <f t="shared" si="118"/>
        <v/>
      </c>
      <c r="AJ240" s="299" t="str">
        <f t="shared" si="118"/>
        <v/>
      </c>
      <c r="AK240" s="298" t="str">
        <f t="shared" si="102"/>
        <v/>
      </c>
      <c r="AL240" s="299" t="str">
        <f t="shared" si="102"/>
        <v/>
      </c>
      <c r="AM240" s="169" t="str">
        <f t="shared" si="119"/>
        <v/>
      </c>
      <c r="AN240" s="169" t="str">
        <f t="shared" si="119"/>
        <v/>
      </c>
      <c r="AO240" s="169" t="str">
        <f t="shared" si="119"/>
        <v/>
      </c>
      <c r="AP240" s="169" t="str">
        <f t="shared" si="119"/>
        <v/>
      </c>
      <c r="AQ240" s="169" t="str">
        <f t="shared" si="119"/>
        <v/>
      </c>
      <c r="AR240" s="169" t="str">
        <f t="shared" si="119"/>
        <v/>
      </c>
      <c r="AS240" s="169" t="str">
        <f t="shared" si="119"/>
        <v/>
      </c>
      <c r="AT240" s="169" t="str">
        <f t="shared" si="119"/>
        <v/>
      </c>
      <c r="AU240" s="299" t="str">
        <f t="shared" si="119"/>
        <v/>
      </c>
      <c r="AV240" s="169" t="str">
        <f t="shared" si="112"/>
        <v/>
      </c>
      <c r="AW240" s="169" t="str">
        <f t="shared" si="116"/>
        <v/>
      </c>
      <c r="AX240" s="169" t="str">
        <f t="shared" si="116"/>
        <v/>
      </c>
      <c r="AY240" s="169" t="str">
        <f t="shared" si="107"/>
        <v/>
      </c>
      <c r="AZ240" s="169" t="str">
        <f t="shared" si="107"/>
        <v/>
      </c>
      <c r="BA240" s="299" t="str">
        <f t="shared" si="107"/>
        <v/>
      </c>
      <c r="BB240" s="169" t="str">
        <f t="shared" si="113"/>
        <v/>
      </c>
      <c r="BC240" s="169" t="str">
        <f t="shared" si="124"/>
        <v/>
      </c>
      <c r="BD240" s="169" t="str">
        <f t="shared" si="88"/>
        <v/>
      </c>
      <c r="BE240" s="169" t="str">
        <f t="shared" si="108"/>
        <v/>
      </c>
      <c r="BF240" s="169" t="str">
        <f t="shared" si="108"/>
        <v/>
      </c>
      <c r="BG240" s="169" t="str">
        <f t="shared" si="108"/>
        <v/>
      </c>
      <c r="BH240" s="298"/>
      <c r="BI240" s="169"/>
      <c r="BJ240" s="169"/>
      <c r="BK240" s="169"/>
      <c r="BL240" s="169"/>
      <c r="BM240" s="299"/>
      <c r="BN240" s="298" t="str">
        <f t="shared" si="120"/>
        <v/>
      </c>
      <c r="BO240" s="169" t="str">
        <f t="shared" si="120"/>
        <v/>
      </c>
      <c r="BP240" s="169" t="str">
        <f t="shared" si="120"/>
        <v/>
      </c>
      <c r="BQ240" s="169" t="str">
        <f t="shared" si="120"/>
        <v/>
      </c>
      <c r="BR240" s="169" t="str">
        <f t="shared" si="120"/>
        <v/>
      </c>
      <c r="BS240" s="169" t="str">
        <f t="shared" si="120"/>
        <v/>
      </c>
      <c r="BT240" s="169" t="str">
        <f t="shared" si="120"/>
        <v/>
      </c>
      <c r="BU240" s="169" t="str">
        <f t="shared" si="120"/>
        <v/>
      </c>
      <c r="BV240" s="299" t="str">
        <f t="shared" si="120"/>
        <v/>
      </c>
      <c r="BW240" s="298" t="str">
        <f t="shared" si="121"/>
        <v/>
      </c>
      <c r="BX240" s="169" t="str">
        <f t="shared" si="121"/>
        <v/>
      </c>
      <c r="BY240" s="169" t="str">
        <f t="shared" si="121"/>
        <v/>
      </c>
      <c r="BZ240" s="169" t="str">
        <f t="shared" si="121"/>
        <v/>
      </c>
      <c r="CA240" s="169" t="str">
        <f t="shared" si="121"/>
        <v/>
      </c>
      <c r="CB240" s="169" t="str">
        <f t="shared" si="121"/>
        <v/>
      </c>
      <c r="CC240" s="169" t="str">
        <f t="shared" si="121"/>
        <v/>
      </c>
      <c r="CD240" s="169" t="str">
        <f t="shared" si="121"/>
        <v/>
      </c>
      <c r="CE240" s="299" t="str">
        <f t="shared" si="121"/>
        <v/>
      </c>
      <c r="CF240" s="298"/>
      <c r="CG240" s="169"/>
      <c r="CH240" s="169"/>
      <c r="CI240" s="169"/>
      <c r="CJ240" s="169"/>
      <c r="CK240" s="299"/>
      <c r="CL240" s="298" t="str">
        <f t="shared" si="125"/>
        <v/>
      </c>
      <c r="CM240" s="169" t="str">
        <f t="shared" si="122"/>
        <v/>
      </c>
      <c r="CN240" s="169" t="str">
        <f t="shared" si="123"/>
        <v/>
      </c>
      <c r="CO240" s="169" t="str">
        <f t="shared" si="127"/>
        <v/>
      </c>
      <c r="CP240" s="169" t="str">
        <f t="shared" si="106"/>
        <v/>
      </c>
      <c r="CQ240" s="299" t="str">
        <f t="shared" si="106"/>
        <v/>
      </c>
      <c r="CR240" s="298" t="str">
        <f t="shared" si="128"/>
        <v/>
      </c>
      <c r="CS240" s="169" t="str">
        <f t="shared" si="128"/>
        <v/>
      </c>
      <c r="CT240" s="169" t="str">
        <f t="shared" si="128"/>
        <v/>
      </c>
      <c r="CU240" s="169" t="str">
        <f t="shared" si="128"/>
        <v/>
      </c>
      <c r="CV240" s="169" t="str">
        <f t="shared" si="128"/>
        <v/>
      </c>
      <c r="CW240" s="299" t="str">
        <f t="shared" si="128"/>
        <v/>
      </c>
      <c r="CX240" s="299" t="str">
        <f t="shared" si="126"/>
        <v/>
      </c>
      <c r="CZ240" s="10"/>
      <c r="DB240" s="10">
        <f t="shared" si="114"/>
        <v>0</v>
      </c>
      <c r="DC240" s="10">
        <f t="shared" si="115"/>
        <v>0</v>
      </c>
    </row>
    <row r="241" spans="2:107" hidden="1" outlineLevel="1" x14ac:dyDescent="0.25">
      <c r="B241" s="116"/>
      <c r="C241" s="528">
        <f t="shared" ref="C241:C249" si="130">IF(C113&gt;0,B113 &amp; " (" &amp;C113 &amp; ")",B113)</f>
        <v>0</v>
      </c>
      <c r="D241" s="529">
        <f t="shared" si="129"/>
        <v>0</v>
      </c>
      <c r="G241" s="40"/>
      <c r="Q241" s="47"/>
      <c r="S241" s="298" t="str">
        <f t="shared" si="117"/>
        <v/>
      </c>
      <c r="T241" s="169" t="str">
        <f t="shared" si="117"/>
        <v/>
      </c>
      <c r="U241" s="169" t="str">
        <f t="shared" si="117"/>
        <v/>
      </c>
      <c r="V241" s="169" t="str">
        <f t="shared" si="117"/>
        <v/>
      </c>
      <c r="W241" s="169" t="str">
        <f t="shared" si="117"/>
        <v/>
      </c>
      <c r="X241" s="169" t="str">
        <f t="shared" si="117"/>
        <v/>
      </c>
      <c r="Y241" s="169" t="str">
        <f t="shared" si="117"/>
        <v/>
      </c>
      <c r="Z241" s="169" t="str">
        <f t="shared" si="117"/>
        <v/>
      </c>
      <c r="AA241" s="299" t="str">
        <f t="shared" si="117"/>
        <v/>
      </c>
      <c r="AB241" s="169" t="str">
        <f t="shared" si="118"/>
        <v/>
      </c>
      <c r="AC241" s="169" t="str">
        <f t="shared" si="118"/>
        <v/>
      </c>
      <c r="AD241" s="169" t="str">
        <f t="shared" si="118"/>
        <v/>
      </c>
      <c r="AE241" s="169" t="str">
        <f t="shared" si="118"/>
        <v/>
      </c>
      <c r="AF241" s="169" t="str">
        <f t="shared" si="118"/>
        <v/>
      </c>
      <c r="AG241" s="169" t="str">
        <f t="shared" si="118"/>
        <v/>
      </c>
      <c r="AH241" s="169" t="str">
        <f t="shared" si="118"/>
        <v/>
      </c>
      <c r="AI241" s="169" t="str">
        <f t="shared" si="118"/>
        <v/>
      </c>
      <c r="AJ241" s="299" t="str">
        <f t="shared" si="118"/>
        <v/>
      </c>
      <c r="AK241" s="298" t="str">
        <f t="shared" si="102"/>
        <v/>
      </c>
      <c r="AL241" s="299" t="str">
        <f t="shared" si="102"/>
        <v/>
      </c>
      <c r="AM241" s="169" t="str">
        <f t="shared" si="119"/>
        <v/>
      </c>
      <c r="AN241" s="169" t="str">
        <f t="shared" si="119"/>
        <v/>
      </c>
      <c r="AO241" s="169" t="str">
        <f t="shared" si="119"/>
        <v/>
      </c>
      <c r="AP241" s="169" t="str">
        <f t="shared" si="119"/>
        <v/>
      </c>
      <c r="AQ241" s="169" t="str">
        <f t="shared" si="119"/>
        <v/>
      </c>
      <c r="AR241" s="169" t="str">
        <f t="shared" si="119"/>
        <v/>
      </c>
      <c r="AS241" s="169" t="str">
        <f t="shared" si="119"/>
        <v/>
      </c>
      <c r="AT241" s="169" t="str">
        <f t="shared" si="119"/>
        <v/>
      </c>
      <c r="AU241" s="299" t="str">
        <f t="shared" si="119"/>
        <v/>
      </c>
      <c r="AV241" s="169" t="str">
        <f t="shared" si="112"/>
        <v/>
      </c>
      <c r="AW241" s="169" t="str">
        <f t="shared" si="116"/>
        <v/>
      </c>
      <c r="AX241" s="169" t="str">
        <f t="shared" si="116"/>
        <v/>
      </c>
      <c r="AY241" s="169" t="str">
        <f t="shared" si="107"/>
        <v/>
      </c>
      <c r="AZ241" s="169" t="str">
        <f t="shared" si="107"/>
        <v/>
      </c>
      <c r="BA241" s="299" t="str">
        <f t="shared" si="107"/>
        <v/>
      </c>
      <c r="BB241" s="169" t="str">
        <f t="shared" si="113"/>
        <v/>
      </c>
      <c r="BC241" s="169" t="str">
        <f t="shared" si="124"/>
        <v/>
      </c>
      <c r="BD241" s="169" t="str">
        <f t="shared" ref="BD241:BD272" si="131">IF($K241=BD$159,$DC241,"")</f>
        <v/>
      </c>
      <c r="BE241" s="169" t="str">
        <f t="shared" si="108"/>
        <v/>
      </c>
      <c r="BF241" s="169" t="str">
        <f t="shared" si="108"/>
        <v/>
      </c>
      <c r="BG241" s="169" t="str">
        <f t="shared" si="108"/>
        <v/>
      </c>
      <c r="BH241" s="298"/>
      <c r="BI241" s="169"/>
      <c r="BJ241" s="169"/>
      <c r="BK241" s="169"/>
      <c r="BL241" s="169"/>
      <c r="BM241" s="299"/>
      <c r="BN241" s="298" t="str">
        <f t="shared" si="120"/>
        <v/>
      </c>
      <c r="BO241" s="169" t="str">
        <f t="shared" si="120"/>
        <v/>
      </c>
      <c r="BP241" s="169" t="str">
        <f t="shared" si="120"/>
        <v/>
      </c>
      <c r="BQ241" s="169" t="str">
        <f t="shared" si="120"/>
        <v/>
      </c>
      <c r="BR241" s="169" t="str">
        <f t="shared" si="120"/>
        <v/>
      </c>
      <c r="BS241" s="169" t="str">
        <f t="shared" si="120"/>
        <v/>
      </c>
      <c r="BT241" s="169" t="str">
        <f t="shared" si="120"/>
        <v/>
      </c>
      <c r="BU241" s="169" t="str">
        <f t="shared" si="120"/>
        <v/>
      </c>
      <c r="BV241" s="299" t="str">
        <f t="shared" si="120"/>
        <v/>
      </c>
      <c r="BW241" s="298" t="str">
        <f t="shared" si="121"/>
        <v/>
      </c>
      <c r="BX241" s="169" t="str">
        <f t="shared" si="121"/>
        <v/>
      </c>
      <c r="BY241" s="169" t="str">
        <f t="shared" si="121"/>
        <v/>
      </c>
      <c r="BZ241" s="169" t="str">
        <f t="shared" si="121"/>
        <v/>
      </c>
      <c r="CA241" s="169" t="str">
        <f t="shared" si="121"/>
        <v/>
      </c>
      <c r="CB241" s="169" t="str">
        <f t="shared" si="121"/>
        <v/>
      </c>
      <c r="CC241" s="169" t="str">
        <f t="shared" si="121"/>
        <v/>
      </c>
      <c r="CD241" s="169" t="str">
        <f t="shared" si="121"/>
        <v/>
      </c>
      <c r="CE241" s="299" t="str">
        <f t="shared" si="121"/>
        <v/>
      </c>
      <c r="CF241" s="298"/>
      <c r="CG241" s="169"/>
      <c r="CH241" s="169"/>
      <c r="CI241" s="169"/>
      <c r="CJ241" s="169"/>
      <c r="CK241" s="299"/>
      <c r="CL241" s="298" t="str">
        <f t="shared" si="125"/>
        <v/>
      </c>
      <c r="CM241" s="169" t="str">
        <f t="shared" si="122"/>
        <v/>
      </c>
      <c r="CN241" s="169" t="str">
        <f t="shared" si="123"/>
        <v/>
      </c>
      <c r="CO241" s="169" t="str">
        <f t="shared" si="127"/>
        <v/>
      </c>
      <c r="CP241" s="169" t="str">
        <f t="shared" si="106"/>
        <v/>
      </c>
      <c r="CQ241" s="299" t="str">
        <f t="shared" si="106"/>
        <v/>
      </c>
      <c r="CR241" s="298" t="str">
        <f t="shared" si="128"/>
        <v/>
      </c>
      <c r="CS241" s="169" t="str">
        <f t="shared" si="128"/>
        <v/>
      </c>
      <c r="CT241" s="169" t="str">
        <f t="shared" si="128"/>
        <v/>
      </c>
      <c r="CU241" s="169" t="str">
        <f t="shared" si="128"/>
        <v/>
      </c>
      <c r="CV241" s="169" t="str">
        <f t="shared" si="128"/>
        <v/>
      </c>
      <c r="CW241" s="299" t="str">
        <f t="shared" si="128"/>
        <v/>
      </c>
      <c r="CX241" s="299" t="str">
        <f t="shared" si="126"/>
        <v/>
      </c>
      <c r="CZ241" s="10"/>
      <c r="DB241" s="10">
        <f t="shared" si="114"/>
        <v>0</v>
      </c>
      <c r="DC241" s="10">
        <f t="shared" si="115"/>
        <v>0</v>
      </c>
    </row>
    <row r="242" spans="2:107" hidden="1" outlineLevel="1" x14ac:dyDescent="0.25">
      <c r="B242" s="116"/>
      <c r="C242" s="528" t="str">
        <f t="shared" si="130"/>
        <v>XXX</v>
      </c>
      <c r="D242" s="529">
        <f t="shared" si="129"/>
        <v>0</v>
      </c>
      <c r="G242" s="40"/>
      <c r="Q242" s="47"/>
      <c r="S242" s="298" t="str">
        <f t="shared" ref="S242:AA251" si="132">IF($G242=S$159,$DB242,"")</f>
        <v/>
      </c>
      <c r="T242" s="169" t="str">
        <f t="shared" si="132"/>
        <v/>
      </c>
      <c r="U242" s="169" t="str">
        <f t="shared" si="132"/>
        <v/>
      </c>
      <c r="V242" s="169" t="str">
        <f t="shared" si="132"/>
        <v/>
      </c>
      <c r="W242" s="169" t="str">
        <f t="shared" si="132"/>
        <v/>
      </c>
      <c r="X242" s="169" t="str">
        <f t="shared" si="132"/>
        <v/>
      </c>
      <c r="Y242" s="169" t="str">
        <f t="shared" si="132"/>
        <v/>
      </c>
      <c r="Z242" s="169" t="str">
        <f t="shared" si="132"/>
        <v/>
      </c>
      <c r="AA242" s="299" t="str">
        <f t="shared" si="132"/>
        <v/>
      </c>
      <c r="AB242" s="169" t="str">
        <f t="shared" ref="AB242:AJ251" si="133">IF($H242=AB$159,$DB242,"")</f>
        <v/>
      </c>
      <c r="AC242" s="169" t="str">
        <f t="shared" si="133"/>
        <v/>
      </c>
      <c r="AD242" s="169" t="str">
        <f t="shared" si="133"/>
        <v/>
      </c>
      <c r="AE242" s="169" t="str">
        <f t="shared" si="133"/>
        <v/>
      </c>
      <c r="AF242" s="169" t="str">
        <f t="shared" si="133"/>
        <v/>
      </c>
      <c r="AG242" s="169" t="str">
        <f t="shared" si="133"/>
        <v/>
      </c>
      <c r="AH242" s="169" t="str">
        <f t="shared" si="133"/>
        <v/>
      </c>
      <c r="AI242" s="169" t="str">
        <f t="shared" si="133"/>
        <v/>
      </c>
      <c r="AJ242" s="299" t="str">
        <f t="shared" si="133"/>
        <v/>
      </c>
      <c r="AK242" s="298" t="str">
        <f t="shared" ref="AK242:AL261" si="134">IF($P242=AK$159,$DC242,"")</f>
        <v/>
      </c>
      <c r="AL242" s="299" t="str">
        <f t="shared" si="134"/>
        <v/>
      </c>
      <c r="AM242" s="169" t="str">
        <f t="shared" ref="AM242:AU251" si="135">IF($I242=AM$159,$DB242,"")</f>
        <v/>
      </c>
      <c r="AN242" s="169" t="str">
        <f t="shared" si="135"/>
        <v/>
      </c>
      <c r="AO242" s="169" t="str">
        <f t="shared" si="135"/>
        <v/>
      </c>
      <c r="AP242" s="169" t="str">
        <f t="shared" si="135"/>
        <v/>
      </c>
      <c r="AQ242" s="169" t="str">
        <f t="shared" si="135"/>
        <v/>
      </c>
      <c r="AR242" s="169" t="str">
        <f t="shared" si="135"/>
        <v/>
      </c>
      <c r="AS242" s="169" t="str">
        <f t="shared" si="135"/>
        <v/>
      </c>
      <c r="AT242" s="169" t="str">
        <f t="shared" si="135"/>
        <v/>
      </c>
      <c r="AU242" s="299" t="str">
        <f t="shared" si="135"/>
        <v/>
      </c>
      <c r="AV242" s="169" t="str">
        <f t="shared" si="112"/>
        <v/>
      </c>
      <c r="AW242" s="169" t="str">
        <f t="shared" si="116"/>
        <v/>
      </c>
      <c r="AX242" s="169" t="str">
        <f t="shared" si="116"/>
        <v/>
      </c>
      <c r="AY242" s="169" t="str">
        <f t="shared" si="107"/>
        <v/>
      </c>
      <c r="AZ242" s="169" t="str">
        <f t="shared" si="107"/>
        <v/>
      </c>
      <c r="BA242" s="299" t="str">
        <f t="shared" si="107"/>
        <v/>
      </c>
      <c r="BB242" s="169" t="str">
        <f t="shared" si="113"/>
        <v/>
      </c>
      <c r="BC242" s="169" t="str">
        <f t="shared" si="124"/>
        <v/>
      </c>
      <c r="BD242" s="169" t="str">
        <f t="shared" si="131"/>
        <v/>
      </c>
      <c r="BE242" s="169" t="str">
        <f t="shared" si="108"/>
        <v/>
      </c>
      <c r="BF242" s="169" t="str">
        <f t="shared" si="108"/>
        <v/>
      </c>
      <c r="BG242" s="169" t="str">
        <f t="shared" si="108"/>
        <v/>
      </c>
      <c r="BH242" s="298"/>
      <c r="BI242" s="169"/>
      <c r="BJ242" s="169"/>
      <c r="BK242" s="169"/>
      <c r="BL242" s="169"/>
      <c r="BM242" s="299"/>
      <c r="BN242" s="298" t="str">
        <f t="shared" ref="BN242:BV251" si="136">IF($M242=BN$159,$DB242,"")</f>
        <v/>
      </c>
      <c r="BO242" s="169" t="str">
        <f t="shared" si="136"/>
        <v/>
      </c>
      <c r="BP242" s="169" t="str">
        <f t="shared" si="136"/>
        <v/>
      </c>
      <c r="BQ242" s="169" t="str">
        <f t="shared" si="136"/>
        <v/>
      </c>
      <c r="BR242" s="169" t="str">
        <f t="shared" si="136"/>
        <v/>
      </c>
      <c r="BS242" s="169" t="str">
        <f t="shared" si="136"/>
        <v/>
      </c>
      <c r="BT242" s="169" t="str">
        <f t="shared" si="136"/>
        <v/>
      </c>
      <c r="BU242" s="169" t="str">
        <f t="shared" si="136"/>
        <v/>
      </c>
      <c r="BV242" s="299" t="str">
        <f t="shared" si="136"/>
        <v/>
      </c>
      <c r="BW242" s="298" t="str">
        <f t="shared" ref="BW242:CE251" si="137">IF($N242=BW$159,$DB242,"")</f>
        <v/>
      </c>
      <c r="BX242" s="169" t="str">
        <f t="shared" si="137"/>
        <v/>
      </c>
      <c r="BY242" s="169" t="str">
        <f t="shared" si="137"/>
        <v/>
      </c>
      <c r="BZ242" s="169" t="str">
        <f t="shared" si="137"/>
        <v/>
      </c>
      <c r="CA242" s="169" t="str">
        <f t="shared" si="137"/>
        <v/>
      </c>
      <c r="CB242" s="169" t="str">
        <f t="shared" si="137"/>
        <v/>
      </c>
      <c r="CC242" s="169" t="str">
        <f t="shared" si="137"/>
        <v/>
      </c>
      <c r="CD242" s="169" t="str">
        <f t="shared" si="137"/>
        <v/>
      </c>
      <c r="CE242" s="299" t="str">
        <f t="shared" si="137"/>
        <v/>
      </c>
      <c r="CF242" s="298"/>
      <c r="CG242" s="169"/>
      <c r="CH242" s="169"/>
      <c r="CI242" s="169"/>
      <c r="CJ242" s="169"/>
      <c r="CK242" s="299"/>
      <c r="CL242" s="298" t="str">
        <f t="shared" si="125"/>
        <v/>
      </c>
      <c r="CM242" s="169" t="str">
        <f t="shared" si="122"/>
        <v/>
      </c>
      <c r="CN242" s="169" t="str">
        <f t="shared" si="123"/>
        <v/>
      </c>
      <c r="CO242" s="169" t="str">
        <f t="shared" si="127"/>
        <v/>
      </c>
      <c r="CP242" s="169" t="str">
        <f t="shared" ref="CP242:CQ261" si="138">IF($P242=CP$159,$DC242,"")</f>
        <v/>
      </c>
      <c r="CQ242" s="299" t="str">
        <f t="shared" si="138"/>
        <v/>
      </c>
      <c r="CR242" s="298" t="str">
        <f t="shared" si="128"/>
        <v/>
      </c>
      <c r="CS242" s="169" t="str">
        <f t="shared" si="128"/>
        <v/>
      </c>
      <c r="CT242" s="169" t="str">
        <f t="shared" si="128"/>
        <v/>
      </c>
      <c r="CU242" s="169" t="str">
        <f t="shared" si="128"/>
        <v/>
      </c>
      <c r="CV242" s="169" t="str">
        <f t="shared" si="128"/>
        <v/>
      </c>
      <c r="CW242" s="299" t="str">
        <f t="shared" si="128"/>
        <v/>
      </c>
      <c r="CX242" s="299" t="str">
        <f t="shared" si="126"/>
        <v/>
      </c>
      <c r="CZ242" s="10"/>
      <c r="DB242" s="10">
        <f t="shared" si="114"/>
        <v>0</v>
      </c>
      <c r="DC242" s="10">
        <f t="shared" si="115"/>
        <v>0</v>
      </c>
    </row>
    <row r="243" spans="2:107" hidden="1" outlineLevel="1" x14ac:dyDescent="0.25">
      <c r="B243" s="116"/>
      <c r="C243" s="528">
        <f t="shared" si="130"/>
        <v>0</v>
      </c>
      <c r="D243" s="529">
        <f t="shared" si="129"/>
        <v>0</v>
      </c>
      <c r="G243" s="40"/>
      <c r="Q243" s="47"/>
      <c r="S243" s="298" t="str">
        <f t="shared" si="132"/>
        <v/>
      </c>
      <c r="T243" s="169" t="str">
        <f t="shared" si="132"/>
        <v/>
      </c>
      <c r="U243" s="169" t="str">
        <f t="shared" si="132"/>
        <v/>
      </c>
      <c r="V243" s="169" t="str">
        <f t="shared" si="132"/>
        <v/>
      </c>
      <c r="W243" s="169" t="str">
        <f t="shared" si="132"/>
        <v/>
      </c>
      <c r="X243" s="169" t="str">
        <f t="shared" si="132"/>
        <v/>
      </c>
      <c r="Y243" s="169" t="str">
        <f t="shared" si="132"/>
        <v/>
      </c>
      <c r="Z243" s="169" t="str">
        <f t="shared" si="132"/>
        <v/>
      </c>
      <c r="AA243" s="299" t="str">
        <f t="shared" si="132"/>
        <v/>
      </c>
      <c r="AB243" s="169" t="str">
        <f t="shared" si="133"/>
        <v/>
      </c>
      <c r="AC243" s="169" t="str">
        <f t="shared" si="133"/>
        <v/>
      </c>
      <c r="AD243" s="169" t="str">
        <f t="shared" si="133"/>
        <v/>
      </c>
      <c r="AE243" s="169" t="str">
        <f t="shared" si="133"/>
        <v/>
      </c>
      <c r="AF243" s="169" t="str">
        <f t="shared" si="133"/>
        <v/>
      </c>
      <c r="AG243" s="169" t="str">
        <f t="shared" si="133"/>
        <v/>
      </c>
      <c r="AH243" s="169" t="str">
        <f t="shared" si="133"/>
        <v/>
      </c>
      <c r="AI243" s="169" t="str">
        <f t="shared" si="133"/>
        <v/>
      </c>
      <c r="AJ243" s="299" t="str">
        <f t="shared" si="133"/>
        <v/>
      </c>
      <c r="AK243" s="298" t="str">
        <f t="shared" si="134"/>
        <v/>
      </c>
      <c r="AL243" s="299" t="str">
        <f t="shared" si="134"/>
        <v/>
      </c>
      <c r="AM243" s="169" t="str">
        <f t="shared" si="135"/>
        <v/>
      </c>
      <c r="AN243" s="169" t="str">
        <f t="shared" si="135"/>
        <v/>
      </c>
      <c r="AO243" s="169" t="str">
        <f t="shared" si="135"/>
        <v/>
      </c>
      <c r="AP243" s="169" t="str">
        <f t="shared" si="135"/>
        <v/>
      </c>
      <c r="AQ243" s="169" t="str">
        <f t="shared" si="135"/>
        <v/>
      </c>
      <c r="AR243" s="169" t="str">
        <f t="shared" si="135"/>
        <v/>
      </c>
      <c r="AS243" s="169" t="str">
        <f t="shared" si="135"/>
        <v/>
      </c>
      <c r="AT243" s="169" t="str">
        <f t="shared" si="135"/>
        <v/>
      </c>
      <c r="AU243" s="299" t="str">
        <f t="shared" si="135"/>
        <v/>
      </c>
      <c r="AV243" s="169" t="str">
        <f t="shared" si="112"/>
        <v/>
      </c>
      <c r="AW243" s="169" t="str">
        <f t="shared" si="116"/>
        <v/>
      </c>
      <c r="AX243" s="169" t="str">
        <f t="shared" si="116"/>
        <v/>
      </c>
      <c r="AY243" s="169" t="str">
        <f t="shared" ref="AY243:BA262" si="139">IF($J243=AY$159,$DC243,"")</f>
        <v/>
      </c>
      <c r="AZ243" s="169" t="str">
        <f t="shared" si="139"/>
        <v/>
      </c>
      <c r="BA243" s="299" t="str">
        <f t="shared" si="139"/>
        <v/>
      </c>
      <c r="BB243" s="169" t="str">
        <f t="shared" si="113"/>
        <v/>
      </c>
      <c r="BC243" s="169" t="str">
        <f t="shared" si="124"/>
        <v/>
      </c>
      <c r="BD243" s="169" t="str">
        <f t="shared" si="131"/>
        <v/>
      </c>
      <c r="BE243" s="169" t="str">
        <f t="shared" ref="BE243:BG262" si="140">IF($K243=BE$159,$DC243,"")</f>
        <v/>
      </c>
      <c r="BF243" s="169" t="str">
        <f t="shared" si="140"/>
        <v/>
      </c>
      <c r="BG243" s="169" t="str">
        <f t="shared" si="140"/>
        <v/>
      </c>
      <c r="BH243" s="298"/>
      <c r="BI243" s="169"/>
      <c r="BJ243" s="169"/>
      <c r="BK243" s="169"/>
      <c r="BL243" s="169"/>
      <c r="BM243" s="299"/>
      <c r="BN243" s="298" t="str">
        <f t="shared" si="136"/>
        <v/>
      </c>
      <c r="BO243" s="169" t="str">
        <f t="shared" si="136"/>
        <v/>
      </c>
      <c r="BP243" s="169" t="str">
        <f t="shared" si="136"/>
        <v/>
      </c>
      <c r="BQ243" s="169" t="str">
        <f t="shared" si="136"/>
        <v/>
      </c>
      <c r="BR243" s="169" t="str">
        <f t="shared" si="136"/>
        <v/>
      </c>
      <c r="BS243" s="169" t="str">
        <f t="shared" si="136"/>
        <v/>
      </c>
      <c r="BT243" s="169" t="str">
        <f t="shared" si="136"/>
        <v/>
      </c>
      <c r="BU243" s="169" t="str">
        <f t="shared" si="136"/>
        <v/>
      </c>
      <c r="BV243" s="299" t="str">
        <f t="shared" si="136"/>
        <v/>
      </c>
      <c r="BW243" s="298" t="str">
        <f t="shared" si="137"/>
        <v/>
      </c>
      <c r="BX243" s="169" t="str">
        <f t="shared" si="137"/>
        <v/>
      </c>
      <c r="BY243" s="169" t="str">
        <f t="shared" si="137"/>
        <v/>
      </c>
      <c r="BZ243" s="169" t="str">
        <f t="shared" si="137"/>
        <v/>
      </c>
      <c r="CA243" s="169" t="str">
        <f t="shared" si="137"/>
        <v/>
      </c>
      <c r="CB243" s="169" t="str">
        <f t="shared" si="137"/>
        <v/>
      </c>
      <c r="CC243" s="169" t="str">
        <f t="shared" si="137"/>
        <v/>
      </c>
      <c r="CD243" s="169" t="str">
        <f t="shared" si="137"/>
        <v/>
      </c>
      <c r="CE243" s="299" t="str">
        <f t="shared" si="137"/>
        <v/>
      </c>
      <c r="CF243" s="298"/>
      <c r="CG243" s="169"/>
      <c r="CH243" s="169"/>
      <c r="CI243" s="169"/>
      <c r="CJ243" s="169"/>
      <c r="CK243" s="299"/>
      <c r="CL243" s="298" t="str">
        <f t="shared" si="125"/>
        <v/>
      </c>
      <c r="CM243" s="169" t="str">
        <f t="shared" si="122"/>
        <v/>
      </c>
      <c r="CN243" s="169" t="str">
        <f t="shared" si="123"/>
        <v/>
      </c>
      <c r="CO243" s="169" t="str">
        <f t="shared" si="127"/>
        <v/>
      </c>
      <c r="CP243" s="169" t="str">
        <f t="shared" si="138"/>
        <v/>
      </c>
      <c r="CQ243" s="299" t="str">
        <f t="shared" si="138"/>
        <v/>
      </c>
      <c r="CR243" s="298" t="str">
        <f t="shared" si="128"/>
        <v/>
      </c>
      <c r="CS243" s="169" t="str">
        <f t="shared" si="128"/>
        <v/>
      </c>
      <c r="CT243" s="169" t="str">
        <f t="shared" si="128"/>
        <v/>
      </c>
      <c r="CU243" s="169" t="str">
        <f t="shared" si="128"/>
        <v/>
      </c>
      <c r="CV243" s="169" t="str">
        <f t="shared" si="128"/>
        <v/>
      </c>
      <c r="CW243" s="299" t="str">
        <f t="shared" si="128"/>
        <v/>
      </c>
      <c r="CX243" s="299" t="str">
        <f t="shared" si="126"/>
        <v/>
      </c>
      <c r="CZ243" s="10"/>
      <c r="DB243" s="10">
        <f t="shared" si="114"/>
        <v>0</v>
      </c>
      <c r="DC243" s="10">
        <f t="shared" si="115"/>
        <v>0</v>
      </c>
    </row>
    <row r="244" spans="2:107" hidden="1" outlineLevel="1" x14ac:dyDescent="0.25">
      <c r="B244" s="116"/>
      <c r="C244" s="528">
        <f t="shared" si="130"/>
        <v>0</v>
      </c>
      <c r="D244" s="529">
        <f t="shared" si="129"/>
        <v>0</v>
      </c>
      <c r="G244" s="40"/>
      <c r="Q244" s="47"/>
      <c r="S244" s="298" t="str">
        <f t="shared" si="132"/>
        <v/>
      </c>
      <c r="T244" s="169" t="str">
        <f t="shared" si="132"/>
        <v/>
      </c>
      <c r="U244" s="169" t="str">
        <f t="shared" si="132"/>
        <v/>
      </c>
      <c r="V244" s="169" t="str">
        <f t="shared" si="132"/>
        <v/>
      </c>
      <c r="W244" s="169" t="str">
        <f t="shared" si="132"/>
        <v/>
      </c>
      <c r="X244" s="169" t="str">
        <f t="shared" si="132"/>
        <v/>
      </c>
      <c r="Y244" s="169" t="str">
        <f t="shared" si="132"/>
        <v/>
      </c>
      <c r="Z244" s="169" t="str">
        <f t="shared" si="132"/>
        <v/>
      </c>
      <c r="AA244" s="299" t="str">
        <f t="shared" si="132"/>
        <v/>
      </c>
      <c r="AB244" s="169" t="str">
        <f t="shared" si="133"/>
        <v/>
      </c>
      <c r="AC244" s="169" t="str">
        <f t="shared" si="133"/>
        <v/>
      </c>
      <c r="AD244" s="169" t="str">
        <f t="shared" si="133"/>
        <v/>
      </c>
      <c r="AE244" s="169" t="str">
        <f t="shared" si="133"/>
        <v/>
      </c>
      <c r="AF244" s="169" t="str">
        <f t="shared" si="133"/>
        <v/>
      </c>
      <c r="AG244" s="169" t="str">
        <f t="shared" si="133"/>
        <v/>
      </c>
      <c r="AH244" s="169" t="str">
        <f t="shared" si="133"/>
        <v/>
      </c>
      <c r="AI244" s="169" t="str">
        <f t="shared" si="133"/>
        <v/>
      </c>
      <c r="AJ244" s="299" t="str">
        <f t="shared" si="133"/>
        <v/>
      </c>
      <c r="AK244" s="298" t="str">
        <f t="shared" si="134"/>
        <v/>
      </c>
      <c r="AL244" s="299" t="str">
        <f t="shared" si="134"/>
        <v/>
      </c>
      <c r="AM244" s="169" t="str">
        <f t="shared" si="135"/>
        <v/>
      </c>
      <c r="AN244" s="169" t="str">
        <f t="shared" si="135"/>
        <v/>
      </c>
      <c r="AO244" s="169" t="str">
        <f t="shared" si="135"/>
        <v/>
      </c>
      <c r="AP244" s="169" t="str">
        <f t="shared" si="135"/>
        <v/>
      </c>
      <c r="AQ244" s="169" t="str">
        <f t="shared" si="135"/>
        <v/>
      </c>
      <c r="AR244" s="169" t="str">
        <f t="shared" si="135"/>
        <v/>
      </c>
      <c r="AS244" s="169" t="str">
        <f t="shared" si="135"/>
        <v/>
      </c>
      <c r="AT244" s="169" t="str">
        <f t="shared" si="135"/>
        <v/>
      </c>
      <c r="AU244" s="299" t="str">
        <f t="shared" si="135"/>
        <v/>
      </c>
      <c r="AV244" s="169" t="str">
        <f t="shared" si="112"/>
        <v/>
      </c>
      <c r="AW244" s="169" t="str">
        <f t="shared" si="116"/>
        <v/>
      </c>
      <c r="AX244" s="169" t="str">
        <f t="shared" si="116"/>
        <v/>
      </c>
      <c r="AY244" s="169" t="str">
        <f t="shared" si="139"/>
        <v/>
      </c>
      <c r="AZ244" s="169" t="str">
        <f t="shared" si="139"/>
        <v/>
      </c>
      <c r="BA244" s="299" t="str">
        <f t="shared" si="139"/>
        <v/>
      </c>
      <c r="BB244" s="169" t="str">
        <f t="shared" si="113"/>
        <v/>
      </c>
      <c r="BC244" s="169" t="str">
        <f t="shared" si="124"/>
        <v/>
      </c>
      <c r="BD244" s="169" t="str">
        <f t="shared" si="131"/>
        <v/>
      </c>
      <c r="BE244" s="169" t="str">
        <f t="shared" si="140"/>
        <v/>
      </c>
      <c r="BF244" s="169" t="str">
        <f t="shared" si="140"/>
        <v/>
      </c>
      <c r="BG244" s="169" t="str">
        <f t="shared" si="140"/>
        <v/>
      </c>
      <c r="BH244" s="298"/>
      <c r="BI244" s="169"/>
      <c r="BJ244" s="169"/>
      <c r="BK244" s="169"/>
      <c r="BL244" s="169"/>
      <c r="BM244" s="299"/>
      <c r="BN244" s="298" t="str">
        <f t="shared" si="136"/>
        <v/>
      </c>
      <c r="BO244" s="169" t="str">
        <f t="shared" si="136"/>
        <v/>
      </c>
      <c r="BP244" s="169" t="str">
        <f t="shared" si="136"/>
        <v/>
      </c>
      <c r="BQ244" s="169" t="str">
        <f t="shared" si="136"/>
        <v/>
      </c>
      <c r="BR244" s="169" t="str">
        <f t="shared" si="136"/>
        <v/>
      </c>
      <c r="BS244" s="169" t="str">
        <f t="shared" si="136"/>
        <v/>
      </c>
      <c r="BT244" s="169" t="str">
        <f t="shared" si="136"/>
        <v/>
      </c>
      <c r="BU244" s="169" t="str">
        <f t="shared" si="136"/>
        <v/>
      </c>
      <c r="BV244" s="299" t="str">
        <f t="shared" si="136"/>
        <v/>
      </c>
      <c r="BW244" s="298" t="str">
        <f t="shared" si="137"/>
        <v/>
      </c>
      <c r="BX244" s="169" t="str">
        <f t="shared" si="137"/>
        <v/>
      </c>
      <c r="BY244" s="169" t="str">
        <f t="shared" si="137"/>
        <v/>
      </c>
      <c r="BZ244" s="169" t="str">
        <f t="shared" si="137"/>
        <v/>
      </c>
      <c r="CA244" s="169" t="str">
        <f t="shared" si="137"/>
        <v/>
      </c>
      <c r="CB244" s="169" t="str">
        <f t="shared" si="137"/>
        <v/>
      </c>
      <c r="CC244" s="169" t="str">
        <f t="shared" si="137"/>
        <v/>
      </c>
      <c r="CD244" s="169" t="str">
        <f t="shared" si="137"/>
        <v/>
      </c>
      <c r="CE244" s="299" t="str">
        <f t="shared" si="137"/>
        <v/>
      </c>
      <c r="CF244" s="298"/>
      <c r="CG244" s="169"/>
      <c r="CH244" s="169"/>
      <c r="CI244" s="169"/>
      <c r="CJ244" s="169"/>
      <c r="CK244" s="299"/>
      <c r="CL244" s="298" t="str">
        <f t="shared" si="125"/>
        <v/>
      </c>
      <c r="CM244" s="169" t="str">
        <f t="shared" si="122"/>
        <v/>
      </c>
      <c r="CN244" s="169" t="str">
        <f t="shared" si="123"/>
        <v/>
      </c>
      <c r="CO244" s="169" t="str">
        <f t="shared" si="127"/>
        <v/>
      </c>
      <c r="CP244" s="169" t="str">
        <f t="shared" si="138"/>
        <v/>
      </c>
      <c r="CQ244" s="299" t="str">
        <f t="shared" si="138"/>
        <v/>
      </c>
      <c r="CR244" s="298" t="str">
        <f t="shared" si="128"/>
        <v/>
      </c>
      <c r="CS244" s="169" t="str">
        <f t="shared" si="128"/>
        <v/>
      </c>
      <c r="CT244" s="169" t="str">
        <f t="shared" si="128"/>
        <v/>
      </c>
      <c r="CU244" s="169" t="str">
        <f t="shared" si="128"/>
        <v/>
      </c>
      <c r="CV244" s="169" t="str">
        <f t="shared" si="128"/>
        <v/>
      </c>
      <c r="CW244" s="299" t="str">
        <f t="shared" si="128"/>
        <v/>
      </c>
      <c r="CX244" s="299" t="str">
        <f t="shared" si="126"/>
        <v/>
      </c>
      <c r="CZ244" s="10"/>
      <c r="DB244" s="10">
        <f t="shared" si="114"/>
        <v>0</v>
      </c>
      <c r="DC244" s="10">
        <f t="shared" ref="DC244:DC289" si="141">(($D244*$C$158)+($D244*$B$162))/2</f>
        <v>0</v>
      </c>
    </row>
    <row r="245" spans="2:107" hidden="1" outlineLevel="1" x14ac:dyDescent="0.25">
      <c r="B245" s="116"/>
      <c r="C245" s="528">
        <f t="shared" si="130"/>
        <v>0</v>
      </c>
      <c r="D245" s="529">
        <f t="shared" si="129"/>
        <v>0</v>
      </c>
      <c r="G245" s="40"/>
      <c r="Q245" s="47"/>
      <c r="S245" s="298" t="str">
        <f t="shared" si="132"/>
        <v/>
      </c>
      <c r="T245" s="169" t="str">
        <f t="shared" si="132"/>
        <v/>
      </c>
      <c r="U245" s="169" t="str">
        <f t="shared" si="132"/>
        <v/>
      </c>
      <c r="V245" s="169" t="str">
        <f t="shared" si="132"/>
        <v/>
      </c>
      <c r="W245" s="169" t="str">
        <f t="shared" si="132"/>
        <v/>
      </c>
      <c r="X245" s="169" t="str">
        <f t="shared" si="132"/>
        <v/>
      </c>
      <c r="Y245" s="169" t="str">
        <f t="shared" si="132"/>
        <v/>
      </c>
      <c r="Z245" s="169" t="str">
        <f t="shared" si="132"/>
        <v/>
      </c>
      <c r="AA245" s="299" t="str">
        <f t="shared" si="132"/>
        <v/>
      </c>
      <c r="AB245" s="169" t="str">
        <f t="shared" si="133"/>
        <v/>
      </c>
      <c r="AC245" s="169" t="str">
        <f t="shared" si="133"/>
        <v/>
      </c>
      <c r="AD245" s="169" t="str">
        <f t="shared" si="133"/>
        <v/>
      </c>
      <c r="AE245" s="169" t="str">
        <f t="shared" si="133"/>
        <v/>
      </c>
      <c r="AF245" s="169" t="str">
        <f t="shared" si="133"/>
        <v/>
      </c>
      <c r="AG245" s="169" t="str">
        <f t="shared" si="133"/>
        <v/>
      </c>
      <c r="AH245" s="169" t="str">
        <f t="shared" si="133"/>
        <v/>
      </c>
      <c r="AI245" s="169" t="str">
        <f t="shared" si="133"/>
        <v/>
      </c>
      <c r="AJ245" s="299" t="str">
        <f t="shared" si="133"/>
        <v/>
      </c>
      <c r="AK245" s="298" t="str">
        <f t="shared" si="134"/>
        <v/>
      </c>
      <c r="AL245" s="299" t="str">
        <f t="shared" si="134"/>
        <v/>
      </c>
      <c r="AM245" s="169" t="str">
        <f t="shared" si="135"/>
        <v/>
      </c>
      <c r="AN245" s="169" t="str">
        <f t="shared" si="135"/>
        <v/>
      </c>
      <c r="AO245" s="169" t="str">
        <f t="shared" si="135"/>
        <v/>
      </c>
      <c r="AP245" s="169" t="str">
        <f t="shared" si="135"/>
        <v/>
      </c>
      <c r="AQ245" s="169" t="str">
        <f t="shared" si="135"/>
        <v/>
      </c>
      <c r="AR245" s="169" t="str">
        <f t="shared" si="135"/>
        <v/>
      </c>
      <c r="AS245" s="169" t="str">
        <f t="shared" si="135"/>
        <v/>
      </c>
      <c r="AT245" s="169" t="str">
        <f t="shared" si="135"/>
        <v/>
      </c>
      <c r="AU245" s="299" t="str">
        <f t="shared" si="135"/>
        <v/>
      </c>
      <c r="AV245" s="169" t="str">
        <f t="shared" si="112"/>
        <v/>
      </c>
      <c r="AW245" s="169" t="str">
        <f t="shared" si="116"/>
        <v/>
      </c>
      <c r="AX245" s="169" t="str">
        <f t="shared" si="116"/>
        <v/>
      </c>
      <c r="AY245" s="169" t="str">
        <f t="shared" si="139"/>
        <v/>
      </c>
      <c r="AZ245" s="169" t="str">
        <f t="shared" si="139"/>
        <v/>
      </c>
      <c r="BA245" s="299" t="str">
        <f t="shared" si="139"/>
        <v/>
      </c>
      <c r="BB245" s="169" t="str">
        <f t="shared" si="113"/>
        <v/>
      </c>
      <c r="BC245" s="169" t="str">
        <f t="shared" si="124"/>
        <v/>
      </c>
      <c r="BD245" s="169" t="str">
        <f t="shared" si="131"/>
        <v/>
      </c>
      <c r="BE245" s="169" t="str">
        <f t="shared" si="140"/>
        <v/>
      </c>
      <c r="BF245" s="169" t="str">
        <f t="shared" si="140"/>
        <v/>
      </c>
      <c r="BG245" s="169" t="str">
        <f t="shared" si="140"/>
        <v/>
      </c>
      <c r="BH245" s="298"/>
      <c r="BI245" s="169"/>
      <c r="BJ245" s="169"/>
      <c r="BK245" s="169"/>
      <c r="BL245" s="169"/>
      <c r="BM245" s="299"/>
      <c r="BN245" s="298" t="str">
        <f t="shared" si="136"/>
        <v/>
      </c>
      <c r="BO245" s="169" t="str">
        <f t="shared" si="136"/>
        <v/>
      </c>
      <c r="BP245" s="169" t="str">
        <f t="shared" si="136"/>
        <v/>
      </c>
      <c r="BQ245" s="169" t="str">
        <f t="shared" si="136"/>
        <v/>
      </c>
      <c r="BR245" s="169" t="str">
        <f t="shared" si="136"/>
        <v/>
      </c>
      <c r="BS245" s="169" t="str">
        <f t="shared" si="136"/>
        <v/>
      </c>
      <c r="BT245" s="169" t="str">
        <f t="shared" si="136"/>
        <v/>
      </c>
      <c r="BU245" s="169" t="str">
        <f t="shared" si="136"/>
        <v/>
      </c>
      <c r="BV245" s="299" t="str">
        <f t="shared" si="136"/>
        <v/>
      </c>
      <c r="BW245" s="298" t="str">
        <f t="shared" si="137"/>
        <v/>
      </c>
      <c r="BX245" s="169" t="str">
        <f t="shared" si="137"/>
        <v/>
      </c>
      <c r="BY245" s="169" t="str">
        <f t="shared" si="137"/>
        <v/>
      </c>
      <c r="BZ245" s="169" t="str">
        <f t="shared" si="137"/>
        <v/>
      </c>
      <c r="CA245" s="169" t="str">
        <f t="shared" si="137"/>
        <v/>
      </c>
      <c r="CB245" s="169" t="str">
        <f t="shared" si="137"/>
        <v/>
      </c>
      <c r="CC245" s="169" t="str">
        <f t="shared" si="137"/>
        <v/>
      </c>
      <c r="CD245" s="169" t="str">
        <f t="shared" si="137"/>
        <v/>
      </c>
      <c r="CE245" s="299" t="str">
        <f t="shared" si="137"/>
        <v/>
      </c>
      <c r="CF245" s="298"/>
      <c r="CG245" s="169"/>
      <c r="CH245" s="169"/>
      <c r="CI245" s="169"/>
      <c r="CJ245" s="169"/>
      <c r="CK245" s="299"/>
      <c r="CL245" s="298" t="str">
        <f t="shared" si="125"/>
        <v/>
      </c>
      <c r="CM245" s="169" t="str">
        <f t="shared" si="122"/>
        <v/>
      </c>
      <c r="CN245" s="169" t="str">
        <f t="shared" si="123"/>
        <v/>
      </c>
      <c r="CO245" s="169" t="str">
        <f t="shared" si="127"/>
        <v/>
      </c>
      <c r="CP245" s="169" t="str">
        <f t="shared" si="138"/>
        <v/>
      </c>
      <c r="CQ245" s="299" t="str">
        <f t="shared" si="138"/>
        <v/>
      </c>
      <c r="CR245" s="298" t="str">
        <f t="shared" si="128"/>
        <v/>
      </c>
      <c r="CS245" s="169" t="str">
        <f t="shared" si="128"/>
        <v/>
      </c>
      <c r="CT245" s="169" t="str">
        <f t="shared" si="128"/>
        <v/>
      </c>
      <c r="CU245" s="169" t="str">
        <f t="shared" si="128"/>
        <v/>
      </c>
      <c r="CV245" s="169" t="str">
        <f t="shared" si="128"/>
        <v/>
      </c>
      <c r="CW245" s="299" t="str">
        <f t="shared" si="128"/>
        <v/>
      </c>
      <c r="CX245" s="299" t="str">
        <f t="shared" si="126"/>
        <v/>
      </c>
      <c r="CZ245" s="10"/>
      <c r="DB245" s="10">
        <f t="shared" ref="DB245:DB289" si="142">($D245*$C$158)+($D245*$B$162)</f>
        <v>0</v>
      </c>
      <c r="DC245" s="10">
        <f t="shared" si="141"/>
        <v>0</v>
      </c>
    </row>
    <row r="246" spans="2:107" hidden="1" outlineLevel="1" x14ac:dyDescent="0.25">
      <c r="B246" s="116"/>
      <c r="C246" s="528">
        <f t="shared" si="130"/>
        <v>0</v>
      </c>
      <c r="D246" s="529">
        <f t="shared" si="129"/>
        <v>0</v>
      </c>
      <c r="G246" s="40"/>
      <c r="Q246" s="47"/>
      <c r="S246" s="298" t="str">
        <f t="shared" si="132"/>
        <v/>
      </c>
      <c r="T246" s="169" t="str">
        <f t="shared" si="132"/>
        <v/>
      </c>
      <c r="U246" s="169" t="str">
        <f t="shared" si="132"/>
        <v/>
      </c>
      <c r="V246" s="169" t="str">
        <f t="shared" si="132"/>
        <v/>
      </c>
      <c r="W246" s="169" t="str">
        <f t="shared" si="132"/>
        <v/>
      </c>
      <c r="X246" s="169" t="str">
        <f t="shared" si="132"/>
        <v/>
      </c>
      <c r="Y246" s="169" t="str">
        <f t="shared" si="132"/>
        <v/>
      </c>
      <c r="Z246" s="169" t="str">
        <f t="shared" si="132"/>
        <v/>
      </c>
      <c r="AA246" s="299" t="str">
        <f t="shared" si="132"/>
        <v/>
      </c>
      <c r="AB246" s="169" t="str">
        <f t="shared" si="133"/>
        <v/>
      </c>
      <c r="AC246" s="169" t="str">
        <f t="shared" si="133"/>
        <v/>
      </c>
      <c r="AD246" s="169" t="str">
        <f t="shared" si="133"/>
        <v/>
      </c>
      <c r="AE246" s="169" t="str">
        <f t="shared" si="133"/>
        <v/>
      </c>
      <c r="AF246" s="169" t="str">
        <f t="shared" si="133"/>
        <v/>
      </c>
      <c r="AG246" s="169" t="str">
        <f t="shared" si="133"/>
        <v/>
      </c>
      <c r="AH246" s="169" t="str">
        <f t="shared" si="133"/>
        <v/>
      </c>
      <c r="AI246" s="169" t="str">
        <f t="shared" si="133"/>
        <v/>
      </c>
      <c r="AJ246" s="299" t="str">
        <f t="shared" si="133"/>
        <v/>
      </c>
      <c r="AK246" s="298" t="str">
        <f t="shared" si="134"/>
        <v/>
      </c>
      <c r="AL246" s="299" t="str">
        <f t="shared" si="134"/>
        <v/>
      </c>
      <c r="AM246" s="169" t="str">
        <f t="shared" si="135"/>
        <v/>
      </c>
      <c r="AN246" s="169" t="str">
        <f t="shared" si="135"/>
        <v/>
      </c>
      <c r="AO246" s="169" t="str">
        <f t="shared" si="135"/>
        <v/>
      </c>
      <c r="AP246" s="169" t="str">
        <f t="shared" si="135"/>
        <v/>
      </c>
      <c r="AQ246" s="169" t="str">
        <f t="shared" si="135"/>
        <v/>
      </c>
      <c r="AR246" s="169" t="str">
        <f t="shared" si="135"/>
        <v/>
      </c>
      <c r="AS246" s="169" t="str">
        <f t="shared" si="135"/>
        <v/>
      </c>
      <c r="AT246" s="169" t="str">
        <f t="shared" si="135"/>
        <v/>
      </c>
      <c r="AU246" s="299" t="str">
        <f t="shared" si="135"/>
        <v/>
      </c>
      <c r="AV246" s="169" t="str">
        <f t="shared" si="112"/>
        <v/>
      </c>
      <c r="AW246" s="169" t="str">
        <f t="shared" si="116"/>
        <v/>
      </c>
      <c r="AX246" s="169" t="str">
        <f t="shared" si="116"/>
        <v/>
      </c>
      <c r="AY246" s="169" t="str">
        <f t="shared" si="139"/>
        <v/>
      </c>
      <c r="AZ246" s="169" t="str">
        <f t="shared" si="139"/>
        <v/>
      </c>
      <c r="BA246" s="299" t="str">
        <f t="shared" si="139"/>
        <v/>
      </c>
      <c r="BB246" s="169" t="str">
        <f t="shared" si="113"/>
        <v/>
      </c>
      <c r="BC246" s="169" t="str">
        <f t="shared" si="124"/>
        <v/>
      </c>
      <c r="BD246" s="169" t="str">
        <f t="shared" si="131"/>
        <v/>
      </c>
      <c r="BE246" s="169" t="str">
        <f t="shared" si="140"/>
        <v/>
      </c>
      <c r="BF246" s="169" t="str">
        <f t="shared" si="140"/>
        <v/>
      </c>
      <c r="BG246" s="169" t="str">
        <f t="shared" si="140"/>
        <v/>
      </c>
      <c r="BH246" s="298"/>
      <c r="BI246" s="169"/>
      <c r="BJ246" s="169"/>
      <c r="BK246" s="169"/>
      <c r="BL246" s="169"/>
      <c r="BM246" s="299"/>
      <c r="BN246" s="298" t="str">
        <f t="shared" si="136"/>
        <v/>
      </c>
      <c r="BO246" s="169" t="str">
        <f t="shared" si="136"/>
        <v/>
      </c>
      <c r="BP246" s="169" t="str">
        <f t="shared" si="136"/>
        <v/>
      </c>
      <c r="BQ246" s="169" t="str">
        <f t="shared" si="136"/>
        <v/>
      </c>
      <c r="BR246" s="169" t="str">
        <f t="shared" si="136"/>
        <v/>
      </c>
      <c r="BS246" s="169" t="str">
        <f t="shared" si="136"/>
        <v/>
      </c>
      <c r="BT246" s="169" t="str">
        <f t="shared" si="136"/>
        <v/>
      </c>
      <c r="BU246" s="169" t="str">
        <f t="shared" si="136"/>
        <v/>
      </c>
      <c r="BV246" s="299" t="str">
        <f t="shared" si="136"/>
        <v/>
      </c>
      <c r="BW246" s="298" t="str">
        <f t="shared" si="137"/>
        <v/>
      </c>
      <c r="BX246" s="169" t="str">
        <f t="shared" si="137"/>
        <v/>
      </c>
      <c r="BY246" s="169" t="str">
        <f t="shared" si="137"/>
        <v/>
      </c>
      <c r="BZ246" s="169" t="str">
        <f t="shared" si="137"/>
        <v/>
      </c>
      <c r="CA246" s="169" t="str">
        <f t="shared" si="137"/>
        <v/>
      </c>
      <c r="CB246" s="169" t="str">
        <f t="shared" si="137"/>
        <v/>
      </c>
      <c r="CC246" s="169" t="str">
        <f t="shared" si="137"/>
        <v/>
      </c>
      <c r="CD246" s="169" t="str">
        <f t="shared" si="137"/>
        <v/>
      </c>
      <c r="CE246" s="299" t="str">
        <f t="shared" si="137"/>
        <v/>
      </c>
      <c r="CF246" s="298"/>
      <c r="CG246" s="169"/>
      <c r="CH246" s="169"/>
      <c r="CI246" s="169"/>
      <c r="CJ246" s="169"/>
      <c r="CK246" s="299"/>
      <c r="CL246" s="298" t="str">
        <f t="shared" si="125"/>
        <v/>
      </c>
      <c r="CM246" s="169" t="str">
        <f t="shared" si="122"/>
        <v/>
      </c>
      <c r="CN246" s="169" t="str">
        <f t="shared" si="123"/>
        <v/>
      </c>
      <c r="CO246" s="169" t="str">
        <f t="shared" si="127"/>
        <v/>
      </c>
      <c r="CP246" s="169" t="str">
        <f t="shared" si="138"/>
        <v/>
      </c>
      <c r="CQ246" s="299" t="str">
        <f t="shared" si="138"/>
        <v/>
      </c>
      <c r="CR246" s="298" t="str">
        <f t="shared" ref="CR246:CW255" si="143">IF($P246=CR$159,$DC246,"")</f>
        <v/>
      </c>
      <c r="CS246" s="169" t="str">
        <f t="shared" si="143"/>
        <v/>
      </c>
      <c r="CT246" s="169" t="str">
        <f t="shared" si="143"/>
        <v/>
      </c>
      <c r="CU246" s="169" t="str">
        <f t="shared" si="143"/>
        <v/>
      </c>
      <c r="CV246" s="169" t="str">
        <f t="shared" si="143"/>
        <v/>
      </c>
      <c r="CW246" s="299" t="str">
        <f t="shared" si="143"/>
        <v/>
      </c>
      <c r="CX246" s="299" t="str">
        <f t="shared" si="126"/>
        <v/>
      </c>
      <c r="CZ246" s="10"/>
      <c r="DB246" s="10">
        <f t="shared" si="142"/>
        <v>0</v>
      </c>
      <c r="DC246" s="10">
        <f t="shared" si="141"/>
        <v>0</v>
      </c>
    </row>
    <row r="247" spans="2:107" hidden="1" outlineLevel="1" x14ac:dyDescent="0.25">
      <c r="B247" s="116"/>
      <c r="C247" s="528" t="str">
        <f t="shared" si="130"/>
        <v xml:space="preserve"> ---Nothing Follows--- </v>
      </c>
      <c r="D247" s="529">
        <f t="shared" si="129"/>
        <v>0</v>
      </c>
      <c r="G247" s="40"/>
      <c r="Q247" s="47"/>
      <c r="S247" s="298" t="str">
        <f t="shared" si="132"/>
        <v/>
      </c>
      <c r="T247" s="169" t="str">
        <f t="shared" si="132"/>
        <v/>
      </c>
      <c r="U247" s="169" t="str">
        <f t="shared" si="132"/>
        <v/>
      </c>
      <c r="V247" s="169" t="str">
        <f t="shared" si="132"/>
        <v/>
      </c>
      <c r="W247" s="169" t="str">
        <f t="shared" si="132"/>
        <v/>
      </c>
      <c r="X247" s="169" t="str">
        <f t="shared" si="132"/>
        <v/>
      </c>
      <c r="Y247" s="169" t="str">
        <f t="shared" si="132"/>
        <v/>
      </c>
      <c r="Z247" s="169" t="str">
        <f t="shared" si="132"/>
        <v/>
      </c>
      <c r="AA247" s="299" t="str">
        <f t="shared" si="132"/>
        <v/>
      </c>
      <c r="AB247" s="169" t="str">
        <f t="shared" si="133"/>
        <v/>
      </c>
      <c r="AC247" s="169" t="str">
        <f t="shared" si="133"/>
        <v/>
      </c>
      <c r="AD247" s="169" t="str">
        <f t="shared" si="133"/>
        <v/>
      </c>
      <c r="AE247" s="169" t="str">
        <f t="shared" si="133"/>
        <v/>
      </c>
      <c r="AF247" s="169" t="str">
        <f t="shared" si="133"/>
        <v/>
      </c>
      <c r="AG247" s="169" t="str">
        <f t="shared" si="133"/>
        <v/>
      </c>
      <c r="AH247" s="169" t="str">
        <f t="shared" si="133"/>
        <v/>
      </c>
      <c r="AI247" s="169" t="str">
        <f t="shared" si="133"/>
        <v/>
      </c>
      <c r="AJ247" s="299" t="str">
        <f t="shared" si="133"/>
        <v/>
      </c>
      <c r="AK247" s="298" t="str">
        <f t="shared" si="134"/>
        <v/>
      </c>
      <c r="AL247" s="299" t="str">
        <f t="shared" si="134"/>
        <v/>
      </c>
      <c r="AM247" s="169" t="str">
        <f t="shared" si="135"/>
        <v/>
      </c>
      <c r="AN247" s="169" t="str">
        <f t="shared" si="135"/>
        <v/>
      </c>
      <c r="AO247" s="169" t="str">
        <f t="shared" si="135"/>
        <v/>
      </c>
      <c r="AP247" s="169" t="str">
        <f t="shared" si="135"/>
        <v/>
      </c>
      <c r="AQ247" s="169" t="str">
        <f t="shared" si="135"/>
        <v/>
      </c>
      <c r="AR247" s="169" t="str">
        <f t="shared" si="135"/>
        <v/>
      </c>
      <c r="AS247" s="169" t="str">
        <f t="shared" si="135"/>
        <v/>
      </c>
      <c r="AT247" s="169" t="str">
        <f t="shared" si="135"/>
        <v/>
      </c>
      <c r="AU247" s="299" t="str">
        <f t="shared" si="135"/>
        <v/>
      </c>
      <c r="AV247" s="169" t="str">
        <f t="shared" si="112"/>
        <v/>
      </c>
      <c r="AW247" s="169" t="str">
        <f t="shared" si="116"/>
        <v/>
      </c>
      <c r="AX247" s="169" t="str">
        <f t="shared" si="116"/>
        <v/>
      </c>
      <c r="AY247" s="169" t="str">
        <f t="shared" si="139"/>
        <v/>
      </c>
      <c r="AZ247" s="169" t="str">
        <f t="shared" si="139"/>
        <v/>
      </c>
      <c r="BA247" s="299" t="str">
        <f t="shared" si="139"/>
        <v/>
      </c>
      <c r="BB247" s="169" t="str">
        <f t="shared" si="113"/>
        <v/>
      </c>
      <c r="BC247" s="169" t="str">
        <f t="shared" si="124"/>
        <v/>
      </c>
      <c r="BD247" s="169" t="str">
        <f t="shared" si="131"/>
        <v/>
      </c>
      <c r="BE247" s="169" t="str">
        <f t="shared" si="140"/>
        <v/>
      </c>
      <c r="BF247" s="169" t="str">
        <f t="shared" si="140"/>
        <v/>
      </c>
      <c r="BG247" s="169" t="str">
        <f t="shared" si="140"/>
        <v/>
      </c>
      <c r="BH247" s="298"/>
      <c r="BI247" s="169"/>
      <c r="BJ247" s="169"/>
      <c r="BK247" s="169"/>
      <c r="BL247" s="169"/>
      <c r="BM247" s="299"/>
      <c r="BN247" s="298" t="str">
        <f t="shared" si="136"/>
        <v/>
      </c>
      <c r="BO247" s="169" t="str">
        <f t="shared" si="136"/>
        <v/>
      </c>
      <c r="BP247" s="169" t="str">
        <f t="shared" si="136"/>
        <v/>
      </c>
      <c r="BQ247" s="169" t="str">
        <f t="shared" si="136"/>
        <v/>
      </c>
      <c r="BR247" s="169" t="str">
        <f t="shared" si="136"/>
        <v/>
      </c>
      <c r="BS247" s="169" t="str">
        <f t="shared" si="136"/>
        <v/>
      </c>
      <c r="BT247" s="169" t="str">
        <f t="shared" si="136"/>
        <v/>
      </c>
      <c r="BU247" s="169" t="str">
        <f t="shared" si="136"/>
        <v/>
      </c>
      <c r="BV247" s="299" t="str">
        <f t="shared" si="136"/>
        <v/>
      </c>
      <c r="BW247" s="298" t="str">
        <f t="shared" si="137"/>
        <v/>
      </c>
      <c r="BX247" s="169" t="str">
        <f t="shared" si="137"/>
        <v/>
      </c>
      <c r="BY247" s="169" t="str">
        <f t="shared" si="137"/>
        <v/>
      </c>
      <c r="BZ247" s="169" t="str">
        <f t="shared" si="137"/>
        <v/>
      </c>
      <c r="CA247" s="169" t="str">
        <f t="shared" si="137"/>
        <v/>
      </c>
      <c r="CB247" s="169" t="str">
        <f t="shared" si="137"/>
        <v/>
      </c>
      <c r="CC247" s="169" t="str">
        <f t="shared" si="137"/>
        <v/>
      </c>
      <c r="CD247" s="169" t="str">
        <f t="shared" si="137"/>
        <v/>
      </c>
      <c r="CE247" s="299" t="str">
        <f t="shared" si="137"/>
        <v/>
      </c>
      <c r="CF247" s="298"/>
      <c r="CG247" s="169"/>
      <c r="CH247" s="169"/>
      <c r="CI247" s="169"/>
      <c r="CJ247" s="169"/>
      <c r="CK247" s="299"/>
      <c r="CL247" s="298" t="str">
        <f t="shared" si="125"/>
        <v/>
      </c>
      <c r="CM247" s="169" t="str">
        <f t="shared" si="122"/>
        <v/>
      </c>
      <c r="CN247" s="169" t="str">
        <f t="shared" si="123"/>
        <v/>
      </c>
      <c r="CO247" s="169" t="str">
        <f t="shared" si="127"/>
        <v/>
      </c>
      <c r="CP247" s="169" t="str">
        <f t="shared" si="138"/>
        <v/>
      </c>
      <c r="CQ247" s="299" t="str">
        <f t="shared" si="138"/>
        <v/>
      </c>
      <c r="CR247" s="298" t="str">
        <f t="shared" si="143"/>
        <v/>
      </c>
      <c r="CS247" s="169" t="str">
        <f t="shared" si="143"/>
        <v/>
      </c>
      <c r="CT247" s="169" t="str">
        <f t="shared" si="143"/>
        <v/>
      </c>
      <c r="CU247" s="169" t="str">
        <f t="shared" si="143"/>
        <v/>
      </c>
      <c r="CV247" s="169" t="str">
        <f t="shared" si="143"/>
        <v/>
      </c>
      <c r="CW247" s="299" t="str">
        <f t="shared" si="143"/>
        <v/>
      </c>
      <c r="CX247" s="299" t="str">
        <f t="shared" si="126"/>
        <v/>
      </c>
      <c r="CZ247" s="10"/>
      <c r="DB247" s="10">
        <f t="shared" si="142"/>
        <v>0</v>
      </c>
      <c r="DC247" s="10">
        <f t="shared" si="141"/>
        <v>0</v>
      </c>
    </row>
    <row r="248" spans="2:107" ht="15.75" collapsed="1" thickBot="1" x14ac:dyDescent="0.3">
      <c r="B248" s="116"/>
      <c r="C248" s="530">
        <f t="shared" si="130"/>
        <v>0</v>
      </c>
      <c r="D248" s="531">
        <f t="shared" si="129"/>
        <v>0</v>
      </c>
      <c r="G248" s="40"/>
      <c r="Q248" s="47"/>
      <c r="S248" s="298" t="str">
        <f t="shared" si="132"/>
        <v/>
      </c>
      <c r="T248" s="169" t="str">
        <f t="shared" si="132"/>
        <v/>
      </c>
      <c r="U248" s="169" t="str">
        <f t="shared" si="132"/>
        <v/>
      </c>
      <c r="V248" s="169" t="str">
        <f t="shared" si="132"/>
        <v/>
      </c>
      <c r="W248" s="169" t="str">
        <f t="shared" si="132"/>
        <v/>
      </c>
      <c r="X248" s="169" t="str">
        <f t="shared" si="132"/>
        <v/>
      </c>
      <c r="Y248" s="169" t="str">
        <f t="shared" si="132"/>
        <v/>
      </c>
      <c r="Z248" s="169" t="str">
        <f t="shared" si="132"/>
        <v/>
      </c>
      <c r="AA248" s="299" t="str">
        <f t="shared" si="132"/>
        <v/>
      </c>
      <c r="AB248" s="169" t="str">
        <f t="shared" si="133"/>
        <v/>
      </c>
      <c r="AC248" s="169" t="str">
        <f t="shared" si="133"/>
        <v/>
      </c>
      <c r="AD248" s="169" t="str">
        <f t="shared" si="133"/>
        <v/>
      </c>
      <c r="AE248" s="169" t="str">
        <f t="shared" si="133"/>
        <v/>
      </c>
      <c r="AF248" s="169" t="str">
        <f t="shared" si="133"/>
        <v/>
      </c>
      <c r="AG248" s="169" t="str">
        <f t="shared" si="133"/>
        <v/>
      </c>
      <c r="AH248" s="169" t="str">
        <f t="shared" si="133"/>
        <v/>
      </c>
      <c r="AI248" s="169" t="str">
        <f t="shared" si="133"/>
        <v/>
      </c>
      <c r="AJ248" s="299" t="str">
        <f t="shared" si="133"/>
        <v/>
      </c>
      <c r="AK248" s="298" t="str">
        <f t="shared" si="134"/>
        <v/>
      </c>
      <c r="AL248" s="299" t="str">
        <f t="shared" si="134"/>
        <v/>
      </c>
      <c r="AM248" s="169" t="str">
        <f t="shared" si="135"/>
        <v/>
      </c>
      <c r="AN248" s="169" t="str">
        <f t="shared" si="135"/>
        <v/>
      </c>
      <c r="AO248" s="169" t="str">
        <f t="shared" si="135"/>
        <v/>
      </c>
      <c r="AP248" s="169" t="str">
        <f t="shared" si="135"/>
        <v/>
      </c>
      <c r="AQ248" s="169" t="str">
        <f t="shared" si="135"/>
        <v/>
      </c>
      <c r="AR248" s="169" t="str">
        <f t="shared" si="135"/>
        <v/>
      </c>
      <c r="AS248" s="169" t="str">
        <f t="shared" si="135"/>
        <v/>
      </c>
      <c r="AT248" s="169" t="str">
        <f t="shared" si="135"/>
        <v/>
      </c>
      <c r="AU248" s="299" t="str">
        <f t="shared" si="135"/>
        <v/>
      </c>
      <c r="AV248" s="169" t="str">
        <f t="shared" si="112"/>
        <v/>
      </c>
      <c r="AW248" s="169" t="str">
        <f t="shared" si="116"/>
        <v/>
      </c>
      <c r="AX248" s="169" t="str">
        <f t="shared" si="116"/>
        <v/>
      </c>
      <c r="AY248" s="169" t="str">
        <f t="shared" si="139"/>
        <v/>
      </c>
      <c r="AZ248" s="169" t="str">
        <f t="shared" si="139"/>
        <v/>
      </c>
      <c r="BA248" s="299" t="str">
        <f t="shared" si="139"/>
        <v/>
      </c>
      <c r="BB248" s="169" t="str">
        <f t="shared" si="113"/>
        <v/>
      </c>
      <c r="BC248" s="169" t="str">
        <f t="shared" si="124"/>
        <v/>
      </c>
      <c r="BD248" s="169" t="str">
        <f t="shared" si="131"/>
        <v/>
      </c>
      <c r="BE248" s="169" t="str">
        <f t="shared" si="140"/>
        <v/>
      </c>
      <c r="BF248" s="169" t="str">
        <f t="shared" si="140"/>
        <v/>
      </c>
      <c r="BG248" s="169" t="str">
        <f t="shared" si="140"/>
        <v/>
      </c>
      <c r="BH248" s="298"/>
      <c r="BI248" s="169"/>
      <c r="BJ248" s="169"/>
      <c r="BK248" s="169"/>
      <c r="BL248" s="169"/>
      <c r="BM248" s="299"/>
      <c r="BN248" s="298" t="str">
        <f t="shared" si="136"/>
        <v/>
      </c>
      <c r="BO248" s="169" t="str">
        <f t="shared" si="136"/>
        <v/>
      </c>
      <c r="BP248" s="169" t="str">
        <f t="shared" si="136"/>
        <v/>
      </c>
      <c r="BQ248" s="169" t="str">
        <f t="shared" si="136"/>
        <v/>
      </c>
      <c r="BR248" s="169" t="str">
        <f t="shared" si="136"/>
        <v/>
      </c>
      <c r="BS248" s="169" t="str">
        <f t="shared" si="136"/>
        <v/>
      </c>
      <c r="BT248" s="169" t="str">
        <f t="shared" si="136"/>
        <v/>
      </c>
      <c r="BU248" s="169" t="str">
        <f t="shared" si="136"/>
        <v/>
      </c>
      <c r="BV248" s="299" t="str">
        <f t="shared" si="136"/>
        <v/>
      </c>
      <c r="BW248" s="298" t="str">
        <f t="shared" si="137"/>
        <v/>
      </c>
      <c r="BX248" s="169" t="str">
        <f t="shared" si="137"/>
        <v/>
      </c>
      <c r="BY248" s="169" t="str">
        <f t="shared" si="137"/>
        <v/>
      </c>
      <c r="BZ248" s="169" t="str">
        <f t="shared" si="137"/>
        <v/>
      </c>
      <c r="CA248" s="169" t="str">
        <f t="shared" si="137"/>
        <v/>
      </c>
      <c r="CB248" s="169" t="str">
        <f t="shared" si="137"/>
        <v/>
      </c>
      <c r="CC248" s="169" t="str">
        <f t="shared" si="137"/>
        <v/>
      </c>
      <c r="CD248" s="169" t="str">
        <f t="shared" si="137"/>
        <v/>
      </c>
      <c r="CE248" s="299" t="str">
        <f t="shared" si="137"/>
        <v/>
      </c>
      <c r="CF248" s="298"/>
      <c r="CG248" s="169"/>
      <c r="CH248" s="169"/>
      <c r="CI248" s="169"/>
      <c r="CJ248" s="169"/>
      <c r="CK248" s="299"/>
      <c r="CL248" s="298" t="str">
        <f t="shared" si="125"/>
        <v/>
      </c>
      <c r="CM248" s="169" t="str">
        <f t="shared" si="122"/>
        <v/>
      </c>
      <c r="CN248" s="169" t="str">
        <f t="shared" si="123"/>
        <v/>
      </c>
      <c r="CO248" s="169" t="str">
        <f t="shared" si="127"/>
        <v/>
      </c>
      <c r="CP248" s="169" t="str">
        <f t="shared" si="138"/>
        <v/>
      </c>
      <c r="CQ248" s="299" t="str">
        <f t="shared" si="138"/>
        <v/>
      </c>
      <c r="CR248" s="298" t="str">
        <f t="shared" si="143"/>
        <v/>
      </c>
      <c r="CS248" s="169" t="str">
        <f t="shared" si="143"/>
        <v/>
      </c>
      <c r="CT248" s="169" t="str">
        <f t="shared" si="143"/>
        <v/>
      </c>
      <c r="CU248" s="169" t="str">
        <f t="shared" si="143"/>
        <v/>
      </c>
      <c r="CV248" s="169" t="str">
        <f t="shared" si="143"/>
        <v/>
      </c>
      <c r="CW248" s="299" t="str">
        <f t="shared" si="143"/>
        <v/>
      </c>
      <c r="CX248" s="299" t="str">
        <f t="shared" si="126"/>
        <v/>
      </c>
      <c r="CZ248" s="10"/>
      <c r="DB248" s="10">
        <f t="shared" si="142"/>
        <v>0</v>
      </c>
      <c r="DC248" s="10">
        <f t="shared" si="141"/>
        <v>0</v>
      </c>
    </row>
    <row r="249" spans="2:107" ht="15.75" thickTop="1" x14ac:dyDescent="0.25">
      <c r="B249" s="116"/>
      <c r="C249" s="528">
        <f t="shared" si="130"/>
        <v>0</v>
      </c>
      <c r="D249" s="529">
        <f t="shared" si="129"/>
        <v>0</v>
      </c>
      <c r="G249" s="40"/>
      <c r="Q249" s="47"/>
      <c r="S249" s="298" t="str">
        <f t="shared" si="132"/>
        <v/>
      </c>
      <c r="T249" s="169" t="str">
        <f t="shared" si="132"/>
        <v/>
      </c>
      <c r="U249" s="169" t="str">
        <f t="shared" si="132"/>
        <v/>
      </c>
      <c r="V249" s="169" t="str">
        <f t="shared" si="132"/>
        <v/>
      </c>
      <c r="W249" s="169" t="str">
        <f t="shared" si="132"/>
        <v/>
      </c>
      <c r="X249" s="169" t="str">
        <f t="shared" si="132"/>
        <v/>
      </c>
      <c r="Y249" s="169" t="str">
        <f t="shared" si="132"/>
        <v/>
      </c>
      <c r="Z249" s="169" t="str">
        <f t="shared" si="132"/>
        <v/>
      </c>
      <c r="AA249" s="299" t="str">
        <f t="shared" si="132"/>
        <v/>
      </c>
      <c r="AB249" s="169" t="str">
        <f t="shared" si="133"/>
        <v/>
      </c>
      <c r="AC249" s="169" t="str">
        <f t="shared" si="133"/>
        <v/>
      </c>
      <c r="AD249" s="169" t="str">
        <f t="shared" si="133"/>
        <v/>
      </c>
      <c r="AE249" s="169" t="str">
        <f t="shared" si="133"/>
        <v/>
      </c>
      <c r="AF249" s="169" t="str">
        <f t="shared" si="133"/>
        <v/>
      </c>
      <c r="AG249" s="169" t="str">
        <f t="shared" si="133"/>
        <v/>
      </c>
      <c r="AH249" s="169" t="str">
        <f t="shared" si="133"/>
        <v/>
      </c>
      <c r="AI249" s="169" t="str">
        <f t="shared" si="133"/>
        <v/>
      </c>
      <c r="AJ249" s="299" t="str">
        <f t="shared" si="133"/>
        <v/>
      </c>
      <c r="AK249" s="298" t="str">
        <f t="shared" si="134"/>
        <v/>
      </c>
      <c r="AL249" s="299" t="str">
        <f t="shared" si="134"/>
        <v/>
      </c>
      <c r="AM249" s="169" t="str">
        <f t="shared" si="135"/>
        <v/>
      </c>
      <c r="AN249" s="169" t="str">
        <f t="shared" si="135"/>
        <v/>
      </c>
      <c r="AO249" s="169" t="str">
        <f t="shared" si="135"/>
        <v/>
      </c>
      <c r="AP249" s="169" t="str">
        <f t="shared" si="135"/>
        <v/>
      </c>
      <c r="AQ249" s="169" t="str">
        <f t="shared" si="135"/>
        <v/>
      </c>
      <c r="AR249" s="169" t="str">
        <f t="shared" si="135"/>
        <v/>
      </c>
      <c r="AS249" s="169" t="str">
        <f t="shared" si="135"/>
        <v/>
      </c>
      <c r="AT249" s="169" t="str">
        <f t="shared" si="135"/>
        <v/>
      </c>
      <c r="AU249" s="299" t="str">
        <f t="shared" si="135"/>
        <v/>
      </c>
      <c r="AV249" s="169" t="str">
        <f t="shared" si="112"/>
        <v/>
      </c>
      <c r="AW249" s="169" t="str">
        <f t="shared" si="116"/>
        <v/>
      </c>
      <c r="AX249" s="169" t="str">
        <f t="shared" si="116"/>
        <v/>
      </c>
      <c r="AY249" s="169" t="str">
        <f t="shared" si="139"/>
        <v/>
      </c>
      <c r="AZ249" s="169" t="str">
        <f t="shared" si="139"/>
        <v/>
      </c>
      <c r="BA249" s="299" t="str">
        <f t="shared" si="139"/>
        <v/>
      </c>
      <c r="BB249" s="169" t="str">
        <f t="shared" si="113"/>
        <v/>
      </c>
      <c r="BC249" s="169" t="str">
        <f t="shared" si="124"/>
        <v/>
      </c>
      <c r="BD249" s="169" t="str">
        <f t="shared" si="131"/>
        <v/>
      </c>
      <c r="BE249" s="169" t="str">
        <f t="shared" si="140"/>
        <v/>
      </c>
      <c r="BF249" s="169" t="str">
        <f t="shared" si="140"/>
        <v/>
      </c>
      <c r="BG249" s="169" t="str">
        <f t="shared" si="140"/>
        <v/>
      </c>
      <c r="BH249" s="298"/>
      <c r="BI249" s="169"/>
      <c r="BJ249" s="169"/>
      <c r="BK249" s="169"/>
      <c r="BL249" s="169"/>
      <c r="BM249" s="299"/>
      <c r="BN249" s="298" t="str">
        <f t="shared" si="136"/>
        <v/>
      </c>
      <c r="BO249" s="169" t="str">
        <f t="shared" si="136"/>
        <v/>
      </c>
      <c r="BP249" s="169" t="str">
        <f t="shared" si="136"/>
        <v/>
      </c>
      <c r="BQ249" s="169" t="str">
        <f t="shared" si="136"/>
        <v/>
      </c>
      <c r="BR249" s="169" t="str">
        <f t="shared" si="136"/>
        <v/>
      </c>
      <c r="BS249" s="169" t="str">
        <f t="shared" si="136"/>
        <v/>
      </c>
      <c r="BT249" s="169" t="str">
        <f t="shared" si="136"/>
        <v/>
      </c>
      <c r="BU249" s="169" t="str">
        <f t="shared" si="136"/>
        <v/>
      </c>
      <c r="BV249" s="299" t="str">
        <f t="shared" si="136"/>
        <v/>
      </c>
      <c r="BW249" s="298" t="str">
        <f t="shared" si="137"/>
        <v/>
      </c>
      <c r="BX249" s="169" t="str">
        <f t="shared" si="137"/>
        <v/>
      </c>
      <c r="BY249" s="169" t="str">
        <f t="shared" si="137"/>
        <v/>
      </c>
      <c r="BZ249" s="169" t="str">
        <f t="shared" si="137"/>
        <v/>
      </c>
      <c r="CA249" s="169" t="str">
        <f t="shared" si="137"/>
        <v/>
      </c>
      <c r="CB249" s="169" t="str">
        <f t="shared" si="137"/>
        <v/>
      </c>
      <c r="CC249" s="169" t="str">
        <f t="shared" si="137"/>
        <v/>
      </c>
      <c r="CD249" s="169" t="str">
        <f t="shared" si="137"/>
        <v/>
      </c>
      <c r="CE249" s="299" t="str">
        <f t="shared" si="137"/>
        <v/>
      </c>
      <c r="CF249" s="298"/>
      <c r="CG249" s="169"/>
      <c r="CH249" s="169"/>
      <c r="CI249" s="169"/>
      <c r="CJ249" s="169"/>
      <c r="CK249" s="299"/>
      <c r="CL249" s="298" t="str">
        <f t="shared" si="125"/>
        <v/>
      </c>
      <c r="CM249" s="169" t="str">
        <f t="shared" si="122"/>
        <v/>
      </c>
      <c r="CN249" s="169" t="str">
        <f t="shared" si="123"/>
        <v/>
      </c>
      <c r="CO249" s="169" t="str">
        <f t="shared" si="127"/>
        <v/>
      </c>
      <c r="CP249" s="169" t="str">
        <f t="shared" si="138"/>
        <v/>
      </c>
      <c r="CQ249" s="299" t="str">
        <f t="shared" si="138"/>
        <v/>
      </c>
      <c r="CR249" s="298" t="str">
        <f t="shared" si="143"/>
        <v/>
      </c>
      <c r="CS249" s="169" t="str">
        <f t="shared" si="143"/>
        <v/>
      </c>
      <c r="CT249" s="169" t="str">
        <f t="shared" si="143"/>
        <v/>
      </c>
      <c r="CU249" s="169" t="str">
        <f t="shared" si="143"/>
        <v/>
      </c>
      <c r="CV249" s="169" t="str">
        <f t="shared" si="143"/>
        <v/>
      </c>
      <c r="CW249" s="299" t="str">
        <f t="shared" si="143"/>
        <v/>
      </c>
      <c r="CX249" s="299" t="str">
        <f t="shared" si="126"/>
        <v/>
      </c>
      <c r="CZ249" s="10"/>
      <c r="DB249" s="10">
        <f t="shared" si="142"/>
        <v>0</v>
      </c>
      <c r="DC249" s="10">
        <f t="shared" si="141"/>
        <v>0</v>
      </c>
    </row>
    <row r="250" spans="2:107" x14ac:dyDescent="0.25">
      <c r="B250" s="116"/>
      <c r="C250" s="532" t="s">
        <v>207</v>
      </c>
      <c r="D250" s="529">
        <f t="shared" ref="D250:D259" si="144">E123</f>
        <v>0</v>
      </c>
      <c r="G250" s="40"/>
      <c r="Q250" s="47"/>
      <c r="S250" s="298" t="str">
        <f t="shared" si="132"/>
        <v/>
      </c>
      <c r="T250" s="169" t="str">
        <f t="shared" si="132"/>
        <v/>
      </c>
      <c r="U250" s="169" t="str">
        <f t="shared" si="132"/>
        <v/>
      </c>
      <c r="V250" s="169" t="str">
        <f t="shared" si="132"/>
        <v/>
      </c>
      <c r="W250" s="169" t="str">
        <f t="shared" si="132"/>
        <v/>
      </c>
      <c r="X250" s="169" t="str">
        <f t="shared" si="132"/>
        <v/>
      </c>
      <c r="Y250" s="169" t="str">
        <f t="shared" si="132"/>
        <v/>
      </c>
      <c r="Z250" s="169" t="str">
        <f t="shared" si="132"/>
        <v/>
      </c>
      <c r="AA250" s="299" t="str">
        <f t="shared" si="132"/>
        <v/>
      </c>
      <c r="AB250" s="169" t="str">
        <f t="shared" si="133"/>
        <v/>
      </c>
      <c r="AC250" s="169" t="str">
        <f t="shared" si="133"/>
        <v/>
      </c>
      <c r="AD250" s="169" t="str">
        <f t="shared" si="133"/>
        <v/>
      </c>
      <c r="AE250" s="169" t="str">
        <f t="shared" si="133"/>
        <v/>
      </c>
      <c r="AF250" s="169" t="str">
        <f t="shared" si="133"/>
        <v/>
      </c>
      <c r="AG250" s="169" t="str">
        <f t="shared" si="133"/>
        <v/>
      </c>
      <c r="AH250" s="169" t="str">
        <f t="shared" si="133"/>
        <v/>
      </c>
      <c r="AI250" s="169" t="str">
        <f t="shared" si="133"/>
        <v/>
      </c>
      <c r="AJ250" s="299" t="str">
        <f t="shared" si="133"/>
        <v/>
      </c>
      <c r="AK250" s="298" t="str">
        <f t="shared" si="134"/>
        <v/>
      </c>
      <c r="AL250" s="299" t="str">
        <f t="shared" si="134"/>
        <v/>
      </c>
      <c r="AM250" s="169" t="str">
        <f t="shared" si="135"/>
        <v/>
      </c>
      <c r="AN250" s="169" t="str">
        <f t="shared" si="135"/>
        <v/>
      </c>
      <c r="AO250" s="169" t="str">
        <f t="shared" si="135"/>
        <v/>
      </c>
      <c r="AP250" s="169" t="str">
        <f t="shared" si="135"/>
        <v/>
      </c>
      <c r="AQ250" s="169" t="str">
        <f t="shared" si="135"/>
        <v/>
      </c>
      <c r="AR250" s="169" t="str">
        <f t="shared" si="135"/>
        <v/>
      </c>
      <c r="AS250" s="169" t="str">
        <f t="shared" si="135"/>
        <v/>
      </c>
      <c r="AT250" s="169" t="str">
        <f t="shared" si="135"/>
        <v/>
      </c>
      <c r="AU250" s="299" t="str">
        <f t="shared" si="135"/>
        <v/>
      </c>
      <c r="AV250" s="169" t="str">
        <f t="shared" si="112"/>
        <v/>
      </c>
      <c r="AW250" s="169" t="str">
        <f t="shared" si="116"/>
        <v/>
      </c>
      <c r="AX250" s="169" t="str">
        <f t="shared" si="116"/>
        <v/>
      </c>
      <c r="AY250" s="169" t="str">
        <f t="shared" si="139"/>
        <v/>
      </c>
      <c r="AZ250" s="169" t="str">
        <f t="shared" si="139"/>
        <v/>
      </c>
      <c r="BA250" s="299" t="str">
        <f t="shared" si="139"/>
        <v/>
      </c>
      <c r="BB250" s="169" t="str">
        <f t="shared" si="113"/>
        <v/>
      </c>
      <c r="BC250" s="169" t="str">
        <f t="shared" si="124"/>
        <v/>
      </c>
      <c r="BD250" s="169" t="str">
        <f t="shared" si="131"/>
        <v/>
      </c>
      <c r="BE250" s="169" t="str">
        <f t="shared" si="140"/>
        <v/>
      </c>
      <c r="BF250" s="169" t="str">
        <f t="shared" si="140"/>
        <v/>
      </c>
      <c r="BG250" s="169" t="str">
        <f t="shared" si="140"/>
        <v/>
      </c>
      <c r="BH250" s="298"/>
      <c r="BI250" s="169"/>
      <c r="BJ250" s="169"/>
      <c r="BK250" s="169"/>
      <c r="BL250" s="169"/>
      <c r="BM250" s="299"/>
      <c r="BN250" s="298" t="str">
        <f t="shared" si="136"/>
        <v/>
      </c>
      <c r="BO250" s="169" t="str">
        <f t="shared" si="136"/>
        <v/>
      </c>
      <c r="BP250" s="169" t="str">
        <f t="shared" si="136"/>
        <v/>
      </c>
      <c r="BQ250" s="169" t="str">
        <f t="shared" si="136"/>
        <v/>
      </c>
      <c r="BR250" s="169" t="str">
        <f t="shared" si="136"/>
        <v/>
      </c>
      <c r="BS250" s="169" t="str">
        <f t="shared" si="136"/>
        <v/>
      </c>
      <c r="BT250" s="169" t="str">
        <f t="shared" si="136"/>
        <v/>
      </c>
      <c r="BU250" s="169" t="str">
        <f t="shared" si="136"/>
        <v/>
      </c>
      <c r="BV250" s="299" t="str">
        <f t="shared" si="136"/>
        <v/>
      </c>
      <c r="BW250" s="298" t="str">
        <f t="shared" si="137"/>
        <v/>
      </c>
      <c r="BX250" s="169" t="str">
        <f t="shared" si="137"/>
        <v/>
      </c>
      <c r="BY250" s="169" t="str">
        <f t="shared" si="137"/>
        <v/>
      </c>
      <c r="BZ250" s="169" t="str">
        <f t="shared" si="137"/>
        <v/>
      </c>
      <c r="CA250" s="169" t="str">
        <f t="shared" si="137"/>
        <v/>
      </c>
      <c r="CB250" s="169" t="str">
        <f t="shared" si="137"/>
        <v/>
      </c>
      <c r="CC250" s="169" t="str">
        <f t="shared" si="137"/>
        <v/>
      </c>
      <c r="CD250" s="169" t="str">
        <f t="shared" si="137"/>
        <v/>
      </c>
      <c r="CE250" s="299" t="str">
        <f t="shared" si="137"/>
        <v/>
      </c>
      <c r="CF250" s="298"/>
      <c r="CG250" s="169"/>
      <c r="CH250" s="169"/>
      <c r="CI250" s="169"/>
      <c r="CJ250" s="169"/>
      <c r="CK250" s="299"/>
      <c r="CL250" s="298" t="str">
        <f t="shared" si="125"/>
        <v/>
      </c>
      <c r="CM250" s="169" t="str">
        <f t="shared" si="122"/>
        <v/>
      </c>
      <c r="CN250" s="169" t="str">
        <f t="shared" si="123"/>
        <v/>
      </c>
      <c r="CO250" s="169" t="str">
        <f t="shared" si="127"/>
        <v/>
      </c>
      <c r="CP250" s="169" t="str">
        <f t="shared" si="138"/>
        <v/>
      </c>
      <c r="CQ250" s="299" t="str">
        <f t="shared" si="138"/>
        <v/>
      </c>
      <c r="CR250" s="298" t="str">
        <f t="shared" si="143"/>
        <v/>
      </c>
      <c r="CS250" s="169" t="str">
        <f t="shared" si="143"/>
        <v/>
      </c>
      <c r="CT250" s="169" t="str">
        <f t="shared" si="143"/>
        <v/>
      </c>
      <c r="CU250" s="169" t="str">
        <f t="shared" si="143"/>
        <v/>
      </c>
      <c r="CV250" s="169" t="str">
        <f t="shared" si="143"/>
        <v/>
      </c>
      <c r="CW250" s="299" t="str">
        <f t="shared" si="143"/>
        <v/>
      </c>
      <c r="CX250" s="299" t="str">
        <f t="shared" si="126"/>
        <v/>
      </c>
      <c r="CZ250" s="10"/>
      <c r="DB250" s="10">
        <f t="shared" si="142"/>
        <v>0</v>
      </c>
      <c r="DC250" s="10">
        <f t="shared" si="141"/>
        <v>0</v>
      </c>
    </row>
    <row r="251" spans="2:107" hidden="1" outlineLevel="1" x14ac:dyDescent="0.25">
      <c r="B251" s="116"/>
      <c r="C251" s="528">
        <f t="shared" ref="C251:C259" si="145">IF(C124&gt;0,B124 &amp; " (" &amp;C124 &amp; ")",B124)</f>
        <v>0</v>
      </c>
      <c r="D251" s="529">
        <f t="shared" si="144"/>
        <v>0</v>
      </c>
      <c r="G251" s="40"/>
      <c r="Q251" s="47"/>
      <c r="S251" s="298" t="str">
        <f t="shared" si="132"/>
        <v/>
      </c>
      <c r="T251" s="169" t="str">
        <f t="shared" si="132"/>
        <v/>
      </c>
      <c r="U251" s="169" t="str">
        <f t="shared" si="132"/>
        <v/>
      </c>
      <c r="V251" s="169" t="str">
        <f t="shared" si="132"/>
        <v/>
      </c>
      <c r="W251" s="169" t="str">
        <f t="shared" si="132"/>
        <v/>
      </c>
      <c r="X251" s="169" t="str">
        <f t="shared" si="132"/>
        <v/>
      </c>
      <c r="Y251" s="169" t="str">
        <f t="shared" si="132"/>
        <v/>
      </c>
      <c r="Z251" s="169" t="str">
        <f t="shared" si="132"/>
        <v/>
      </c>
      <c r="AA251" s="299" t="str">
        <f t="shared" si="132"/>
        <v/>
      </c>
      <c r="AB251" s="169" t="str">
        <f t="shared" si="133"/>
        <v/>
      </c>
      <c r="AC251" s="169" t="str">
        <f t="shared" si="133"/>
        <v/>
      </c>
      <c r="AD251" s="169" t="str">
        <f t="shared" si="133"/>
        <v/>
      </c>
      <c r="AE251" s="169" t="str">
        <f t="shared" si="133"/>
        <v/>
      </c>
      <c r="AF251" s="169" t="str">
        <f t="shared" si="133"/>
        <v/>
      </c>
      <c r="AG251" s="169" t="str">
        <f t="shared" si="133"/>
        <v/>
      </c>
      <c r="AH251" s="169" t="str">
        <f t="shared" si="133"/>
        <v/>
      </c>
      <c r="AI251" s="169" t="str">
        <f t="shared" si="133"/>
        <v/>
      </c>
      <c r="AJ251" s="299" t="str">
        <f t="shared" si="133"/>
        <v/>
      </c>
      <c r="AK251" s="298" t="str">
        <f t="shared" si="134"/>
        <v/>
      </c>
      <c r="AL251" s="299" t="str">
        <f t="shared" si="134"/>
        <v/>
      </c>
      <c r="AM251" s="169" t="str">
        <f t="shared" si="135"/>
        <v/>
      </c>
      <c r="AN251" s="169" t="str">
        <f t="shared" si="135"/>
        <v/>
      </c>
      <c r="AO251" s="169" t="str">
        <f t="shared" si="135"/>
        <v/>
      </c>
      <c r="AP251" s="169" t="str">
        <f t="shared" si="135"/>
        <v/>
      </c>
      <c r="AQ251" s="169" t="str">
        <f t="shared" si="135"/>
        <v/>
      </c>
      <c r="AR251" s="169" t="str">
        <f t="shared" si="135"/>
        <v/>
      </c>
      <c r="AS251" s="169" t="str">
        <f t="shared" si="135"/>
        <v/>
      </c>
      <c r="AT251" s="169" t="str">
        <f t="shared" si="135"/>
        <v/>
      </c>
      <c r="AU251" s="299" t="str">
        <f t="shared" si="135"/>
        <v/>
      </c>
      <c r="AV251" s="169" t="str">
        <f t="shared" si="112"/>
        <v/>
      </c>
      <c r="AW251" s="169" t="str">
        <f t="shared" ref="AW251:AX270" si="146">IF($J251=AW$159,$DC251,"")</f>
        <v/>
      </c>
      <c r="AX251" s="169" t="str">
        <f t="shared" si="146"/>
        <v/>
      </c>
      <c r="AY251" s="169" t="str">
        <f t="shared" si="139"/>
        <v/>
      </c>
      <c r="AZ251" s="169" t="str">
        <f t="shared" si="139"/>
        <v/>
      </c>
      <c r="BA251" s="299" t="str">
        <f t="shared" si="139"/>
        <v/>
      </c>
      <c r="BB251" s="169" t="str">
        <f t="shared" si="113"/>
        <v/>
      </c>
      <c r="BC251" s="169" t="str">
        <f t="shared" si="124"/>
        <v/>
      </c>
      <c r="BD251" s="169" t="str">
        <f t="shared" si="131"/>
        <v/>
      </c>
      <c r="BE251" s="169" t="str">
        <f t="shared" si="140"/>
        <v/>
      </c>
      <c r="BF251" s="169" t="str">
        <f t="shared" si="140"/>
        <v/>
      </c>
      <c r="BG251" s="169" t="str">
        <f t="shared" si="140"/>
        <v/>
      </c>
      <c r="BH251" s="298"/>
      <c r="BI251" s="169"/>
      <c r="BJ251" s="169"/>
      <c r="BK251" s="169"/>
      <c r="BL251" s="169"/>
      <c r="BM251" s="299"/>
      <c r="BN251" s="298" t="str">
        <f t="shared" si="136"/>
        <v/>
      </c>
      <c r="BO251" s="169" t="str">
        <f t="shared" si="136"/>
        <v/>
      </c>
      <c r="BP251" s="169" t="str">
        <f t="shared" si="136"/>
        <v/>
      </c>
      <c r="BQ251" s="169" t="str">
        <f t="shared" si="136"/>
        <v/>
      </c>
      <c r="BR251" s="169" t="str">
        <f t="shared" si="136"/>
        <v/>
      </c>
      <c r="BS251" s="169" t="str">
        <f t="shared" si="136"/>
        <v/>
      </c>
      <c r="BT251" s="169" t="str">
        <f t="shared" si="136"/>
        <v/>
      </c>
      <c r="BU251" s="169" t="str">
        <f t="shared" si="136"/>
        <v/>
      </c>
      <c r="BV251" s="299" t="str">
        <f t="shared" si="136"/>
        <v/>
      </c>
      <c r="BW251" s="298" t="str">
        <f t="shared" si="137"/>
        <v/>
      </c>
      <c r="BX251" s="169" t="str">
        <f t="shared" si="137"/>
        <v/>
      </c>
      <c r="BY251" s="169" t="str">
        <f t="shared" si="137"/>
        <v/>
      </c>
      <c r="BZ251" s="169" t="str">
        <f t="shared" si="137"/>
        <v/>
      </c>
      <c r="CA251" s="169" t="str">
        <f t="shared" si="137"/>
        <v/>
      </c>
      <c r="CB251" s="169" t="str">
        <f t="shared" si="137"/>
        <v/>
      </c>
      <c r="CC251" s="169" t="str">
        <f t="shared" si="137"/>
        <v/>
      </c>
      <c r="CD251" s="169" t="str">
        <f t="shared" si="137"/>
        <v/>
      </c>
      <c r="CE251" s="299" t="str">
        <f t="shared" si="137"/>
        <v/>
      </c>
      <c r="CF251" s="298"/>
      <c r="CG251" s="169"/>
      <c r="CH251" s="169"/>
      <c r="CI251" s="169"/>
      <c r="CJ251" s="169"/>
      <c r="CK251" s="299"/>
      <c r="CL251" s="298" t="str">
        <f t="shared" si="125"/>
        <v/>
      </c>
      <c r="CM251" s="169" t="str">
        <f t="shared" si="122"/>
        <v/>
      </c>
      <c r="CN251" s="169" t="str">
        <f t="shared" si="123"/>
        <v/>
      </c>
      <c r="CO251" s="169" t="str">
        <f t="shared" si="127"/>
        <v/>
      </c>
      <c r="CP251" s="169" t="str">
        <f t="shared" si="138"/>
        <v/>
      </c>
      <c r="CQ251" s="299" t="str">
        <f t="shared" si="138"/>
        <v/>
      </c>
      <c r="CR251" s="298" t="str">
        <f t="shared" si="143"/>
        <v/>
      </c>
      <c r="CS251" s="169" t="str">
        <f t="shared" si="143"/>
        <v/>
      </c>
      <c r="CT251" s="169" t="str">
        <f t="shared" si="143"/>
        <v/>
      </c>
      <c r="CU251" s="169" t="str">
        <f t="shared" si="143"/>
        <v/>
      </c>
      <c r="CV251" s="169" t="str">
        <f t="shared" si="143"/>
        <v/>
      </c>
      <c r="CW251" s="299" t="str">
        <f t="shared" si="143"/>
        <v/>
      </c>
      <c r="CX251" s="299" t="str">
        <f t="shared" si="126"/>
        <v/>
      </c>
      <c r="CZ251" s="10"/>
      <c r="DB251" s="10">
        <f t="shared" si="142"/>
        <v>0</v>
      </c>
      <c r="DC251" s="10">
        <f t="shared" si="141"/>
        <v>0</v>
      </c>
    </row>
    <row r="252" spans="2:107" hidden="1" outlineLevel="1" x14ac:dyDescent="0.25">
      <c r="B252" s="116"/>
      <c r="C252" s="528" t="str">
        <f t="shared" si="145"/>
        <v>XXX</v>
      </c>
      <c r="D252" s="529">
        <f t="shared" si="144"/>
        <v>0</v>
      </c>
      <c r="G252" s="40"/>
      <c r="Q252" s="47"/>
      <c r="S252" s="298" t="str">
        <f t="shared" ref="S252:AA261" si="147">IF($G252=S$159,$DB252,"")</f>
        <v/>
      </c>
      <c r="T252" s="169" t="str">
        <f t="shared" si="147"/>
        <v/>
      </c>
      <c r="U252" s="169" t="str">
        <f t="shared" si="147"/>
        <v/>
      </c>
      <c r="V252" s="169" t="str">
        <f t="shared" si="147"/>
        <v/>
      </c>
      <c r="W252" s="169" t="str">
        <f t="shared" si="147"/>
        <v/>
      </c>
      <c r="X252" s="169" t="str">
        <f t="shared" si="147"/>
        <v/>
      </c>
      <c r="Y252" s="169" t="str">
        <f t="shared" si="147"/>
        <v/>
      </c>
      <c r="Z252" s="169" t="str">
        <f t="shared" si="147"/>
        <v/>
      </c>
      <c r="AA252" s="299" t="str">
        <f t="shared" si="147"/>
        <v/>
      </c>
      <c r="AB252" s="169" t="str">
        <f t="shared" ref="AB252:AJ261" si="148">IF($H252=AB$159,$DB252,"")</f>
        <v/>
      </c>
      <c r="AC252" s="169" t="str">
        <f t="shared" si="148"/>
        <v/>
      </c>
      <c r="AD252" s="169" t="str">
        <f t="shared" si="148"/>
        <v/>
      </c>
      <c r="AE252" s="169" t="str">
        <f t="shared" si="148"/>
        <v/>
      </c>
      <c r="AF252" s="169" t="str">
        <f t="shared" si="148"/>
        <v/>
      </c>
      <c r="AG252" s="169" t="str">
        <f t="shared" si="148"/>
        <v/>
      </c>
      <c r="AH252" s="169" t="str">
        <f t="shared" si="148"/>
        <v/>
      </c>
      <c r="AI252" s="169" t="str">
        <f t="shared" si="148"/>
        <v/>
      </c>
      <c r="AJ252" s="299" t="str">
        <f t="shared" si="148"/>
        <v/>
      </c>
      <c r="AK252" s="298" t="str">
        <f t="shared" si="134"/>
        <v/>
      </c>
      <c r="AL252" s="299" t="str">
        <f t="shared" si="134"/>
        <v/>
      </c>
      <c r="AM252" s="169" t="str">
        <f t="shared" ref="AM252:AU261" si="149">IF($I252=AM$159,$DB252,"")</f>
        <v/>
      </c>
      <c r="AN252" s="169" t="str">
        <f t="shared" si="149"/>
        <v/>
      </c>
      <c r="AO252" s="169" t="str">
        <f t="shared" si="149"/>
        <v/>
      </c>
      <c r="AP252" s="169" t="str">
        <f t="shared" si="149"/>
        <v/>
      </c>
      <c r="AQ252" s="169" t="str">
        <f t="shared" si="149"/>
        <v/>
      </c>
      <c r="AR252" s="169" t="str">
        <f t="shared" si="149"/>
        <v/>
      </c>
      <c r="AS252" s="169" t="str">
        <f t="shared" si="149"/>
        <v/>
      </c>
      <c r="AT252" s="169" t="str">
        <f t="shared" si="149"/>
        <v/>
      </c>
      <c r="AU252" s="299" t="str">
        <f t="shared" si="149"/>
        <v/>
      </c>
      <c r="AV252" s="169" t="str">
        <f t="shared" si="112"/>
        <v/>
      </c>
      <c r="AW252" s="169" t="str">
        <f t="shared" si="146"/>
        <v/>
      </c>
      <c r="AX252" s="169" t="str">
        <f t="shared" si="146"/>
        <v/>
      </c>
      <c r="AY252" s="169" t="str">
        <f t="shared" si="139"/>
        <v/>
      </c>
      <c r="AZ252" s="169" t="str">
        <f t="shared" si="139"/>
        <v/>
      </c>
      <c r="BA252" s="299" t="str">
        <f t="shared" si="139"/>
        <v/>
      </c>
      <c r="BB252" s="169" t="str">
        <f t="shared" si="113"/>
        <v/>
      </c>
      <c r="BC252" s="169" t="str">
        <f t="shared" si="124"/>
        <v/>
      </c>
      <c r="BD252" s="169" t="str">
        <f t="shared" si="131"/>
        <v/>
      </c>
      <c r="BE252" s="169" t="str">
        <f t="shared" si="140"/>
        <v/>
      </c>
      <c r="BF252" s="169" t="str">
        <f t="shared" si="140"/>
        <v/>
      </c>
      <c r="BG252" s="169" t="str">
        <f t="shared" si="140"/>
        <v/>
      </c>
      <c r="BH252" s="298"/>
      <c r="BI252" s="169"/>
      <c r="BJ252" s="169"/>
      <c r="BK252" s="169"/>
      <c r="BL252" s="169"/>
      <c r="BM252" s="299"/>
      <c r="BN252" s="298" t="str">
        <f t="shared" ref="BN252:BV261" si="150">IF($M252=BN$159,$DB252,"")</f>
        <v/>
      </c>
      <c r="BO252" s="169" t="str">
        <f t="shared" si="150"/>
        <v/>
      </c>
      <c r="BP252" s="169" t="str">
        <f t="shared" si="150"/>
        <v/>
      </c>
      <c r="BQ252" s="169" t="str">
        <f t="shared" si="150"/>
        <v/>
      </c>
      <c r="BR252" s="169" t="str">
        <f t="shared" si="150"/>
        <v/>
      </c>
      <c r="BS252" s="169" t="str">
        <f t="shared" si="150"/>
        <v/>
      </c>
      <c r="BT252" s="169" t="str">
        <f t="shared" si="150"/>
        <v/>
      </c>
      <c r="BU252" s="169" t="str">
        <f t="shared" si="150"/>
        <v/>
      </c>
      <c r="BV252" s="299" t="str">
        <f t="shared" si="150"/>
        <v/>
      </c>
      <c r="BW252" s="298" t="str">
        <f t="shared" ref="BW252:CE261" si="151">IF($N252=BW$159,$DB252,"")</f>
        <v/>
      </c>
      <c r="BX252" s="169" t="str">
        <f t="shared" si="151"/>
        <v/>
      </c>
      <c r="BY252" s="169" t="str">
        <f t="shared" si="151"/>
        <v/>
      </c>
      <c r="BZ252" s="169" t="str">
        <f t="shared" si="151"/>
        <v/>
      </c>
      <c r="CA252" s="169" t="str">
        <f t="shared" si="151"/>
        <v/>
      </c>
      <c r="CB252" s="169" t="str">
        <f t="shared" si="151"/>
        <v/>
      </c>
      <c r="CC252" s="169" t="str">
        <f t="shared" si="151"/>
        <v/>
      </c>
      <c r="CD252" s="169" t="str">
        <f t="shared" si="151"/>
        <v/>
      </c>
      <c r="CE252" s="299" t="str">
        <f t="shared" si="151"/>
        <v/>
      </c>
      <c r="CF252" s="298"/>
      <c r="CG252" s="169"/>
      <c r="CH252" s="169"/>
      <c r="CI252" s="169"/>
      <c r="CJ252" s="169"/>
      <c r="CK252" s="299"/>
      <c r="CL252" s="298" t="str">
        <f t="shared" si="125"/>
        <v/>
      </c>
      <c r="CM252" s="169" t="str">
        <f t="shared" si="122"/>
        <v/>
      </c>
      <c r="CN252" s="169" t="str">
        <f t="shared" si="123"/>
        <v/>
      </c>
      <c r="CO252" s="169" t="str">
        <f t="shared" si="127"/>
        <v/>
      </c>
      <c r="CP252" s="169" t="str">
        <f t="shared" si="138"/>
        <v/>
      </c>
      <c r="CQ252" s="299" t="str">
        <f t="shared" si="138"/>
        <v/>
      </c>
      <c r="CR252" s="298" t="str">
        <f t="shared" si="143"/>
        <v/>
      </c>
      <c r="CS252" s="169" t="str">
        <f t="shared" si="143"/>
        <v/>
      </c>
      <c r="CT252" s="169" t="str">
        <f t="shared" si="143"/>
        <v/>
      </c>
      <c r="CU252" s="169" t="str">
        <f t="shared" si="143"/>
        <v/>
      </c>
      <c r="CV252" s="169" t="str">
        <f t="shared" si="143"/>
        <v/>
      </c>
      <c r="CW252" s="299" t="str">
        <f t="shared" si="143"/>
        <v/>
      </c>
      <c r="CX252" s="299" t="str">
        <f t="shared" si="126"/>
        <v/>
      </c>
      <c r="CZ252" s="10"/>
      <c r="DB252" s="10">
        <f t="shared" si="142"/>
        <v>0</v>
      </c>
      <c r="DC252" s="10">
        <f t="shared" si="141"/>
        <v>0</v>
      </c>
    </row>
    <row r="253" spans="2:107" hidden="1" outlineLevel="1" x14ac:dyDescent="0.25">
      <c r="B253" s="116"/>
      <c r="C253" s="528">
        <f t="shared" si="145"/>
        <v>0</v>
      </c>
      <c r="D253" s="529">
        <f t="shared" si="144"/>
        <v>0</v>
      </c>
      <c r="G253" s="40"/>
      <c r="Q253" s="47"/>
      <c r="S253" s="298" t="str">
        <f t="shared" si="147"/>
        <v/>
      </c>
      <c r="T253" s="169" t="str">
        <f t="shared" si="147"/>
        <v/>
      </c>
      <c r="U253" s="169" t="str">
        <f t="shared" si="147"/>
        <v/>
      </c>
      <c r="V253" s="169" t="str">
        <f t="shared" si="147"/>
        <v/>
      </c>
      <c r="W253" s="169" t="str">
        <f t="shared" si="147"/>
        <v/>
      </c>
      <c r="X253" s="169" t="str">
        <f t="shared" si="147"/>
        <v/>
      </c>
      <c r="Y253" s="169" t="str">
        <f t="shared" si="147"/>
        <v/>
      </c>
      <c r="Z253" s="169" t="str">
        <f t="shared" si="147"/>
        <v/>
      </c>
      <c r="AA253" s="299" t="str">
        <f t="shared" si="147"/>
        <v/>
      </c>
      <c r="AB253" s="169" t="str">
        <f t="shared" si="148"/>
        <v/>
      </c>
      <c r="AC253" s="169" t="str">
        <f t="shared" si="148"/>
        <v/>
      </c>
      <c r="AD253" s="169" t="str">
        <f t="shared" si="148"/>
        <v/>
      </c>
      <c r="AE253" s="169" t="str">
        <f t="shared" si="148"/>
        <v/>
      </c>
      <c r="AF253" s="169" t="str">
        <f t="shared" si="148"/>
        <v/>
      </c>
      <c r="AG253" s="169" t="str">
        <f t="shared" si="148"/>
        <v/>
      </c>
      <c r="AH253" s="169" t="str">
        <f t="shared" si="148"/>
        <v/>
      </c>
      <c r="AI253" s="169" t="str">
        <f t="shared" si="148"/>
        <v/>
      </c>
      <c r="AJ253" s="299" t="str">
        <f t="shared" si="148"/>
        <v/>
      </c>
      <c r="AK253" s="298" t="str">
        <f t="shared" si="134"/>
        <v/>
      </c>
      <c r="AL253" s="299" t="str">
        <f t="shared" si="134"/>
        <v/>
      </c>
      <c r="AM253" s="169" t="str">
        <f t="shared" si="149"/>
        <v/>
      </c>
      <c r="AN253" s="169" t="str">
        <f t="shared" si="149"/>
        <v/>
      </c>
      <c r="AO253" s="169" t="str">
        <f t="shared" si="149"/>
        <v/>
      </c>
      <c r="AP253" s="169" t="str">
        <f t="shared" si="149"/>
        <v/>
      </c>
      <c r="AQ253" s="169" t="str">
        <f t="shared" si="149"/>
        <v/>
      </c>
      <c r="AR253" s="169" t="str">
        <f t="shared" si="149"/>
        <v/>
      </c>
      <c r="AS253" s="169" t="str">
        <f t="shared" si="149"/>
        <v/>
      </c>
      <c r="AT253" s="169" t="str">
        <f t="shared" si="149"/>
        <v/>
      </c>
      <c r="AU253" s="299" t="str">
        <f t="shared" si="149"/>
        <v/>
      </c>
      <c r="AV253" s="169" t="str">
        <f t="shared" si="112"/>
        <v/>
      </c>
      <c r="AW253" s="169" t="str">
        <f t="shared" si="146"/>
        <v/>
      </c>
      <c r="AX253" s="169" t="str">
        <f t="shared" si="146"/>
        <v/>
      </c>
      <c r="AY253" s="169" t="str">
        <f t="shared" si="139"/>
        <v/>
      </c>
      <c r="AZ253" s="169" t="str">
        <f t="shared" si="139"/>
        <v/>
      </c>
      <c r="BA253" s="299" t="str">
        <f t="shared" si="139"/>
        <v/>
      </c>
      <c r="BB253" s="169" t="str">
        <f t="shared" si="113"/>
        <v/>
      </c>
      <c r="BC253" s="169" t="str">
        <f t="shared" si="124"/>
        <v/>
      </c>
      <c r="BD253" s="169" t="str">
        <f t="shared" si="131"/>
        <v/>
      </c>
      <c r="BE253" s="169" t="str">
        <f t="shared" si="140"/>
        <v/>
      </c>
      <c r="BF253" s="169" t="str">
        <f t="shared" si="140"/>
        <v/>
      </c>
      <c r="BG253" s="169" t="str">
        <f t="shared" si="140"/>
        <v/>
      </c>
      <c r="BH253" s="298"/>
      <c r="BI253" s="169"/>
      <c r="BJ253" s="169"/>
      <c r="BK253" s="169"/>
      <c r="BL253" s="169"/>
      <c r="BM253" s="299"/>
      <c r="BN253" s="298" t="str">
        <f t="shared" si="150"/>
        <v/>
      </c>
      <c r="BO253" s="169" t="str">
        <f t="shared" si="150"/>
        <v/>
      </c>
      <c r="BP253" s="169" t="str">
        <f t="shared" si="150"/>
        <v/>
      </c>
      <c r="BQ253" s="169" t="str">
        <f t="shared" si="150"/>
        <v/>
      </c>
      <c r="BR253" s="169" t="str">
        <f t="shared" si="150"/>
        <v/>
      </c>
      <c r="BS253" s="169" t="str">
        <f t="shared" si="150"/>
        <v/>
      </c>
      <c r="BT253" s="169" t="str">
        <f t="shared" si="150"/>
        <v/>
      </c>
      <c r="BU253" s="169" t="str">
        <f t="shared" si="150"/>
        <v/>
      </c>
      <c r="BV253" s="299" t="str">
        <f t="shared" si="150"/>
        <v/>
      </c>
      <c r="BW253" s="298" t="str">
        <f t="shared" si="151"/>
        <v/>
      </c>
      <c r="BX253" s="169" t="str">
        <f t="shared" si="151"/>
        <v/>
      </c>
      <c r="BY253" s="169" t="str">
        <f t="shared" si="151"/>
        <v/>
      </c>
      <c r="BZ253" s="169" t="str">
        <f t="shared" si="151"/>
        <v/>
      </c>
      <c r="CA253" s="169" t="str">
        <f t="shared" si="151"/>
        <v/>
      </c>
      <c r="CB253" s="169" t="str">
        <f t="shared" si="151"/>
        <v/>
      </c>
      <c r="CC253" s="169" t="str">
        <f t="shared" si="151"/>
        <v/>
      </c>
      <c r="CD253" s="169" t="str">
        <f t="shared" si="151"/>
        <v/>
      </c>
      <c r="CE253" s="299" t="str">
        <f t="shared" si="151"/>
        <v/>
      </c>
      <c r="CF253" s="298"/>
      <c r="CG253" s="169"/>
      <c r="CH253" s="169"/>
      <c r="CI253" s="169"/>
      <c r="CJ253" s="169"/>
      <c r="CK253" s="299"/>
      <c r="CL253" s="298" t="str">
        <f t="shared" si="125"/>
        <v/>
      </c>
      <c r="CM253" s="169" t="str">
        <f t="shared" si="122"/>
        <v/>
      </c>
      <c r="CN253" s="169" t="str">
        <f t="shared" si="123"/>
        <v/>
      </c>
      <c r="CO253" s="169" t="str">
        <f t="shared" si="127"/>
        <v/>
      </c>
      <c r="CP253" s="169" t="str">
        <f t="shared" si="138"/>
        <v/>
      </c>
      <c r="CQ253" s="299" t="str">
        <f t="shared" si="138"/>
        <v/>
      </c>
      <c r="CR253" s="298" t="str">
        <f t="shared" si="143"/>
        <v/>
      </c>
      <c r="CS253" s="169" t="str">
        <f t="shared" si="143"/>
        <v/>
      </c>
      <c r="CT253" s="169" t="str">
        <f t="shared" si="143"/>
        <v/>
      </c>
      <c r="CU253" s="169" t="str">
        <f t="shared" si="143"/>
        <v/>
      </c>
      <c r="CV253" s="169" t="str">
        <f t="shared" si="143"/>
        <v/>
      </c>
      <c r="CW253" s="299" t="str">
        <f t="shared" si="143"/>
        <v/>
      </c>
      <c r="CX253" s="299" t="str">
        <f t="shared" si="126"/>
        <v/>
      </c>
      <c r="CZ253" s="10"/>
      <c r="DB253" s="10">
        <f t="shared" si="142"/>
        <v>0</v>
      </c>
      <c r="DC253" s="10">
        <f t="shared" si="141"/>
        <v>0</v>
      </c>
    </row>
    <row r="254" spans="2:107" hidden="1" outlineLevel="1" x14ac:dyDescent="0.25">
      <c r="B254" s="116"/>
      <c r="C254" s="528">
        <f t="shared" si="145"/>
        <v>0</v>
      </c>
      <c r="D254" s="529">
        <f t="shared" si="144"/>
        <v>0</v>
      </c>
      <c r="G254" s="40"/>
      <c r="Q254" s="47"/>
      <c r="S254" s="298" t="str">
        <f t="shared" si="147"/>
        <v/>
      </c>
      <c r="T254" s="169" t="str">
        <f t="shared" si="147"/>
        <v/>
      </c>
      <c r="U254" s="169" t="str">
        <f t="shared" si="147"/>
        <v/>
      </c>
      <c r="V254" s="169" t="str">
        <f t="shared" si="147"/>
        <v/>
      </c>
      <c r="W254" s="169" t="str">
        <f t="shared" si="147"/>
        <v/>
      </c>
      <c r="X254" s="169" t="str">
        <f t="shared" si="147"/>
        <v/>
      </c>
      <c r="Y254" s="169" t="str">
        <f t="shared" si="147"/>
        <v/>
      </c>
      <c r="Z254" s="169" t="str">
        <f t="shared" si="147"/>
        <v/>
      </c>
      <c r="AA254" s="299" t="str">
        <f t="shared" si="147"/>
        <v/>
      </c>
      <c r="AB254" s="169" t="str">
        <f t="shared" si="148"/>
        <v/>
      </c>
      <c r="AC254" s="169" t="str">
        <f t="shared" si="148"/>
        <v/>
      </c>
      <c r="AD254" s="169" t="str">
        <f t="shared" si="148"/>
        <v/>
      </c>
      <c r="AE254" s="169" t="str">
        <f t="shared" si="148"/>
        <v/>
      </c>
      <c r="AF254" s="169" t="str">
        <f t="shared" si="148"/>
        <v/>
      </c>
      <c r="AG254" s="169" t="str">
        <f t="shared" si="148"/>
        <v/>
      </c>
      <c r="AH254" s="169" t="str">
        <f t="shared" si="148"/>
        <v/>
      </c>
      <c r="AI254" s="169" t="str">
        <f t="shared" si="148"/>
        <v/>
      </c>
      <c r="AJ254" s="299" t="str">
        <f t="shared" si="148"/>
        <v/>
      </c>
      <c r="AK254" s="298" t="str">
        <f t="shared" si="134"/>
        <v/>
      </c>
      <c r="AL254" s="299" t="str">
        <f t="shared" si="134"/>
        <v/>
      </c>
      <c r="AM254" s="169" t="str">
        <f t="shared" si="149"/>
        <v/>
      </c>
      <c r="AN254" s="169" t="str">
        <f t="shared" si="149"/>
        <v/>
      </c>
      <c r="AO254" s="169" t="str">
        <f t="shared" si="149"/>
        <v/>
      </c>
      <c r="AP254" s="169" t="str">
        <f t="shared" si="149"/>
        <v/>
      </c>
      <c r="AQ254" s="169" t="str">
        <f t="shared" si="149"/>
        <v/>
      </c>
      <c r="AR254" s="169" t="str">
        <f t="shared" si="149"/>
        <v/>
      </c>
      <c r="AS254" s="169" t="str">
        <f t="shared" si="149"/>
        <v/>
      </c>
      <c r="AT254" s="169" t="str">
        <f t="shared" si="149"/>
        <v/>
      </c>
      <c r="AU254" s="299" t="str">
        <f t="shared" si="149"/>
        <v/>
      </c>
      <c r="AV254" s="169" t="str">
        <f t="shared" si="112"/>
        <v/>
      </c>
      <c r="AW254" s="169" t="str">
        <f t="shared" si="146"/>
        <v/>
      </c>
      <c r="AX254" s="169" t="str">
        <f t="shared" si="146"/>
        <v/>
      </c>
      <c r="AY254" s="169" t="str">
        <f t="shared" si="139"/>
        <v/>
      </c>
      <c r="AZ254" s="169" t="str">
        <f t="shared" si="139"/>
        <v/>
      </c>
      <c r="BA254" s="299" t="str">
        <f t="shared" si="139"/>
        <v/>
      </c>
      <c r="BB254" s="169" t="str">
        <f t="shared" si="113"/>
        <v/>
      </c>
      <c r="BC254" s="169" t="str">
        <f t="shared" si="124"/>
        <v/>
      </c>
      <c r="BD254" s="169" t="str">
        <f t="shared" si="131"/>
        <v/>
      </c>
      <c r="BE254" s="169" t="str">
        <f t="shared" si="140"/>
        <v/>
      </c>
      <c r="BF254" s="169" t="str">
        <f t="shared" si="140"/>
        <v/>
      </c>
      <c r="BG254" s="169" t="str">
        <f t="shared" si="140"/>
        <v/>
      </c>
      <c r="BH254" s="298"/>
      <c r="BI254" s="169"/>
      <c r="BJ254" s="169"/>
      <c r="BK254" s="169"/>
      <c r="BL254" s="169"/>
      <c r="BM254" s="299"/>
      <c r="BN254" s="298" t="str">
        <f t="shared" si="150"/>
        <v/>
      </c>
      <c r="BO254" s="169" t="str">
        <f t="shared" si="150"/>
        <v/>
      </c>
      <c r="BP254" s="169" t="str">
        <f t="shared" si="150"/>
        <v/>
      </c>
      <c r="BQ254" s="169" t="str">
        <f t="shared" si="150"/>
        <v/>
      </c>
      <c r="BR254" s="169" t="str">
        <f t="shared" si="150"/>
        <v/>
      </c>
      <c r="BS254" s="169" t="str">
        <f t="shared" si="150"/>
        <v/>
      </c>
      <c r="BT254" s="169" t="str">
        <f t="shared" si="150"/>
        <v/>
      </c>
      <c r="BU254" s="169" t="str">
        <f t="shared" si="150"/>
        <v/>
      </c>
      <c r="BV254" s="299" t="str">
        <f t="shared" si="150"/>
        <v/>
      </c>
      <c r="BW254" s="298" t="str">
        <f t="shared" si="151"/>
        <v/>
      </c>
      <c r="BX254" s="169" t="str">
        <f t="shared" si="151"/>
        <v/>
      </c>
      <c r="BY254" s="169" t="str">
        <f t="shared" si="151"/>
        <v/>
      </c>
      <c r="BZ254" s="169" t="str">
        <f t="shared" si="151"/>
        <v/>
      </c>
      <c r="CA254" s="169" t="str">
        <f t="shared" si="151"/>
        <v/>
      </c>
      <c r="CB254" s="169" t="str">
        <f t="shared" si="151"/>
        <v/>
      </c>
      <c r="CC254" s="169" t="str">
        <f t="shared" si="151"/>
        <v/>
      </c>
      <c r="CD254" s="169" t="str">
        <f t="shared" si="151"/>
        <v/>
      </c>
      <c r="CE254" s="299" t="str">
        <f t="shared" si="151"/>
        <v/>
      </c>
      <c r="CF254" s="298"/>
      <c r="CG254" s="169"/>
      <c r="CH254" s="169"/>
      <c r="CI254" s="169"/>
      <c r="CJ254" s="169"/>
      <c r="CK254" s="299"/>
      <c r="CL254" s="298" t="str">
        <f t="shared" si="125"/>
        <v/>
      </c>
      <c r="CM254" s="169" t="str">
        <f t="shared" si="122"/>
        <v/>
      </c>
      <c r="CN254" s="169" t="str">
        <f t="shared" si="123"/>
        <v/>
      </c>
      <c r="CO254" s="169" t="str">
        <f t="shared" si="127"/>
        <v/>
      </c>
      <c r="CP254" s="169" t="str">
        <f t="shared" si="138"/>
        <v/>
      </c>
      <c r="CQ254" s="299" t="str">
        <f t="shared" si="138"/>
        <v/>
      </c>
      <c r="CR254" s="298" t="str">
        <f t="shared" si="143"/>
        <v/>
      </c>
      <c r="CS254" s="169" t="str">
        <f t="shared" si="143"/>
        <v/>
      </c>
      <c r="CT254" s="169" t="str">
        <f t="shared" si="143"/>
        <v/>
      </c>
      <c r="CU254" s="169" t="str">
        <f t="shared" si="143"/>
        <v/>
      </c>
      <c r="CV254" s="169" t="str">
        <f t="shared" si="143"/>
        <v/>
      </c>
      <c r="CW254" s="299" t="str">
        <f t="shared" si="143"/>
        <v/>
      </c>
      <c r="CX254" s="299" t="str">
        <f t="shared" si="126"/>
        <v/>
      </c>
      <c r="CZ254" s="10"/>
      <c r="DB254" s="10">
        <f t="shared" si="142"/>
        <v>0</v>
      </c>
      <c r="DC254" s="10">
        <f t="shared" si="141"/>
        <v>0</v>
      </c>
    </row>
    <row r="255" spans="2:107" hidden="1" outlineLevel="1" x14ac:dyDescent="0.25">
      <c r="B255" s="116"/>
      <c r="C255" s="528">
        <f t="shared" si="145"/>
        <v>0</v>
      </c>
      <c r="D255" s="529">
        <f t="shared" si="144"/>
        <v>0</v>
      </c>
      <c r="G255" s="40"/>
      <c r="Q255" s="47"/>
      <c r="S255" s="298" t="str">
        <f t="shared" si="147"/>
        <v/>
      </c>
      <c r="T255" s="169" t="str">
        <f t="shared" si="147"/>
        <v/>
      </c>
      <c r="U255" s="169" t="str">
        <f t="shared" si="147"/>
        <v/>
      </c>
      <c r="V255" s="169" t="str">
        <f t="shared" si="147"/>
        <v/>
      </c>
      <c r="W255" s="169" t="str">
        <f t="shared" si="147"/>
        <v/>
      </c>
      <c r="X255" s="169" t="str">
        <f t="shared" si="147"/>
        <v/>
      </c>
      <c r="Y255" s="169" t="str">
        <f t="shared" si="147"/>
        <v/>
      </c>
      <c r="Z255" s="169" t="str">
        <f t="shared" si="147"/>
        <v/>
      </c>
      <c r="AA255" s="299" t="str">
        <f t="shared" si="147"/>
        <v/>
      </c>
      <c r="AB255" s="169" t="str">
        <f t="shared" si="148"/>
        <v/>
      </c>
      <c r="AC255" s="169" t="str">
        <f t="shared" si="148"/>
        <v/>
      </c>
      <c r="AD255" s="169" t="str">
        <f t="shared" si="148"/>
        <v/>
      </c>
      <c r="AE255" s="169" t="str">
        <f t="shared" si="148"/>
        <v/>
      </c>
      <c r="AF255" s="169" t="str">
        <f t="shared" si="148"/>
        <v/>
      </c>
      <c r="AG255" s="169" t="str">
        <f t="shared" si="148"/>
        <v/>
      </c>
      <c r="AH255" s="169" t="str">
        <f t="shared" si="148"/>
        <v/>
      </c>
      <c r="AI255" s="169" t="str">
        <f t="shared" si="148"/>
        <v/>
      </c>
      <c r="AJ255" s="299" t="str">
        <f t="shared" si="148"/>
        <v/>
      </c>
      <c r="AK255" s="298" t="str">
        <f t="shared" si="134"/>
        <v/>
      </c>
      <c r="AL255" s="299" t="str">
        <f t="shared" si="134"/>
        <v/>
      </c>
      <c r="AM255" s="169" t="str">
        <f t="shared" si="149"/>
        <v/>
      </c>
      <c r="AN255" s="169" t="str">
        <f t="shared" si="149"/>
        <v/>
      </c>
      <c r="AO255" s="169" t="str">
        <f t="shared" si="149"/>
        <v/>
      </c>
      <c r="AP255" s="169" t="str">
        <f t="shared" si="149"/>
        <v/>
      </c>
      <c r="AQ255" s="169" t="str">
        <f t="shared" si="149"/>
        <v/>
      </c>
      <c r="AR255" s="169" t="str">
        <f t="shared" si="149"/>
        <v/>
      </c>
      <c r="AS255" s="169" t="str">
        <f t="shared" si="149"/>
        <v/>
      </c>
      <c r="AT255" s="169" t="str">
        <f t="shared" si="149"/>
        <v/>
      </c>
      <c r="AU255" s="299" t="str">
        <f t="shared" si="149"/>
        <v/>
      </c>
      <c r="AV255" s="169" t="str">
        <f t="shared" si="112"/>
        <v/>
      </c>
      <c r="AW255" s="169" t="str">
        <f t="shared" si="146"/>
        <v/>
      </c>
      <c r="AX255" s="169" t="str">
        <f t="shared" si="146"/>
        <v/>
      </c>
      <c r="AY255" s="169" t="str">
        <f t="shared" si="139"/>
        <v/>
      </c>
      <c r="AZ255" s="169" t="str">
        <f t="shared" si="139"/>
        <v/>
      </c>
      <c r="BA255" s="299" t="str">
        <f t="shared" si="139"/>
        <v/>
      </c>
      <c r="BB255" s="169" t="str">
        <f t="shared" si="113"/>
        <v/>
      </c>
      <c r="BC255" s="169" t="str">
        <f t="shared" si="124"/>
        <v/>
      </c>
      <c r="BD255" s="169" t="str">
        <f t="shared" si="131"/>
        <v/>
      </c>
      <c r="BE255" s="169" t="str">
        <f t="shared" si="140"/>
        <v/>
      </c>
      <c r="BF255" s="169" t="str">
        <f t="shared" si="140"/>
        <v/>
      </c>
      <c r="BG255" s="169" t="str">
        <f t="shared" si="140"/>
        <v/>
      </c>
      <c r="BH255" s="298"/>
      <c r="BI255" s="169"/>
      <c r="BJ255" s="169"/>
      <c r="BK255" s="169"/>
      <c r="BL255" s="169"/>
      <c r="BM255" s="299"/>
      <c r="BN255" s="298" t="str">
        <f t="shared" si="150"/>
        <v/>
      </c>
      <c r="BO255" s="169" t="str">
        <f t="shared" si="150"/>
        <v/>
      </c>
      <c r="BP255" s="169" t="str">
        <f t="shared" si="150"/>
        <v/>
      </c>
      <c r="BQ255" s="169" t="str">
        <f t="shared" si="150"/>
        <v/>
      </c>
      <c r="BR255" s="169" t="str">
        <f t="shared" si="150"/>
        <v/>
      </c>
      <c r="BS255" s="169" t="str">
        <f t="shared" si="150"/>
        <v/>
      </c>
      <c r="BT255" s="169" t="str">
        <f t="shared" si="150"/>
        <v/>
      </c>
      <c r="BU255" s="169" t="str">
        <f t="shared" si="150"/>
        <v/>
      </c>
      <c r="BV255" s="299" t="str">
        <f t="shared" si="150"/>
        <v/>
      </c>
      <c r="BW255" s="298" t="str">
        <f t="shared" si="151"/>
        <v/>
      </c>
      <c r="BX255" s="169" t="str">
        <f t="shared" si="151"/>
        <v/>
      </c>
      <c r="BY255" s="169" t="str">
        <f t="shared" si="151"/>
        <v/>
      </c>
      <c r="BZ255" s="169" t="str">
        <f t="shared" si="151"/>
        <v/>
      </c>
      <c r="CA255" s="169" t="str">
        <f t="shared" si="151"/>
        <v/>
      </c>
      <c r="CB255" s="169" t="str">
        <f t="shared" si="151"/>
        <v/>
      </c>
      <c r="CC255" s="169" t="str">
        <f t="shared" si="151"/>
        <v/>
      </c>
      <c r="CD255" s="169" t="str">
        <f t="shared" si="151"/>
        <v/>
      </c>
      <c r="CE255" s="299" t="str">
        <f t="shared" si="151"/>
        <v/>
      </c>
      <c r="CF255" s="298"/>
      <c r="CG255" s="169"/>
      <c r="CH255" s="169"/>
      <c r="CI255" s="169"/>
      <c r="CJ255" s="169"/>
      <c r="CK255" s="299"/>
      <c r="CL255" s="298" t="str">
        <f t="shared" si="125"/>
        <v/>
      </c>
      <c r="CM255" s="169" t="str">
        <f t="shared" si="122"/>
        <v/>
      </c>
      <c r="CN255" s="169" t="str">
        <f t="shared" si="123"/>
        <v/>
      </c>
      <c r="CO255" s="169" t="str">
        <f t="shared" si="127"/>
        <v/>
      </c>
      <c r="CP255" s="169" t="str">
        <f t="shared" si="138"/>
        <v/>
      </c>
      <c r="CQ255" s="299" t="str">
        <f t="shared" si="138"/>
        <v/>
      </c>
      <c r="CR255" s="298" t="str">
        <f t="shared" si="143"/>
        <v/>
      </c>
      <c r="CS255" s="169" t="str">
        <f t="shared" si="143"/>
        <v/>
      </c>
      <c r="CT255" s="169" t="str">
        <f t="shared" si="143"/>
        <v/>
      </c>
      <c r="CU255" s="169" t="str">
        <f t="shared" si="143"/>
        <v/>
      </c>
      <c r="CV255" s="169" t="str">
        <f t="shared" si="143"/>
        <v/>
      </c>
      <c r="CW255" s="299" t="str">
        <f t="shared" si="143"/>
        <v/>
      </c>
      <c r="CX255" s="299" t="str">
        <f t="shared" si="126"/>
        <v/>
      </c>
      <c r="CZ255" s="10"/>
      <c r="DB255" s="10">
        <f t="shared" si="142"/>
        <v>0</v>
      </c>
      <c r="DC255" s="10">
        <f t="shared" si="141"/>
        <v>0</v>
      </c>
    </row>
    <row r="256" spans="2:107" hidden="1" outlineLevel="1" x14ac:dyDescent="0.25">
      <c r="B256" s="116"/>
      <c r="C256" s="528">
        <f t="shared" si="145"/>
        <v>0</v>
      </c>
      <c r="D256" s="529">
        <f t="shared" si="144"/>
        <v>0</v>
      </c>
      <c r="G256" s="40"/>
      <c r="Q256" s="47"/>
      <c r="S256" s="298" t="str">
        <f t="shared" si="147"/>
        <v/>
      </c>
      <c r="T256" s="169" t="str">
        <f t="shared" si="147"/>
        <v/>
      </c>
      <c r="U256" s="169" t="str">
        <f t="shared" si="147"/>
        <v/>
      </c>
      <c r="V256" s="169" t="str">
        <f t="shared" si="147"/>
        <v/>
      </c>
      <c r="W256" s="169" t="str">
        <f t="shared" si="147"/>
        <v/>
      </c>
      <c r="X256" s="169" t="str">
        <f t="shared" si="147"/>
        <v/>
      </c>
      <c r="Y256" s="169" t="str">
        <f t="shared" si="147"/>
        <v/>
      </c>
      <c r="Z256" s="169" t="str">
        <f t="shared" si="147"/>
        <v/>
      </c>
      <c r="AA256" s="299" t="str">
        <f t="shared" si="147"/>
        <v/>
      </c>
      <c r="AB256" s="169" t="str">
        <f t="shared" si="148"/>
        <v/>
      </c>
      <c r="AC256" s="169" t="str">
        <f t="shared" si="148"/>
        <v/>
      </c>
      <c r="AD256" s="169" t="str">
        <f t="shared" si="148"/>
        <v/>
      </c>
      <c r="AE256" s="169" t="str">
        <f t="shared" si="148"/>
        <v/>
      </c>
      <c r="AF256" s="169" t="str">
        <f t="shared" si="148"/>
        <v/>
      </c>
      <c r="AG256" s="169" t="str">
        <f t="shared" si="148"/>
        <v/>
      </c>
      <c r="AH256" s="169" t="str">
        <f t="shared" si="148"/>
        <v/>
      </c>
      <c r="AI256" s="169" t="str">
        <f t="shared" si="148"/>
        <v/>
      </c>
      <c r="AJ256" s="299" t="str">
        <f t="shared" si="148"/>
        <v/>
      </c>
      <c r="AK256" s="298" t="str">
        <f t="shared" si="134"/>
        <v/>
      </c>
      <c r="AL256" s="299" t="str">
        <f t="shared" si="134"/>
        <v/>
      </c>
      <c r="AM256" s="169" t="str">
        <f t="shared" si="149"/>
        <v/>
      </c>
      <c r="AN256" s="169" t="str">
        <f t="shared" si="149"/>
        <v/>
      </c>
      <c r="AO256" s="169" t="str">
        <f t="shared" si="149"/>
        <v/>
      </c>
      <c r="AP256" s="169" t="str">
        <f t="shared" si="149"/>
        <v/>
      </c>
      <c r="AQ256" s="169" t="str">
        <f t="shared" si="149"/>
        <v/>
      </c>
      <c r="AR256" s="169" t="str">
        <f t="shared" si="149"/>
        <v/>
      </c>
      <c r="AS256" s="169" t="str">
        <f t="shared" si="149"/>
        <v/>
      </c>
      <c r="AT256" s="169" t="str">
        <f t="shared" si="149"/>
        <v/>
      </c>
      <c r="AU256" s="299" t="str">
        <f t="shared" si="149"/>
        <v/>
      </c>
      <c r="AV256" s="169" t="str">
        <f t="shared" si="112"/>
        <v/>
      </c>
      <c r="AW256" s="169" t="str">
        <f t="shared" si="146"/>
        <v/>
      </c>
      <c r="AX256" s="169" t="str">
        <f t="shared" si="146"/>
        <v/>
      </c>
      <c r="AY256" s="169" t="str">
        <f t="shared" si="139"/>
        <v/>
      </c>
      <c r="AZ256" s="169" t="str">
        <f t="shared" si="139"/>
        <v/>
      </c>
      <c r="BA256" s="299" t="str">
        <f t="shared" si="139"/>
        <v/>
      </c>
      <c r="BB256" s="169" t="str">
        <f t="shared" si="113"/>
        <v/>
      </c>
      <c r="BC256" s="169" t="str">
        <f t="shared" si="124"/>
        <v/>
      </c>
      <c r="BD256" s="169" t="str">
        <f t="shared" si="131"/>
        <v/>
      </c>
      <c r="BE256" s="169" t="str">
        <f t="shared" si="140"/>
        <v/>
      </c>
      <c r="BF256" s="169" t="str">
        <f t="shared" si="140"/>
        <v/>
      </c>
      <c r="BG256" s="169" t="str">
        <f t="shared" si="140"/>
        <v/>
      </c>
      <c r="BH256" s="298"/>
      <c r="BI256" s="169"/>
      <c r="BJ256" s="169"/>
      <c r="BK256" s="169"/>
      <c r="BL256" s="169"/>
      <c r="BM256" s="299"/>
      <c r="BN256" s="298" t="str">
        <f t="shared" si="150"/>
        <v/>
      </c>
      <c r="BO256" s="169" t="str">
        <f t="shared" si="150"/>
        <v/>
      </c>
      <c r="BP256" s="169" t="str">
        <f t="shared" si="150"/>
        <v/>
      </c>
      <c r="BQ256" s="169" t="str">
        <f t="shared" si="150"/>
        <v/>
      </c>
      <c r="BR256" s="169" t="str">
        <f t="shared" si="150"/>
        <v/>
      </c>
      <c r="BS256" s="169" t="str">
        <f t="shared" si="150"/>
        <v/>
      </c>
      <c r="BT256" s="169" t="str">
        <f t="shared" si="150"/>
        <v/>
      </c>
      <c r="BU256" s="169" t="str">
        <f t="shared" si="150"/>
        <v/>
      </c>
      <c r="BV256" s="299" t="str">
        <f t="shared" si="150"/>
        <v/>
      </c>
      <c r="BW256" s="298" t="str">
        <f t="shared" si="151"/>
        <v/>
      </c>
      <c r="BX256" s="169" t="str">
        <f t="shared" si="151"/>
        <v/>
      </c>
      <c r="BY256" s="169" t="str">
        <f t="shared" si="151"/>
        <v/>
      </c>
      <c r="BZ256" s="169" t="str">
        <f t="shared" si="151"/>
        <v/>
      </c>
      <c r="CA256" s="169" t="str">
        <f t="shared" si="151"/>
        <v/>
      </c>
      <c r="CB256" s="169" t="str">
        <f t="shared" si="151"/>
        <v/>
      </c>
      <c r="CC256" s="169" t="str">
        <f t="shared" si="151"/>
        <v/>
      </c>
      <c r="CD256" s="169" t="str">
        <f t="shared" si="151"/>
        <v/>
      </c>
      <c r="CE256" s="299" t="str">
        <f t="shared" si="151"/>
        <v/>
      </c>
      <c r="CF256" s="298"/>
      <c r="CG256" s="169"/>
      <c r="CH256" s="169"/>
      <c r="CI256" s="169"/>
      <c r="CJ256" s="169"/>
      <c r="CK256" s="299"/>
      <c r="CL256" s="298" t="str">
        <f t="shared" si="125"/>
        <v/>
      </c>
      <c r="CM256" s="169" t="str">
        <f t="shared" si="122"/>
        <v/>
      </c>
      <c r="CN256" s="169" t="str">
        <f t="shared" si="123"/>
        <v/>
      </c>
      <c r="CO256" s="169" t="str">
        <f t="shared" si="127"/>
        <v/>
      </c>
      <c r="CP256" s="169" t="str">
        <f t="shared" si="138"/>
        <v/>
      </c>
      <c r="CQ256" s="299" t="str">
        <f t="shared" si="138"/>
        <v/>
      </c>
      <c r="CR256" s="298" t="str">
        <f t="shared" ref="CR256:CW265" si="152">IF($P256=CR$159,$DC256,"")</f>
        <v/>
      </c>
      <c r="CS256" s="169" t="str">
        <f t="shared" si="152"/>
        <v/>
      </c>
      <c r="CT256" s="169" t="str">
        <f t="shared" si="152"/>
        <v/>
      </c>
      <c r="CU256" s="169" t="str">
        <f t="shared" si="152"/>
        <v/>
      </c>
      <c r="CV256" s="169" t="str">
        <f t="shared" si="152"/>
        <v/>
      </c>
      <c r="CW256" s="299" t="str">
        <f t="shared" si="152"/>
        <v/>
      </c>
      <c r="CX256" s="299" t="str">
        <f t="shared" si="126"/>
        <v/>
      </c>
      <c r="CZ256" s="10"/>
      <c r="DB256" s="10">
        <f t="shared" si="142"/>
        <v>0</v>
      </c>
      <c r="DC256" s="10">
        <f t="shared" si="141"/>
        <v>0</v>
      </c>
    </row>
    <row r="257" spans="2:107" hidden="1" outlineLevel="1" x14ac:dyDescent="0.25">
      <c r="B257" s="116"/>
      <c r="C257" s="528" t="str">
        <f t="shared" si="145"/>
        <v xml:space="preserve"> ---Nothing Follows--- </v>
      </c>
      <c r="D257" s="529">
        <f t="shared" si="144"/>
        <v>0</v>
      </c>
      <c r="G257" s="40"/>
      <c r="Q257" s="47"/>
      <c r="S257" s="298" t="str">
        <f t="shared" si="147"/>
        <v/>
      </c>
      <c r="T257" s="169" t="str">
        <f t="shared" si="147"/>
        <v/>
      </c>
      <c r="U257" s="169" t="str">
        <f t="shared" si="147"/>
        <v/>
      </c>
      <c r="V257" s="169" t="str">
        <f t="shared" si="147"/>
        <v/>
      </c>
      <c r="W257" s="169" t="str">
        <f t="shared" si="147"/>
        <v/>
      </c>
      <c r="X257" s="169" t="str">
        <f t="shared" si="147"/>
        <v/>
      </c>
      <c r="Y257" s="169" t="str">
        <f t="shared" si="147"/>
        <v/>
      </c>
      <c r="Z257" s="169" t="str">
        <f t="shared" si="147"/>
        <v/>
      </c>
      <c r="AA257" s="299" t="str">
        <f t="shared" si="147"/>
        <v/>
      </c>
      <c r="AB257" s="169" t="str">
        <f t="shared" si="148"/>
        <v/>
      </c>
      <c r="AC257" s="169" t="str">
        <f t="shared" si="148"/>
        <v/>
      </c>
      <c r="AD257" s="169" t="str">
        <f t="shared" si="148"/>
        <v/>
      </c>
      <c r="AE257" s="169" t="str">
        <f t="shared" si="148"/>
        <v/>
      </c>
      <c r="AF257" s="169" t="str">
        <f t="shared" si="148"/>
        <v/>
      </c>
      <c r="AG257" s="169" t="str">
        <f t="shared" si="148"/>
        <v/>
      </c>
      <c r="AH257" s="169" t="str">
        <f t="shared" si="148"/>
        <v/>
      </c>
      <c r="AI257" s="169" t="str">
        <f t="shared" si="148"/>
        <v/>
      </c>
      <c r="AJ257" s="299" t="str">
        <f t="shared" si="148"/>
        <v/>
      </c>
      <c r="AK257" s="298" t="str">
        <f t="shared" si="134"/>
        <v/>
      </c>
      <c r="AL257" s="299" t="str">
        <f t="shared" si="134"/>
        <v/>
      </c>
      <c r="AM257" s="169" t="str">
        <f t="shared" si="149"/>
        <v/>
      </c>
      <c r="AN257" s="169" t="str">
        <f t="shared" si="149"/>
        <v/>
      </c>
      <c r="AO257" s="169" t="str">
        <f t="shared" si="149"/>
        <v/>
      </c>
      <c r="AP257" s="169" t="str">
        <f t="shared" si="149"/>
        <v/>
      </c>
      <c r="AQ257" s="169" t="str">
        <f t="shared" si="149"/>
        <v/>
      </c>
      <c r="AR257" s="169" t="str">
        <f t="shared" si="149"/>
        <v/>
      </c>
      <c r="AS257" s="169" t="str">
        <f t="shared" si="149"/>
        <v/>
      </c>
      <c r="AT257" s="169" t="str">
        <f t="shared" si="149"/>
        <v/>
      </c>
      <c r="AU257" s="299" t="str">
        <f t="shared" si="149"/>
        <v/>
      </c>
      <c r="AV257" s="169" t="str">
        <f t="shared" si="112"/>
        <v/>
      </c>
      <c r="AW257" s="169" t="str">
        <f t="shared" si="146"/>
        <v/>
      </c>
      <c r="AX257" s="169" t="str">
        <f t="shared" si="146"/>
        <v/>
      </c>
      <c r="AY257" s="169" t="str">
        <f t="shared" si="139"/>
        <v/>
      </c>
      <c r="AZ257" s="169" t="str">
        <f t="shared" si="139"/>
        <v/>
      </c>
      <c r="BA257" s="299" t="str">
        <f t="shared" si="139"/>
        <v/>
      </c>
      <c r="BB257" s="169" t="str">
        <f t="shared" si="113"/>
        <v/>
      </c>
      <c r="BC257" s="169" t="str">
        <f t="shared" si="124"/>
        <v/>
      </c>
      <c r="BD257" s="169" t="str">
        <f t="shared" si="131"/>
        <v/>
      </c>
      <c r="BE257" s="169" t="str">
        <f t="shared" si="140"/>
        <v/>
      </c>
      <c r="BF257" s="169" t="str">
        <f t="shared" si="140"/>
        <v/>
      </c>
      <c r="BG257" s="169" t="str">
        <f t="shared" si="140"/>
        <v/>
      </c>
      <c r="BH257" s="298"/>
      <c r="BI257" s="169"/>
      <c r="BJ257" s="169"/>
      <c r="BK257" s="169"/>
      <c r="BL257" s="169"/>
      <c r="BM257" s="299"/>
      <c r="BN257" s="298" t="str">
        <f t="shared" si="150"/>
        <v/>
      </c>
      <c r="BO257" s="169" t="str">
        <f t="shared" si="150"/>
        <v/>
      </c>
      <c r="BP257" s="169" t="str">
        <f t="shared" si="150"/>
        <v/>
      </c>
      <c r="BQ257" s="169" t="str">
        <f t="shared" si="150"/>
        <v/>
      </c>
      <c r="BR257" s="169" t="str">
        <f t="shared" si="150"/>
        <v/>
      </c>
      <c r="BS257" s="169" t="str">
        <f t="shared" si="150"/>
        <v/>
      </c>
      <c r="BT257" s="169" t="str">
        <f t="shared" si="150"/>
        <v/>
      </c>
      <c r="BU257" s="169" t="str">
        <f t="shared" si="150"/>
        <v/>
      </c>
      <c r="BV257" s="299" t="str">
        <f t="shared" si="150"/>
        <v/>
      </c>
      <c r="BW257" s="298" t="str">
        <f t="shared" si="151"/>
        <v/>
      </c>
      <c r="BX257" s="169" t="str">
        <f t="shared" si="151"/>
        <v/>
      </c>
      <c r="BY257" s="169" t="str">
        <f t="shared" si="151"/>
        <v/>
      </c>
      <c r="BZ257" s="169" t="str">
        <f t="shared" si="151"/>
        <v/>
      </c>
      <c r="CA257" s="169" t="str">
        <f t="shared" si="151"/>
        <v/>
      </c>
      <c r="CB257" s="169" t="str">
        <f t="shared" si="151"/>
        <v/>
      </c>
      <c r="CC257" s="169" t="str">
        <f t="shared" si="151"/>
        <v/>
      </c>
      <c r="CD257" s="169" t="str">
        <f t="shared" si="151"/>
        <v/>
      </c>
      <c r="CE257" s="299" t="str">
        <f t="shared" si="151"/>
        <v/>
      </c>
      <c r="CF257" s="298"/>
      <c r="CG257" s="169"/>
      <c r="CH257" s="169"/>
      <c r="CI257" s="169"/>
      <c r="CJ257" s="169"/>
      <c r="CK257" s="299"/>
      <c r="CL257" s="298" t="str">
        <f t="shared" si="125"/>
        <v/>
      </c>
      <c r="CM257" s="169" t="str">
        <f t="shared" si="122"/>
        <v/>
      </c>
      <c r="CN257" s="169" t="str">
        <f t="shared" si="123"/>
        <v/>
      </c>
      <c r="CO257" s="169" t="str">
        <f t="shared" si="127"/>
        <v/>
      </c>
      <c r="CP257" s="169" t="str">
        <f t="shared" si="138"/>
        <v/>
      </c>
      <c r="CQ257" s="299" t="str">
        <f t="shared" si="138"/>
        <v/>
      </c>
      <c r="CR257" s="298" t="str">
        <f t="shared" si="152"/>
        <v/>
      </c>
      <c r="CS257" s="169" t="str">
        <f t="shared" si="152"/>
        <v/>
      </c>
      <c r="CT257" s="169" t="str">
        <f t="shared" si="152"/>
        <v/>
      </c>
      <c r="CU257" s="169" t="str">
        <f t="shared" si="152"/>
        <v/>
      </c>
      <c r="CV257" s="169" t="str">
        <f t="shared" si="152"/>
        <v/>
      </c>
      <c r="CW257" s="299" t="str">
        <f t="shared" si="152"/>
        <v/>
      </c>
      <c r="CX257" s="299" t="str">
        <f t="shared" si="126"/>
        <v/>
      </c>
      <c r="CZ257" s="10"/>
      <c r="DB257" s="10">
        <f t="shared" si="142"/>
        <v>0</v>
      </c>
      <c r="DC257" s="10">
        <f t="shared" si="141"/>
        <v>0</v>
      </c>
    </row>
    <row r="258" spans="2:107" ht="15.75" collapsed="1" thickBot="1" x14ac:dyDescent="0.3">
      <c r="B258" s="116"/>
      <c r="C258" s="530">
        <f t="shared" si="145"/>
        <v>0</v>
      </c>
      <c r="D258" s="531">
        <f t="shared" si="144"/>
        <v>0</v>
      </c>
      <c r="G258" s="40"/>
      <c r="Q258" s="47"/>
      <c r="S258" s="298" t="str">
        <f t="shared" si="147"/>
        <v/>
      </c>
      <c r="T258" s="169" t="str">
        <f t="shared" si="147"/>
        <v/>
      </c>
      <c r="U258" s="169" t="str">
        <f t="shared" si="147"/>
        <v/>
      </c>
      <c r="V258" s="169" t="str">
        <f t="shared" si="147"/>
        <v/>
      </c>
      <c r="W258" s="169" t="str">
        <f t="shared" si="147"/>
        <v/>
      </c>
      <c r="X258" s="169" t="str">
        <f t="shared" si="147"/>
        <v/>
      </c>
      <c r="Y258" s="169" t="str">
        <f t="shared" si="147"/>
        <v/>
      </c>
      <c r="Z258" s="169" t="str">
        <f t="shared" si="147"/>
        <v/>
      </c>
      <c r="AA258" s="299" t="str">
        <f t="shared" si="147"/>
        <v/>
      </c>
      <c r="AB258" s="169" t="str">
        <f t="shared" si="148"/>
        <v/>
      </c>
      <c r="AC258" s="169" t="str">
        <f t="shared" si="148"/>
        <v/>
      </c>
      <c r="AD258" s="169" t="str">
        <f t="shared" si="148"/>
        <v/>
      </c>
      <c r="AE258" s="169" t="str">
        <f t="shared" si="148"/>
        <v/>
      </c>
      <c r="AF258" s="169" t="str">
        <f t="shared" si="148"/>
        <v/>
      </c>
      <c r="AG258" s="169" t="str">
        <f t="shared" si="148"/>
        <v/>
      </c>
      <c r="AH258" s="169" t="str">
        <f t="shared" si="148"/>
        <v/>
      </c>
      <c r="AI258" s="169" t="str">
        <f t="shared" si="148"/>
        <v/>
      </c>
      <c r="AJ258" s="299" t="str">
        <f t="shared" si="148"/>
        <v/>
      </c>
      <c r="AK258" s="298" t="str">
        <f t="shared" si="134"/>
        <v/>
      </c>
      <c r="AL258" s="299" t="str">
        <f t="shared" si="134"/>
        <v/>
      </c>
      <c r="AM258" s="169" t="str">
        <f t="shared" si="149"/>
        <v/>
      </c>
      <c r="AN258" s="169" t="str">
        <f t="shared" si="149"/>
        <v/>
      </c>
      <c r="AO258" s="169" t="str">
        <f t="shared" si="149"/>
        <v/>
      </c>
      <c r="AP258" s="169" t="str">
        <f t="shared" si="149"/>
        <v/>
      </c>
      <c r="AQ258" s="169" t="str">
        <f t="shared" si="149"/>
        <v/>
      </c>
      <c r="AR258" s="169" t="str">
        <f t="shared" si="149"/>
        <v/>
      </c>
      <c r="AS258" s="169" t="str">
        <f t="shared" si="149"/>
        <v/>
      </c>
      <c r="AT258" s="169" t="str">
        <f t="shared" si="149"/>
        <v/>
      </c>
      <c r="AU258" s="299" t="str">
        <f t="shared" si="149"/>
        <v/>
      </c>
      <c r="AV258" s="169" t="str">
        <f t="shared" si="112"/>
        <v/>
      </c>
      <c r="AW258" s="169" t="str">
        <f t="shared" si="146"/>
        <v/>
      </c>
      <c r="AX258" s="169" t="str">
        <f t="shared" si="146"/>
        <v/>
      </c>
      <c r="AY258" s="169" t="str">
        <f t="shared" si="139"/>
        <v/>
      </c>
      <c r="AZ258" s="169" t="str">
        <f t="shared" si="139"/>
        <v/>
      </c>
      <c r="BA258" s="299" t="str">
        <f t="shared" si="139"/>
        <v/>
      </c>
      <c r="BB258" s="169" t="str">
        <f t="shared" si="113"/>
        <v/>
      </c>
      <c r="BC258" s="169" t="str">
        <f t="shared" si="124"/>
        <v/>
      </c>
      <c r="BD258" s="169" t="str">
        <f t="shared" si="131"/>
        <v/>
      </c>
      <c r="BE258" s="169" t="str">
        <f t="shared" si="140"/>
        <v/>
      </c>
      <c r="BF258" s="169" t="str">
        <f t="shared" si="140"/>
        <v/>
      </c>
      <c r="BG258" s="169" t="str">
        <f t="shared" si="140"/>
        <v/>
      </c>
      <c r="BH258" s="298"/>
      <c r="BI258" s="169"/>
      <c r="BJ258" s="169"/>
      <c r="BK258" s="169"/>
      <c r="BL258" s="169"/>
      <c r="BM258" s="299"/>
      <c r="BN258" s="298" t="str">
        <f t="shared" si="150"/>
        <v/>
      </c>
      <c r="BO258" s="169" t="str">
        <f t="shared" si="150"/>
        <v/>
      </c>
      <c r="BP258" s="169" t="str">
        <f t="shared" si="150"/>
        <v/>
      </c>
      <c r="BQ258" s="169" t="str">
        <f t="shared" si="150"/>
        <v/>
      </c>
      <c r="BR258" s="169" t="str">
        <f t="shared" si="150"/>
        <v/>
      </c>
      <c r="BS258" s="169" t="str">
        <f t="shared" si="150"/>
        <v/>
      </c>
      <c r="BT258" s="169" t="str">
        <f t="shared" si="150"/>
        <v/>
      </c>
      <c r="BU258" s="169" t="str">
        <f t="shared" si="150"/>
        <v/>
      </c>
      <c r="BV258" s="299" t="str">
        <f t="shared" si="150"/>
        <v/>
      </c>
      <c r="BW258" s="298" t="str">
        <f t="shared" si="151"/>
        <v/>
      </c>
      <c r="BX258" s="169" t="str">
        <f t="shared" si="151"/>
        <v/>
      </c>
      <c r="BY258" s="169" t="str">
        <f t="shared" si="151"/>
        <v/>
      </c>
      <c r="BZ258" s="169" t="str">
        <f t="shared" si="151"/>
        <v/>
      </c>
      <c r="CA258" s="169" t="str">
        <f t="shared" si="151"/>
        <v/>
      </c>
      <c r="CB258" s="169" t="str">
        <f t="shared" si="151"/>
        <v/>
      </c>
      <c r="CC258" s="169" t="str">
        <f t="shared" si="151"/>
        <v/>
      </c>
      <c r="CD258" s="169" t="str">
        <f t="shared" si="151"/>
        <v/>
      </c>
      <c r="CE258" s="299" t="str">
        <f t="shared" si="151"/>
        <v/>
      </c>
      <c r="CF258" s="298"/>
      <c r="CG258" s="169"/>
      <c r="CH258" s="169"/>
      <c r="CI258" s="169"/>
      <c r="CJ258" s="169"/>
      <c r="CK258" s="299"/>
      <c r="CL258" s="298" t="str">
        <f t="shared" si="125"/>
        <v/>
      </c>
      <c r="CM258" s="169" t="str">
        <f t="shared" si="122"/>
        <v/>
      </c>
      <c r="CN258" s="169" t="str">
        <f t="shared" si="123"/>
        <v/>
      </c>
      <c r="CO258" s="169" t="str">
        <f t="shared" si="127"/>
        <v/>
      </c>
      <c r="CP258" s="169" t="str">
        <f t="shared" si="138"/>
        <v/>
      </c>
      <c r="CQ258" s="299" t="str">
        <f t="shared" si="138"/>
        <v/>
      </c>
      <c r="CR258" s="298" t="str">
        <f t="shared" si="152"/>
        <v/>
      </c>
      <c r="CS258" s="169" t="str">
        <f t="shared" si="152"/>
        <v/>
      </c>
      <c r="CT258" s="169" t="str">
        <f t="shared" si="152"/>
        <v/>
      </c>
      <c r="CU258" s="169" t="str">
        <f t="shared" si="152"/>
        <v/>
      </c>
      <c r="CV258" s="169" t="str">
        <f t="shared" si="152"/>
        <v/>
      </c>
      <c r="CW258" s="299" t="str">
        <f t="shared" si="152"/>
        <v/>
      </c>
      <c r="CX258" s="299" t="str">
        <f t="shared" si="126"/>
        <v/>
      </c>
      <c r="CZ258" s="10"/>
      <c r="DB258" s="10">
        <f t="shared" si="142"/>
        <v>0</v>
      </c>
      <c r="DC258" s="10">
        <f t="shared" si="141"/>
        <v>0</v>
      </c>
    </row>
    <row r="259" spans="2:107" ht="15.75" thickTop="1" x14ac:dyDescent="0.25">
      <c r="B259" s="116"/>
      <c r="C259" s="528">
        <f t="shared" si="145"/>
        <v>0</v>
      </c>
      <c r="D259" s="529">
        <f t="shared" si="144"/>
        <v>0</v>
      </c>
      <c r="G259" s="40"/>
      <c r="Q259" s="47"/>
      <c r="S259" s="298" t="str">
        <f t="shared" si="147"/>
        <v/>
      </c>
      <c r="T259" s="169" t="str">
        <f t="shared" si="147"/>
        <v/>
      </c>
      <c r="U259" s="169" t="str">
        <f t="shared" si="147"/>
        <v/>
      </c>
      <c r="V259" s="169" t="str">
        <f t="shared" si="147"/>
        <v/>
      </c>
      <c r="W259" s="169" t="str">
        <f t="shared" si="147"/>
        <v/>
      </c>
      <c r="X259" s="169" t="str">
        <f t="shared" si="147"/>
        <v/>
      </c>
      <c r="Y259" s="169" t="str">
        <f t="shared" si="147"/>
        <v/>
      </c>
      <c r="Z259" s="169" t="str">
        <f t="shared" si="147"/>
        <v/>
      </c>
      <c r="AA259" s="299" t="str">
        <f t="shared" si="147"/>
        <v/>
      </c>
      <c r="AB259" s="169" t="str">
        <f t="shared" si="148"/>
        <v/>
      </c>
      <c r="AC259" s="169" t="str">
        <f t="shared" si="148"/>
        <v/>
      </c>
      <c r="AD259" s="169" t="str">
        <f t="shared" si="148"/>
        <v/>
      </c>
      <c r="AE259" s="169" t="str">
        <f t="shared" si="148"/>
        <v/>
      </c>
      <c r="AF259" s="169" t="str">
        <f t="shared" si="148"/>
        <v/>
      </c>
      <c r="AG259" s="169" t="str">
        <f t="shared" si="148"/>
        <v/>
      </c>
      <c r="AH259" s="169" t="str">
        <f t="shared" si="148"/>
        <v/>
      </c>
      <c r="AI259" s="169" t="str">
        <f t="shared" si="148"/>
        <v/>
      </c>
      <c r="AJ259" s="299" t="str">
        <f t="shared" si="148"/>
        <v/>
      </c>
      <c r="AK259" s="298" t="str">
        <f t="shared" si="134"/>
        <v/>
      </c>
      <c r="AL259" s="299" t="str">
        <f t="shared" si="134"/>
        <v/>
      </c>
      <c r="AM259" s="169" t="str">
        <f t="shared" si="149"/>
        <v/>
      </c>
      <c r="AN259" s="169" t="str">
        <f t="shared" si="149"/>
        <v/>
      </c>
      <c r="AO259" s="169" t="str">
        <f t="shared" si="149"/>
        <v/>
      </c>
      <c r="AP259" s="169" t="str">
        <f t="shared" si="149"/>
        <v/>
      </c>
      <c r="AQ259" s="169" t="str">
        <f t="shared" si="149"/>
        <v/>
      </c>
      <c r="AR259" s="169" t="str">
        <f t="shared" si="149"/>
        <v/>
      </c>
      <c r="AS259" s="169" t="str">
        <f t="shared" si="149"/>
        <v/>
      </c>
      <c r="AT259" s="169" t="str">
        <f t="shared" si="149"/>
        <v/>
      </c>
      <c r="AU259" s="299" t="str">
        <f t="shared" si="149"/>
        <v/>
      </c>
      <c r="AV259" s="169" t="str">
        <f t="shared" ref="AV259:AV281" si="153">IF($J259=AV$159,$DC259,"")</f>
        <v/>
      </c>
      <c r="AW259" s="169" t="str">
        <f t="shared" si="146"/>
        <v/>
      </c>
      <c r="AX259" s="169" t="str">
        <f t="shared" si="146"/>
        <v/>
      </c>
      <c r="AY259" s="169" t="str">
        <f t="shared" si="139"/>
        <v/>
      </c>
      <c r="AZ259" s="169" t="str">
        <f t="shared" si="139"/>
        <v/>
      </c>
      <c r="BA259" s="299" t="str">
        <f t="shared" si="139"/>
        <v/>
      </c>
      <c r="BB259" s="169" t="str">
        <f t="shared" si="113"/>
        <v/>
      </c>
      <c r="BC259" s="169" t="str">
        <f t="shared" si="124"/>
        <v/>
      </c>
      <c r="BD259" s="169" t="str">
        <f t="shared" si="131"/>
        <v/>
      </c>
      <c r="BE259" s="169" t="str">
        <f t="shared" si="140"/>
        <v/>
      </c>
      <c r="BF259" s="169" t="str">
        <f t="shared" si="140"/>
        <v/>
      </c>
      <c r="BG259" s="169" t="str">
        <f t="shared" si="140"/>
        <v/>
      </c>
      <c r="BH259" s="298"/>
      <c r="BI259" s="169"/>
      <c r="BJ259" s="169"/>
      <c r="BK259" s="169"/>
      <c r="BL259" s="169"/>
      <c r="BM259" s="299"/>
      <c r="BN259" s="298" t="str">
        <f t="shared" si="150"/>
        <v/>
      </c>
      <c r="BO259" s="169" t="str">
        <f t="shared" si="150"/>
        <v/>
      </c>
      <c r="BP259" s="169" t="str">
        <f t="shared" si="150"/>
        <v/>
      </c>
      <c r="BQ259" s="169" t="str">
        <f t="shared" si="150"/>
        <v/>
      </c>
      <c r="BR259" s="169" t="str">
        <f t="shared" si="150"/>
        <v/>
      </c>
      <c r="BS259" s="169" t="str">
        <f t="shared" si="150"/>
        <v/>
      </c>
      <c r="BT259" s="169" t="str">
        <f t="shared" si="150"/>
        <v/>
      </c>
      <c r="BU259" s="169" t="str">
        <f t="shared" si="150"/>
        <v/>
      </c>
      <c r="BV259" s="299" t="str">
        <f t="shared" si="150"/>
        <v/>
      </c>
      <c r="BW259" s="298" t="str">
        <f t="shared" si="151"/>
        <v/>
      </c>
      <c r="BX259" s="169" t="str">
        <f t="shared" si="151"/>
        <v/>
      </c>
      <c r="BY259" s="169" t="str">
        <f t="shared" si="151"/>
        <v/>
      </c>
      <c r="BZ259" s="169" t="str">
        <f t="shared" si="151"/>
        <v/>
      </c>
      <c r="CA259" s="169" t="str">
        <f t="shared" si="151"/>
        <v/>
      </c>
      <c r="CB259" s="169" t="str">
        <f t="shared" si="151"/>
        <v/>
      </c>
      <c r="CC259" s="169" t="str">
        <f t="shared" si="151"/>
        <v/>
      </c>
      <c r="CD259" s="169" t="str">
        <f t="shared" si="151"/>
        <v/>
      </c>
      <c r="CE259" s="299" t="str">
        <f t="shared" si="151"/>
        <v/>
      </c>
      <c r="CF259" s="298"/>
      <c r="CG259" s="169"/>
      <c r="CH259" s="169"/>
      <c r="CI259" s="169"/>
      <c r="CJ259" s="169"/>
      <c r="CK259" s="299"/>
      <c r="CL259" s="298" t="str">
        <f t="shared" si="125"/>
        <v/>
      </c>
      <c r="CM259" s="169" t="str">
        <f t="shared" si="122"/>
        <v/>
      </c>
      <c r="CN259" s="169" t="str">
        <f t="shared" si="123"/>
        <v/>
      </c>
      <c r="CO259" s="169" t="str">
        <f t="shared" si="127"/>
        <v/>
      </c>
      <c r="CP259" s="169" t="str">
        <f t="shared" si="138"/>
        <v/>
      </c>
      <c r="CQ259" s="299" t="str">
        <f t="shared" si="138"/>
        <v/>
      </c>
      <c r="CR259" s="298" t="str">
        <f t="shared" si="152"/>
        <v/>
      </c>
      <c r="CS259" s="169" t="str">
        <f t="shared" si="152"/>
        <v/>
      </c>
      <c r="CT259" s="169" t="str">
        <f t="shared" si="152"/>
        <v/>
      </c>
      <c r="CU259" s="169" t="str">
        <f t="shared" si="152"/>
        <v/>
      </c>
      <c r="CV259" s="169" t="str">
        <f t="shared" si="152"/>
        <v/>
      </c>
      <c r="CW259" s="299" t="str">
        <f t="shared" si="152"/>
        <v/>
      </c>
      <c r="CX259" s="299" t="str">
        <f t="shared" si="126"/>
        <v/>
      </c>
      <c r="CZ259" s="10"/>
      <c r="DB259" s="10">
        <f t="shared" si="142"/>
        <v>0</v>
      </c>
      <c r="DC259" s="10">
        <f t="shared" si="141"/>
        <v>0</v>
      </c>
    </row>
    <row r="260" spans="2:107" x14ac:dyDescent="0.25">
      <c r="B260" s="116"/>
      <c r="C260" s="532" t="s">
        <v>544</v>
      </c>
      <c r="D260" s="529">
        <f t="shared" ref="D260:D267" si="154">E134</f>
        <v>0</v>
      </c>
      <c r="G260" s="40"/>
      <c r="Q260" s="47"/>
      <c r="S260" s="298" t="str">
        <f t="shared" si="147"/>
        <v/>
      </c>
      <c r="T260" s="169" t="str">
        <f t="shared" si="147"/>
        <v/>
      </c>
      <c r="U260" s="169" t="str">
        <f t="shared" si="147"/>
        <v/>
      </c>
      <c r="V260" s="169" t="str">
        <f t="shared" si="147"/>
        <v/>
      </c>
      <c r="W260" s="169" t="str">
        <f t="shared" si="147"/>
        <v/>
      </c>
      <c r="X260" s="169" t="str">
        <f t="shared" si="147"/>
        <v/>
      </c>
      <c r="Y260" s="169" t="str">
        <f t="shared" si="147"/>
        <v/>
      </c>
      <c r="Z260" s="169" t="str">
        <f t="shared" si="147"/>
        <v/>
      </c>
      <c r="AA260" s="299" t="str">
        <f t="shared" si="147"/>
        <v/>
      </c>
      <c r="AB260" s="169" t="str">
        <f t="shared" si="148"/>
        <v/>
      </c>
      <c r="AC260" s="169" t="str">
        <f t="shared" si="148"/>
        <v/>
      </c>
      <c r="AD260" s="169" t="str">
        <f t="shared" si="148"/>
        <v/>
      </c>
      <c r="AE260" s="169" t="str">
        <f t="shared" si="148"/>
        <v/>
      </c>
      <c r="AF260" s="169" t="str">
        <f t="shared" si="148"/>
        <v/>
      </c>
      <c r="AG260" s="169" t="str">
        <f t="shared" si="148"/>
        <v/>
      </c>
      <c r="AH260" s="169" t="str">
        <f t="shared" si="148"/>
        <v/>
      </c>
      <c r="AI260" s="169" t="str">
        <f t="shared" si="148"/>
        <v/>
      </c>
      <c r="AJ260" s="299" t="str">
        <f t="shared" si="148"/>
        <v/>
      </c>
      <c r="AK260" s="298" t="str">
        <f t="shared" si="134"/>
        <v/>
      </c>
      <c r="AL260" s="299" t="str">
        <f t="shared" si="134"/>
        <v/>
      </c>
      <c r="AM260" s="169" t="str">
        <f t="shared" si="149"/>
        <v/>
      </c>
      <c r="AN260" s="169" t="str">
        <f t="shared" si="149"/>
        <v/>
      </c>
      <c r="AO260" s="169" t="str">
        <f t="shared" si="149"/>
        <v/>
      </c>
      <c r="AP260" s="169" t="str">
        <f t="shared" si="149"/>
        <v/>
      </c>
      <c r="AQ260" s="169" t="str">
        <f t="shared" si="149"/>
        <v/>
      </c>
      <c r="AR260" s="169" t="str">
        <f t="shared" si="149"/>
        <v/>
      </c>
      <c r="AS260" s="169" t="str">
        <f t="shared" si="149"/>
        <v/>
      </c>
      <c r="AT260" s="169" t="str">
        <f t="shared" si="149"/>
        <v/>
      </c>
      <c r="AU260" s="299" t="str">
        <f t="shared" si="149"/>
        <v/>
      </c>
      <c r="AV260" s="169" t="str">
        <f t="shared" si="153"/>
        <v/>
      </c>
      <c r="AW260" s="169" t="str">
        <f t="shared" si="146"/>
        <v/>
      </c>
      <c r="AX260" s="169" t="str">
        <f t="shared" si="146"/>
        <v/>
      </c>
      <c r="AY260" s="169" t="str">
        <f t="shared" si="139"/>
        <v/>
      </c>
      <c r="AZ260" s="169" t="str">
        <f t="shared" si="139"/>
        <v/>
      </c>
      <c r="BA260" s="299" t="str">
        <f t="shared" si="139"/>
        <v/>
      </c>
      <c r="BB260" s="169" t="str">
        <f t="shared" ref="BB260:BB281" si="155">IF($K260=BB$159,$DC260,"")</f>
        <v/>
      </c>
      <c r="BC260" s="169" t="str">
        <f t="shared" si="124"/>
        <v/>
      </c>
      <c r="BD260" s="169" t="str">
        <f t="shared" si="131"/>
        <v/>
      </c>
      <c r="BE260" s="169" t="str">
        <f t="shared" si="140"/>
        <v/>
      </c>
      <c r="BF260" s="169" t="str">
        <f t="shared" si="140"/>
        <v/>
      </c>
      <c r="BG260" s="169" t="str">
        <f t="shared" si="140"/>
        <v/>
      </c>
      <c r="BH260" s="298"/>
      <c r="BI260" s="169"/>
      <c r="BJ260" s="169"/>
      <c r="BK260" s="169"/>
      <c r="BL260" s="169"/>
      <c r="BM260" s="299"/>
      <c r="BN260" s="298" t="str">
        <f t="shared" si="150"/>
        <v/>
      </c>
      <c r="BO260" s="169" t="str">
        <f t="shared" si="150"/>
        <v/>
      </c>
      <c r="BP260" s="169" t="str">
        <f t="shared" si="150"/>
        <v/>
      </c>
      <c r="BQ260" s="169" t="str">
        <f t="shared" si="150"/>
        <v/>
      </c>
      <c r="BR260" s="169" t="str">
        <f t="shared" si="150"/>
        <v/>
      </c>
      <c r="BS260" s="169" t="str">
        <f t="shared" si="150"/>
        <v/>
      </c>
      <c r="BT260" s="169" t="str">
        <f t="shared" si="150"/>
        <v/>
      </c>
      <c r="BU260" s="169" t="str">
        <f t="shared" si="150"/>
        <v/>
      </c>
      <c r="BV260" s="299" t="str">
        <f t="shared" si="150"/>
        <v/>
      </c>
      <c r="BW260" s="298" t="str">
        <f t="shared" si="151"/>
        <v/>
      </c>
      <c r="BX260" s="169" t="str">
        <f t="shared" si="151"/>
        <v/>
      </c>
      <c r="BY260" s="169" t="str">
        <f t="shared" si="151"/>
        <v/>
      </c>
      <c r="BZ260" s="169" t="str">
        <f t="shared" si="151"/>
        <v/>
      </c>
      <c r="CA260" s="169" t="str">
        <f t="shared" si="151"/>
        <v/>
      </c>
      <c r="CB260" s="169" t="str">
        <f t="shared" si="151"/>
        <v/>
      </c>
      <c r="CC260" s="169" t="str">
        <f t="shared" si="151"/>
        <v/>
      </c>
      <c r="CD260" s="169" t="str">
        <f t="shared" si="151"/>
        <v/>
      </c>
      <c r="CE260" s="299" t="str">
        <f t="shared" si="151"/>
        <v/>
      </c>
      <c r="CF260" s="298"/>
      <c r="CG260" s="169"/>
      <c r="CH260" s="169"/>
      <c r="CI260" s="169"/>
      <c r="CJ260" s="169"/>
      <c r="CK260" s="299"/>
      <c r="CL260" s="298" t="str">
        <f t="shared" si="125"/>
        <v/>
      </c>
      <c r="CM260" s="169" t="str">
        <f t="shared" si="122"/>
        <v/>
      </c>
      <c r="CN260" s="169" t="str">
        <f t="shared" si="123"/>
        <v/>
      </c>
      <c r="CO260" s="169" t="str">
        <f t="shared" si="127"/>
        <v/>
      </c>
      <c r="CP260" s="169" t="str">
        <f t="shared" si="138"/>
        <v/>
      </c>
      <c r="CQ260" s="299" t="str">
        <f t="shared" si="138"/>
        <v/>
      </c>
      <c r="CR260" s="298" t="str">
        <f t="shared" si="152"/>
        <v/>
      </c>
      <c r="CS260" s="169" t="str">
        <f t="shared" si="152"/>
        <v/>
      </c>
      <c r="CT260" s="169" t="str">
        <f t="shared" si="152"/>
        <v/>
      </c>
      <c r="CU260" s="169" t="str">
        <f t="shared" si="152"/>
        <v/>
      </c>
      <c r="CV260" s="169" t="str">
        <f t="shared" si="152"/>
        <v/>
      </c>
      <c r="CW260" s="299" t="str">
        <f t="shared" si="152"/>
        <v/>
      </c>
      <c r="CX260" s="299" t="str">
        <f t="shared" si="126"/>
        <v/>
      </c>
      <c r="CZ260" s="10"/>
      <c r="DB260" s="10">
        <f t="shared" si="142"/>
        <v>0</v>
      </c>
      <c r="DC260" s="10">
        <f t="shared" si="141"/>
        <v>0</v>
      </c>
    </row>
    <row r="261" spans="2:107" hidden="1" outlineLevel="1" x14ac:dyDescent="0.25">
      <c r="B261" s="116"/>
      <c r="C261" s="528">
        <f t="shared" ref="C261:C267" si="156">IF(C135&gt;0,B135 &amp; " (" &amp;C135 &amp; ")",B135)</f>
        <v>0</v>
      </c>
      <c r="D261" s="529">
        <f t="shared" si="154"/>
        <v>0</v>
      </c>
      <c r="G261" s="40"/>
      <c r="Q261" s="47"/>
      <c r="S261" s="298" t="str">
        <f t="shared" si="147"/>
        <v/>
      </c>
      <c r="T261" s="169" t="str">
        <f t="shared" si="147"/>
        <v/>
      </c>
      <c r="U261" s="169" t="str">
        <f t="shared" si="147"/>
        <v/>
      </c>
      <c r="V261" s="169" t="str">
        <f t="shared" si="147"/>
        <v/>
      </c>
      <c r="W261" s="169" t="str">
        <f t="shared" si="147"/>
        <v/>
      </c>
      <c r="X261" s="169" t="str">
        <f t="shared" si="147"/>
        <v/>
      </c>
      <c r="Y261" s="169" t="str">
        <f t="shared" si="147"/>
        <v/>
      </c>
      <c r="Z261" s="169" t="str">
        <f t="shared" si="147"/>
        <v/>
      </c>
      <c r="AA261" s="299" t="str">
        <f t="shared" si="147"/>
        <v/>
      </c>
      <c r="AB261" s="169" t="str">
        <f t="shared" si="148"/>
        <v/>
      </c>
      <c r="AC261" s="169" t="str">
        <f t="shared" si="148"/>
        <v/>
      </c>
      <c r="AD261" s="169" t="str">
        <f t="shared" si="148"/>
        <v/>
      </c>
      <c r="AE261" s="169" t="str">
        <f t="shared" si="148"/>
        <v/>
      </c>
      <c r="AF261" s="169" t="str">
        <f t="shared" si="148"/>
        <v/>
      </c>
      <c r="AG261" s="169" t="str">
        <f t="shared" si="148"/>
        <v/>
      </c>
      <c r="AH261" s="169" t="str">
        <f t="shared" si="148"/>
        <v/>
      </c>
      <c r="AI261" s="169" t="str">
        <f t="shared" si="148"/>
        <v/>
      </c>
      <c r="AJ261" s="299" t="str">
        <f t="shared" si="148"/>
        <v/>
      </c>
      <c r="AK261" s="298" t="str">
        <f t="shared" si="134"/>
        <v/>
      </c>
      <c r="AL261" s="299" t="str">
        <f t="shared" si="134"/>
        <v/>
      </c>
      <c r="AM261" s="169" t="str">
        <f t="shared" si="149"/>
        <v/>
      </c>
      <c r="AN261" s="169" t="str">
        <f t="shared" si="149"/>
        <v/>
      </c>
      <c r="AO261" s="169" t="str">
        <f t="shared" si="149"/>
        <v/>
      </c>
      <c r="AP261" s="169" t="str">
        <f t="shared" si="149"/>
        <v/>
      </c>
      <c r="AQ261" s="169" t="str">
        <f t="shared" si="149"/>
        <v/>
      </c>
      <c r="AR261" s="169" t="str">
        <f t="shared" si="149"/>
        <v/>
      </c>
      <c r="AS261" s="169" t="str">
        <f t="shared" si="149"/>
        <v/>
      </c>
      <c r="AT261" s="169" t="str">
        <f t="shared" si="149"/>
        <v/>
      </c>
      <c r="AU261" s="299" t="str">
        <f t="shared" si="149"/>
        <v/>
      </c>
      <c r="AV261" s="169" t="str">
        <f t="shared" si="153"/>
        <v/>
      </c>
      <c r="AW261" s="169" t="str">
        <f t="shared" si="146"/>
        <v/>
      </c>
      <c r="AX261" s="169" t="str">
        <f t="shared" si="146"/>
        <v/>
      </c>
      <c r="AY261" s="169" t="str">
        <f t="shared" si="139"/>
        <v/>
      </c>
      <c r="AZ261" s="169" t="str">
        <f t="shared" si="139"/>
        <v/>
      </c>
      <c r="BA261" s="299" t="str">
        <f t="shared" si="139"/>
        <v/>
      </c>
      <c r="BB261" s="169" t="str">
        <f t="shared" si="155"/>
        <v/>
      </c>
      <c r="BC261" s="169" t="str">
        <f t="shared" si="124"/>
        <v/>
      </c>
      <c r="BD261" s="169" t="str">
        <f t="shared" si="131"/>
        <v/>
      </c>
      <c r="BE261" s="169" t="str">
        <f t="shared" si="140"/>
        <v/>
      </c>
      <c r="BF261" s="169" t="str">
        <f t="shared" si="140"/>
        <v/>
      </c>
      <c r="BG261" s="169" t="str">
        <f t="shared" si="140"/>
        <v/>
      </c>
      <c r="BH261" s="298"/>
      <c r="BI261" s="169"/>
      <c r="BJ261" s="169"/>
      <c r="BK261" s="169"/>
      <c r="BL261" s="169"/>
      <c r="BM261" s="299"/>
      <c r="BN261" s="298" t="str">
        <f t="shared" si="150"/>
        <v/>
      </c>
      <c r="BO261" s="169" t="str">
        <f t="shared" si="150"/>
        <v/>
      </c>
      <c r="BP261" s="169" t="str">
        <f t="shared" si="150"/>
        <v/>
      </c>
      <c r="BQ261" s="169" t="str">
        <f t="shared" si="150"/>
        <v/>
      </c>
      <c r="BR261" s="169" t="str">
        <f t="shared" si="150"/>
        <v/>
      </c>
      <c r="BS261" s="169" t="str">
        <f t="shared" si="150"/>
        <v/>
      </c>
      <c r="BT261" s="169" t="str">
        <f t="shared" si="150"/>
        <v/>
      </c>
      <c r="BU261" s="169" t="str">
        <f t="shared" si="150"/>
        <v/>
      </c>
      <c r="BV261" s="299" t="str">
        <f t="shared" si="150"/>
        <v/>
      </c>
      <c r="BW261" s="298" t="str">
        <f t="shared" si="151"/>
        <v/>
      </c>
      <c r="BX261" s="169" t="str">
        <f t="shared" si="151"/>
        <v/>
      </c>
      <c r="BY261" s="169" t="str">
        <f t="shared" si="151"/>
        <v/>
      </c>
      <c r="BZ261" s="169" t="str">
        <f t="shared" si="151"/>
        <v/>
      </c>
      <c r="CA261" s="169" t="str">
        <f t="shared" si="151"/>
        <v/>
      </c>
      <c r="CB261" s="169" t="str">
        <f t="shared" si="151"/>
        <v/>
      </c>
      <c r="CC261" s="169" t="str">
        <f t="shared" si="151"/>
        <v/>
      </c>
      <c r="CD261" s="169" t="str">
        <f t="shared" si="151"/>
        <v/>
      </c>
      <c r="CE261" s="299" t="str">
        <f t="shared" si="151"/>
        <v/>
      </c>
      <c r="CF261" s="298"/>
      <c r="CG261" s="169"/>
      <c r="CH261" s="169"/>
      <c r="CI261" s="169"/>
      <c r="CJ261" s="169"/>
      <c r="CK261" s="299"/>
      <c r="CL261" s="298" t="str">
        <f t="shared" si="125"/>
        <v/>
      </c>
      <c r="CM261" s="169" t="str">
        <f t="shared" si="122"/>
        <v/>
      </c>
      <c r="CN261" s="169" t="str">
        <f t="shared" si="123"/>
        <v/>
      </c>
      <c r="CO261" s="169" t="str">
        <f t="shared" si="127"/>
        <v/>
      </c>
      <c r="CP261" s="169" t="str">
        <f t="shared" si="138"/>
        <v/>
      </c>
      <c r="CQ261" s="299" t="str">
        <f t="shared" si="138"/>
        <v/>
      </c>
      <c r="CR261" s="298" t="str">
        <f t="shared" si="152"/>
        <v/>
      </c>
      <c r="CS261" s="169" t="str">
        <f t="shared" si="152"/>
        <v/>
      </c>
      <c r="CT261" s="169" t="str">
        <f t="shared" si="152"/>
        <v/>
      </c>
      <c r="CU261" s="169" t="str">
        <f t="shared" si="152"/>
        <v/>
      </c>
      <c r="CV261" s="169" t="str">
        <f t="shared" si="152"/>
        <v/>
      </c>
      <c r="CW261" s="299" t="str">
        <f t="shared" si="152"/>
        <v/>
      </c>
      <c r="CX261" s="299" t="str">
        <f t="shared" si="126"/>
        <v/>
      </c>
      <c r="CZ261" s="10"/>
      <c r="DB261" s="10">
        <f t="shared" si="142"/>
        <v>0</v>
      </c>
      <c r="DC261" s="10">
        <f t="shared" si="141"/>
        <v>0</v>
      </c>
    </row>
    <row r="262" spans="2:107" hidden="1" outlineLevel="1" x14ac:dyDescent="0.25">
      <c r="B262" s="116"/>
      <c r="C262" s="528" t="str">
        <f t="shared" si="156"/>
        <v>XXX</v>
      </c>
      <c r="D262" s="529">
        <f t="shared" si="154"/>
        <v>0</v>
      </c>
      <c r="G262" s="40"/>
      <c r="Q262" s="47"/>
      <c r="S262" s="298" t="str">
        <f t="shared" ref="S262:AA271" si="157">IF($G262=S$159,$DB262,"")</f>
        <v/>
      </c>
      <c r="T262" s="169" t="str">
        <f t="shared" si="157"/>
        <v/>
      </c>
      <c r="U262" s="169" t="str">
        <f t="shared" si="157"/>
        <v/>
      </c>
      <c r="V262" s="169" t="str">
        <f t="shared" si="157"/>
        <v/>
      </c>
      <c r="W262" s="169" t="str">
        <f t="shared" si="157"/>
        <v/>
      </c>
      <c r="X262" s="169" t="str">
        <f t="shared" si="157"/>
        <v/>
      </c>
      <c r="Y262" s="169" t="str">
        <f t="shared" si="157"/>
        <v/>
      </c>
      <c r="Z262" s="169" t="str">
        <f t="shared" si="157"/>
        <v/>
      </c>
      <c r="AA262" s="299" t="str">
        <f t="shared" si="157"/>
        <v/>
      </c>
      <c r="AB262" s="169" t="str">
        <f t="shared" ref="AB262:AJ271" si="158">IF($H262=AB$159,$DB262,"")</f>
        <v/>
      </c>
      <c r="AC262" s="169" t="str">
        <f t="shared" si="158"/>
        <v/>
      </c>
      <c r="AD262" s="169" t="str">
        <f t="shared" si="158"/>
        <v/>
      </c>
      <c r="AE262" s="169" t="str">
        <f t="shared" si="158"/>
        <v/>
      </c>
      <c r="AF262" s="169" t="str">
        <f t="shared" si="158"/>
        <v/>
      </c>
      <c r="AG262" s="169" t="str">
        <f t="shared" si="158"/>
        <v/>
      </c>
      <c r="AH262" s="169" t="str">
        <f t="shared" si="158"/>
        <v/>
      </c>
      <c r="AI262" s="169" t="str">
        <f t="shared" si="158"/>
        <v/>
      </c>
      <c r="AJ262" s="299" t="str">
        <f t="shared" si="158"/>
        <v/>
      </c>
      <c r="AK262" s="298" t="str">
        <f t="shared" ref="AK262:AL281" si="159">IF($P262=AK$159,$DC262,"")</f>
        <v/>
      </c>
      <c r="AL262" s="299" t="str">
        <f t="shared" si="159"/>
        <v/>
      </c>
      <c r="AM262" s="169" t="str">
        <f t="shared" ref="AM262:AU271" si="160">IF($I262=AM$159,$DB262,"")</f>
        <v/>
      </c>
      <c r="AN262" s="169" t="str">
        <f t="shared" si="160"/>
        <v/>
      </c>
      <c r="AO262" s="169" t="str">
        <f t="shared" si="160"/>
        <v/>
      </c>
      <c r="AP262" s="169" t="str">
        <f t="shared" si="160"/>
        <v/>
      </c>
      <c r="AQ262" s="169" t="str">
        <f t="shared" si="160"/>
        <v/>
      </c>
      <c r="AR262" s="169" t="str">
        <f t="shared" si="160"/>
        <v/>
      </c>
      <c r="AS262" s="169" t="str">
        <f t="shared" si="160"/>
        <v/>
      </c>
      <c r="AT262" s="169" t="str">
        <f t="shared" si="160"/>
        <v/>
      </c>
      <c r="AU262" s="299" t="str">
        <f t="shared" si="160"/>
        <v/>
      </c>
      <c r="AV262" s="169" t="str">
        <f t="shared" si="153"/>
        <v/>
      </c>
      <c r="AW262" s="169" t="str">
        <f t="shared" si="146"/>
        <v/>
      </c>
      <c r="AX262" s="169" t="str">
        <f t="shared" si="146"/>
        <v/>
      </c>
      <c r="AY262" s="169" t="str">
        <f t="shared" si="139"/>
        <v/>
      </c>
      <c r="AZ262" s="169" t="str">
        <f t="shared" si="139"/>
        <v/>
      </c>
      <c r="BA262" s="299" t="str">
        <f t="shared" si="139"/>
        <v/>
      </c>
      <c r="BB262" s="169" t="str">
        <f t="shared" si="155"/>
        <v/>
      </c>
      <c r="BC262" s="169" t="str">
        <f t="shared" si="124"/>
        <v/>
      </c>
      <c r="BD262" s="169" t="str">
        <f t="shared" si="131"/>
        <v/>
      </c>
      <c r="BE262" s="169" t="str">
        <f t="shared" si="140"/>
        <v/>
      </c>
      <c r="BF262" s="169" t="str">
        <f t="shared" si="140"/>
        <v/>
      </c>
      <c r="BG262" s="169" t="str">
        <f t="shared" si="140"/>
        <v/>
      </c>
      <c r="BH262" s="298"/>
      <c r="BI262" s="169"/>
      <c r="BJ262" s="169"/>
      <c r="BK262" s="169"/>
      <c r="BL262" s="169"/>
      <c r="BM262" s="299"/>
      <c r="BN262" s="298" t="str">
        <f t="shared" ref="BN262:BV271" si="161">IF($M262=BN$159,$DB262,"")</f>
        <v/>
      </c>
      <c r="BO262" s="169" t="str">
        <f t="shared" si="161"/>
        <v/>
      </c>
      <c r="BP262" s="169" t="str">
        <f t="shared" si="161"/>
        <v/>
      </c>
      <c r="BQ262" s="169" t="str">
        <f t="shared" si="161"/>
        <v/>
      </c>
      <c r="BR262" s="169" t="str">
        <f t="shared" si="161"/>
        <v/>
      </c>
      <c r="BS262" s="169" t="str">
        <f t="shared" si="161"/>
        <v/>
      </c>
      <c r="BT262" s="169" t="str">
        <f t="shared" si="161"/>
        <v/>
      </c>
      <c r="BU262" s="169" t="str">
        <f t="shared" si="161"/>
        <v/>
      </c>
      <c r="BV262" s="299" t="str">
        <f t="shared" si="161"/>
        <v/>
      </c>
      <c r="BW262" s="298" t="str">
        <f t="shared" ref="BW262:CE271" si="162">IF($N262=BW$159,$DB262,"")</f>
        <v/>
      </c>
      <c r="BX262" s="169" t="str">
        <f t="shared" si="162"/>
        <v/>
      </c>
      <c r="BY262" s="169" t="str">
        <f t="shared" si="162"/>
        <v/>
      </c>
      <c r="BZ262" s="169" t="str">
        <f t="shared" si="162"/>
        <v/>
      </c>
      <c r="CA262" s="169" t="str">
        <f t="shared" si="162"/>
        <v/>
      </c>
      <c r="CB262" s="169" t="str">
        <f t="shared" si="162"/>
        <v/>
      </c>
      <c r="CC262" s="169" t="str">
        <f t="shared" si="162"/>
        <v/>
      </c>
      <c r="CD262" s="169" t="str">
        <f t="shared" si="162"/>
        <v/>
      </c>
      <c r="CE262" s="299" t="str">
        <f t="shared" si="162"/>
        <v/>
      </c>
      <c r="CF262" s="298"/>
      <c r="CG262" s="169"/>
      <c r="CH262" s="169"/>
      <c r="CI262" s="169"/>
      <c r="CJ262" s="169"/>
      <c r="CK262" s="299"/>
      <c r="CL262" s="298" t="str">
        <f t="shared" si="125"/>
        <v/>
      </c>
      <c r="CM262" s="169" t="str">
        <f t="shared" si="122"/>
        <v/>
      </c>
      <c r="CN262" s="169" t="str">
        <f t="shared" si="123"/>
        <v/>
      </c>
      <c r="CO262" s="169" t="str">
        <f t="shared" si="127"/>
        <v/>
      </c>
      <c r="CP262" s="169" t="str">
        <f t="shared" ref="CP262:CQ281" si="163">IF($P262=CP$159,$DC262,"")</f>
        <v/>
      </c>
      <c r="CQ262" s="299" t="str">
        <f t="shared" si="163"/>
        <v/>
      </c>
      <c r="CR262" s="298" t="str">
        <f t="shared" si="152"/>
        <v/>
      </c>
      <c r="CS262" s="169" t="str">
        <f t="shared" si="152"/>
        <v/>
      </c>
      <c r="CT262" s="169" t="str">
        <f t="shared" si="152"/>
        <v/>
      </c>
      <c r="CU262" s="169" t="str">
        <f t="shared" si="152"/>
        <v/>
      </c>
      <c r="CV262" s="169" t="str">
        <f t="shared" si="152"/>
        <v/>
      </c>
      <c r="CW262" s="299" t="str">
        <f t="shared" si="152"/>
        <v/>
      </c>
      <c r="CX262" s="299" t="str">
        <f t="shared" si="126"/>
        <v/>
      </c>
      <c r="CZ262" s="10"/>
      <c r="DB262" s="10">
        <f t="shared" si="142"/>
        <v>0</v>
      </c>
      <c r="DC262" s="10">
        <f t="shared" si="141"/>
        <v>0</v>
      </c>
    </row>
    <row r="263" spans="2:107" hidden="1" outlineLevel="1" x14ac:dyDescent="0.25">
      <c r="B263" s="116"/>
      <c r="C263" s="528">
        <f t="shared" si="156"/>
        <v>0</v>
      </c>
      <c r="D263" s="529">
        <f t="shared" si="154"/>
        <v>0</v>
      </c>
      <c r="G263" s="40"/>
      <c r="Q263" s="47"/>
      <c r="S263" s="298" t="str">
        <f t="shared" si="157"/>
        <v/>
      </c>
      <c r="T263" s="169" t="str">
        <f t="shared" si="157"/>
        <v/>
      </c>
      <c r="U263" s="169" t="str">
        <f t="shared" si="157"/>
        <v/>
      </c>
      <c r="V263" s="169" t="str">
        <f t="shared" si="157"/>
        <v/>
      </c>
      <c r="W263" s="169" t="str">
        <f t="shared" si="157"/>
        <v/>
      </c>
      <c r="X263" s="169" t="str">
        <f t="shared" si="157"/>
        <v/>
      </c>
      <c r="Y263" s="169" t="str">
        <f t="shared" si="157"/>
        <v/>
      </c>
      <c r="Z263" s="169" t="str">
        <f t="shared" si="157"/>
        <v/>
      </c>
      <c r="AA263" s="299" t="str">
        <f t="shared" si="157"/>
        <v/>
      </c>
      <c r="AB263" s="169" t="str">
        <f t="shared" si="158"/>
        <v/>
      </c>
      <c r="AC263" s="169" t="str">
        <f t="shared" si="158"/>
        <v/>
      </c>
      <c r="AD263" s="169" t="str">
        <f t="shared" si="158"/>
        <v/>
      </c>
      <c r="AE263" s="169" t="str">
        <f t="shared" si="158"/>
        <v/>
      </c>
      <c r="AF263" s="169" t="str">
        <f t="shared" si="158"/>
        <v/>
      </c>
      <c r="AG263" s="169" t="str">
        <f t="shared" si="158"/>
        <v/>
      </c>
      <c r="AH263" s="169" t="str">
        <f t="shared" si="158"/>
        <v/>
      </c>
      <c r="AI263" s="169" t="str">
        <f t="shared" si="158"/>
        <v/>
      </c>
      <c r="AJ263" s="299" t="str">
        <f t="shared" si="158"/>
        <v/>
      </c>
      <c r="AK263" s="298" t="str">
        <f t="shared" si="159"/>
        <v/>
      </c>
      <c r="AL263" s="299" t="str">
        <f t="shared" si="159"/>
        <v/>
      </c>
      <c r="AM263" s="169" t="str">
        <f t="shared" si="160"/>
        <v/>
      </c>
      <c r="AN263" s="169" t="str">
        <f t="shared" si="160"/>
        <v/>
      </c>
      <c r="AO263" s="169" t="str">
        <f t="shared" si="160"/>
        <v/>
      </c>
      <c r="AP263" s="169" t="str">
        <f t="shared" si="160"/>
        <v/>
      </c>
      <c r="AQ263" s="169" t="str">
        <f t="shared" si="160"/>
        <v/>
      </c>
      <c r="AR263" s="169" t="str">
        <f t="shared" si="160"/>
        <v/>
      </c>
      <c r="AS263" s="169" t="str">
        <f t="shared" si="160"/>
        <v/>
      </c>
      <c r="AT263" s="169" t="str">
        <f t="shared" si="160"/>
        <v/>
      </c>
      <c r="AU263" s="299" t="str">
        <f t="shared" si="160"/>
        <v/>
      </c>
      <c r="AV263" s="169" t="str">
        <f t="shared" si="153"/>
        <v/>
      </c>
      <c r="AW263" s="169" t="str">
        <f t="shared" si="146"/>
        <v/>
      </c>
      <c r="AX263" s="169" t="str">
        <f t="shared" si="146"/>
        <v/>
      </c>
      <c r="AY263" s="169" t="str">
        <f t="shared" ref="AY263:BA281" si="164">IF($J263=AY$159,$DC263,"")</f>
        <v/>
      </c>
      <c r="AZ263" s="169" t="str">
        <f t="shared" si="164"/>
        <v/>
      </c>
      <c r="BA263" s="299" t="str">
        <f t="shared" si="164"/>
        <v/>
      </c>
      <c r="BB263" s="169" t="str">
        <f t="shared" si="155"/>
        <v/>
      </c>
      <c r="BC263" s="169" t="str">
        <f t="shared" si="124"/>
        <v/>
      </c>
      <c r="BD263" s="169" t="str">
        <f t="shared" si="131"/>
        <v/>
      </c>
      <c r="BE263" s="169" t="str">
        <f t="shared" ref="BE263:BG281" si="165">IF($K263=BE$159,$DC263,"")</f>
        <v/>
      </c>
      <c r="BF263" s="169" t="str">
        <f t="shared" si="165"/>
        <v/>
      </c>
      <c r="BG263" s="169" t="str">
        <f t="shared" si="165"/>
        <v/>
      </c>
      <c r="BH263" s="298"/>
      <c r="BI263" s="169"/>
      <c r="BJ263" s="169"/>
      <c r="BK263" s="169"/>
      <c r="BL263" s="169"/>
      <c r="BM263" s="299"/>
      <c r="BN263" s="298" t="str">
        <f t="shared" si="161"/>
        <v/>
      </c>
      <c r="BO263" s="169" t="str">
        <f t="shared" si="161"/>
        <v/>
      </c>
      <c r="BP263" s="169" t="str">
        <f t="shared" si="161"/>
        <v/>
      </c>
      <c r="BQ263" s="169" t="str">
        <f t="shared" si="161"/>
        <v/>
      </c>
      <c r="BR263" s="169" t="str">
        <f t="shared" si="161"/>
        <v/>
      </c>
      <c r="BS263" s="169" t="str">
        <f t="shared" si="161"/>
        <v/>
      </c>
      <c r="BT263" s="169" t="str">
        <f t="shared" si="161"/>
        <v/>
      </c>
      <c r="BU263" s="169" t="str">
        <f t="shared" si="161"/>
        <v/>
      </c>
      <c r="BV263" s="299" t="str">
        <f t="shared" si="161"/>
        <v/>
      </c>
      <c r="BW263" s="298" t="str">
        <f t="shared" si="162"/>
        <v/>
      </c>
      <c r="BX263" s="169" t="str">
        <f t="shared" si="162"/>
        <v/>
      </c>
      <c r="BY263" s="169" t="str">
        <f t="shared" si="162"/>
        <v/>
      </c>
      <c r="BZ263" s="169" t="str">
        <f t="shared" si="162"/>
        <v/>
      </c>
      <c r="CA263" s="169" t="str">
        <f t="shared" si="162"/>
        <v/>
      </c>
      <c r="CB263" s="169" t="str">
        <f t="shared" si="162"/>
        <v/>
      </c>
      <c r="CC263" s="169" t="str">
        <f t="shared" si="162"/>
        <v/>
      </c>
      <c r="CD263" s="169" t="str">
        <f t="shared" si="162"/>
        <v/>
      </c>
      <c r="CE263" s="299" t="str">
        <f t="shared" si="162"/>
        <v/>
      </c>
      <c r="CF263" s="298"/>
      <c r="CG263" s="169"/>
      <c r="CH263" s="169"/>
      <c r="CI263" s="169"/>
      <c r="CJ263" s="169"/>
      <c r="CK263" s="299"/>
      <c r="CL263" s="298" t="str">
        <f t="shared" si="125"/>
        <v/>
      </c>
      <c r="CM263" s="169" t="str">
        <f t="shared" si="122"/>
        <v/>
      </c>
      <c r="CN263" s="169" t="str">
        <f t="shared" si="123"/>
        <v/>
      </c>
      <c r="CO263" s="169" t="str">
        <f t="shared" si="127"/>
        <v/>
      </c>
      <c r="CP263" s="169" t="str">
        <f t="shared" si="163"/>
        <v/>
      </c>
      <c r="CQ263" s="299" t="str">
        <f t="shared" si="163"/>
        <v/>
      </c>
      <c r="CR263" s="298" t="str">
        <f t="shared" si="152"/>
        <v/>
      </c>
      <c r="CS263" s="169" t="str">
        <f t="shared" si="152"/>
        <v/>
      </c>
      <c r="CT263" s="169" t="str">
        <f t="shared" si="152"/>
        <v/>
      </c>
      <c r="CU263" s="169" t="str">
        <f t="shared" si="152"/>
        <v/>
      </c>
      <c r="CV263" s="169" t="str">
        <f t="shared" si="152"/>
        <v/>
      </c>
      <c r="CW263" s="299" t="str">
        <f t="shared" si="152"/>
        <v/>
      </c>
      <c r="CX263" s="299" t="str">
        <f t="shared" si="126"/>
        <v/>
      </c>
      <c r="CZ263" s="10"/>
      <c r="DB263" s="10">
        <f t="shared" si="142"/>
        <v>0</v>
      </c>
      <c r="DC263" s="10">
        <f t="shared" si="141"/>
        <v>0</v>
      </c>
    </row>
    <row r="264" spans="2:107" hidden="1" outlineLevel="1" x14ac:dyDescent="0.25">
      <c r="B264" s="116"/>
      <c r="C264" s="528">
        <f t="shared" si="156"/>
        <v>0</v>
      </c>
      <c r="D264" s="529">
        <f t="shared" si="154"/>
        <v>0</v>
      </c>
      <c r="G264" s="40"/>
      <c r="Q264" s="47"/>
      <c r="S264" s="298" t="str">
        <f t="shared" si="157"/>
        <v/>
      </c>
      <c r="T264" s="169" t="str">
        <f t="shared" si="157"/>
        <v/>
      </c>
      <c r="U264" s="169" t="str">
        <f t="shared" si="157"/>
        <v/>
      </c>
      <c r="V264" s="169" t="str">
        <f t="shared" si="157"/>
        <v/>
      </c>
      <c r="W264" s="169" t="str">
        <f t="shared" si="157"/>
        <v/>
      </c>
      <c r="X264" s="169" t="str">
        <f t="shared" si="157"/>
        <v/>
      </c>
      <c r="Y264" s="169" t="str">
        <f t="shared" si="157"/>
        <v/>
      </c>
      <c r="Z264" s="169" t="str">
        <f t="shared" si="157"/>
        <v/>
      </c>
      <c r="AA264" s="299" t="str">
        <f t="shared" si="157"/>
        <v/>
      </c>
      <c r="AB264" s="169" t="str">
        <f t="shared" si="158"/>
        <v/>
      </c>
      <c r="AC264" s="169" t="str">
        <f t="shared" si="158"/>
        <v/>
      </c>
      <c r="AD264" s="169" t="str">
        <f t="shared" si="158"/>
        <v/>
      </c>
      <c r="AE264" s="169" t="str">
        <f t="shared" si="158"/>
        <v/>
      </c>
      <c r="AF264" s="169" t="str">
        <f t="shared" si="158"/>
        <v/>
      </c>
      <c r="AG264" s="169" t="str">
        <f t="shared" si="158"/>
        <v/>
      </c>
      <c r="AH264" s="169" t="str">
        <f t="shared" si="158"/>
        <v/>
      </c>
      <c r="AI264" s="169" t="str">
        <f t="shared" si="158"/>
        <v/>
      </c>
      <c r="AJ264" s="299" t="str">
        <f t="shared" si="158"/>
        <v/>
      </c>
      <c r="AK264" s="298" t="str">
        <f t="shared" si="159"/>
        <v/>
      </c>
      <c r="AL264" s="299" t="str">
        <f t="shared" si="159"/>
        <v/>
      </c>
      <c r="AM264" s="169" t="str">
        <f t="shared" si="160"/>
        <v/>
      </c>
      <c r="AN264" s="169" t="str">
        <f t="shared" si="160"/>
        <v/>
      </c>
      <c r="AO264" s="169" t="str">
        <f t="shared" si="160"/>
        <v/>
      </c>
      <c r="AP264" s="169" t="str">
        <f t="shared" si="160"/>
        <v/>
      </c>
      <c r="AQ264" s="169" t="str">
        <f t="shared" si="160"/>
        <v/>
      </c>
      <c r="AR264" s="169" t="str">
        <f t="shared" si="160"/>
        <v/>
      </c>
      <c r="AS264" s="169" t="str">
        <f t="shared" si="160"/>
        <v/>
      </c>
      <c r="AT264" s="169" t="str">
        <f t="shared" si="160"/>
        <v/>
      </c>
      <c r="AU264" s="299" t="str">
        <f t="shared" si="160"/>
        <v/>
      </c>
      <c r="AV264" s="169" t="str">
        <f t="shared" si="153"/>
        <v/>
      </c>
      <c r="AW264" s="169" t="str">
        <f t="shared" si="146"/>
        <v/>
      </c>
      <c r="AX264" s="169" t="str">
        <f t="shared" si="146"/>
        <v/>
      </c>
      <c r="AY264" s="169" t="str">
        <f t="shared" si="164"/>
        <v/>
      </c>
      <c r="AZ264" s="169" t="str">
        <f t="shared" si="164"/>
        <v/>
      </c>
      <c r="BA264" s="299" t="str">
        <f t="shared" si="164"/>
        <v/>
      </c>
      <c r="BB264" s="169" t="str">
        <f t="shared" si="155"/>
        <v/>
      </c>
      <c r="BC264" s="169" t="str">
        <f t="shared" si="124"/>
        <v/>
      </c>
      <c r="BD264" s="169" t="str">
        <f t="shared" si="131"/>
        <v/>
      </c>
      <c r="BE264" s="169" t="str">
        <f t="shared" si="165"/>
        <v/>
      </c>
      <c r="BF264" s="169" t="str">
        <f t="shared" si="165"/>
        <v/>
      </c>
      <c r="BG264" s="169" t="str">
        <f t="shared" si="165"/>
        <v/>
      </c>
      <c r="BH264" s="298"/>
      <c r="BI264" s="169"/>
      <c r="BJ264" s="169"/>
      <c r="BK264" s="169"/>
      <c r="BL264" s="169"/>
      <c r="BM264" s="299"/>
      <c r="BN264" s="298" t="str">
        <f t="shared" si="161"/>
        <v/>
      </c>
      <c r="BO264" s="169" t="str">
        <f t="shared" si="161"/>
        <v/>
      </c>
      <c r="BP264" s="169" t="str">
        <f t="shared" si="161"/>
        <v/>
      </c>
      <c r="BQ264" s="169" t="str">
        <f t="shared" si="161"/>
        <v/>
      </c>
      <c r="BR264" s="169" t="str">
        <f t="shared" si="161"/>
        <v/>
      </c>
      <c r="BS264" s="169" t="str">
        <f t="shared" si="161"/>
        <v/>
      </c>
      <c r="BT264" s="169" t="str">
        <f t="shared" si="161"/>
        <v/>
      </c>
      <c r="BU264" s="169" t="str">
        <f t="shared" si="161"/>
        <v/>
      </c>
      <c r="BV264" s="299" t="str">
        <f t="shared" si="161"/>
        <v/>
      </c>
      <c r="BW264" s="298" t="str">
        <f t="shared" si="162"/>
        <v/>
      </c>
      <c r="BX264" s="169" t="str">
        <f t="shared" si="162"/>
        <v/>
      </c>
      <c r="BY264" s="169" t="str">
        <f t="shared" si="162"/>
        <v/>
      </c>
      <c r="BZ264" s="169" t="str">
        <f t="shared" si="162"/>
        <v/>
      </c>
      <c r="CA264" s="169" t="str">
        <f t="shared" si="162"/>
        <v/>
      </c>
      <c r="CB264" s="169" t="str">
        <f t="shared" si="162"/>
        <v/>
      </c>
      <c r="CC264" s="169" t="str">
        <f t="shared" si="162"/>
        <v/>
      </c>
      <c r="CD264" s="169" t="str">
        <f t="shared" si="162"/>
        <v/>
      </c>
      <c r="CE264" s="299" t="str">
        <f t="shared" si="162"/>
        <v/>
      </c>
      <c r="CF264" s="298"/>
      <c r="CG264" s="169"/>
      <c r="CH264" s="169"/>
      <c r="CI264" s="169"/>
      <c r="CJ264" s="169"/>
      <c r="CK264" s="299"/>
      <c r="CL264" s="298" t="str">
        <f t="shared" si="125"/>
        <v/>
      </c>
      <c r="CM264" s="169" t="str">
        <f t="shared" ref="CM264:CM281" si="166">IF($P264=CM$159,$DC264,"")</f>
        <v/>
      </c>
      <c r="CN264" s="169" t="str">
        <f t="shared" si="123"/>
        <v/>
      </c>
      <c r="CO264" s="169" t="str">
        <f t="shared" si="127"/>
        <v/>
      </c>
      <c r="CP264" s="169" t="str">
        <f t="shared" si="163"/>
        <v/>
      </c>
      <c r="CQ264" s="299" t="str">
        <f t="shared" si="163"/>
        <v/>
      </c>
      <c r="CR264" s="298" t="str">
        <f t="shared" si="152"/>
        <v/>
      </c>
      <c r="CS264" s="169" t="str">
        <f t="shared" si="152"/>
        <v/>
      </c>
      <c r="CT264" s="169" t="str">
        <f t="shared" si="152"/>
        <v/>
      </c>
      <c r="CU264" s="169" t="str">
        <f t="shared" si="152"/>
        <v/>
      </c>
      <c r="CV264" s="169" t="str">
        <f t="shared" si="152"/>
        <v/>
      </c>
      <c r="CW264" s="299" t="str">
        <f t="shared" si="152"/>
        <v/>
      </c>
      <c r="CX264" s="299" t="str">
        <f t="shared" si="126"/>
        <v/>
      </c>
      <c r="CZ264" s="10"/>
      <c r="DB264" s="10">
        <f t="shared" si="142"/>
        <v>0</v>
      </c>
      <c r="DC264" s="10">
        <f t="shared" si="141"/>
        <v>0</v>
      </c>
    </row>
    <row r="265" spans="2:107" hidden="1" outlineLevel="1" x14ac:dyDescent="0.25">
      <c r="B265" s="116"/>
      <c r="C265" s="528">
        <f t="shared" si="156"/>
        <v>0</v>
      </c>
      <c r="D265" s="529">
        <f t="shared" si="154"/>
        <v>0</v>
      </c>
      <c r="G265" s="40"/>
      <c r="Q265" s="47"/>
      <c r="S265" s="298" t="str">
        <f t="shared" si="157"/>
        <v/>
      </c>
      <c r="T265" s="169" t="str">
        <f t="shared" si="157"/>
        <v/>
      </c>
      <c r="U265" s="169" t="str">
        <f t="shared" si="157"/>
        <v/>
      </c>
      <c r="V265" s="169" t="str">
        <f t="shared" si="157"/>
        <v/>
      </c>
      <c r="W265" s="169" t="str">
        <f t="shared" si="157"/>
        <v/>
      </c>
      <c r="X265" s="169" t="str">
        <f t="shared" si="157"/>
        <v/>
      </c>
      <c r="Y265" s="169" t="str">
        <f t="shared" si="157"/>
        <v/>
      </c>
      <c r="Z265" s="169" t="str">
        <f t="shared" si="157"/>
        <v/>
      </c>
      <c r="AA265" s="299" t="str">
        <f t="shared" si="157"/>
        <v/>
      </c>
      <c r="AB265" s="169" t="str">
        <f t="shared" si="158"/>
        <v/>
      </c>
      <c r="AC265" s="169" t="str">
        <f t="shared" si="158"/>
        <v/>
      </c>
      <c r="AD265" s="169" t="str">
        <f t="shared" si="158"/>
        <v/>
      </c>
      <c r="AE265" s="169" t="str">
        <f t="shared" si="158"/>
        <v/>
      </c>
      <c r="AF265" s="169" t="str">
        <f t="shared" si="158"/>
        <v/>
      </c>
      <c r="AG265" s="169" t="str">
        <f t="shared" si="158"/>
        <v/>
      </c>
      <c r="AH265" s="169" t="str">
        <f t="shared" si="158"/>
        <v/>
      </c>
      <c r="AI265" s="169" t="str">
        <f t="shared" si="158"/>
        <v/>
      </c>
      <c r="AJ265" s="299" t="str">
        <f t="shared" si="158"/>
        <v/>
      </c>
      <c r="AK265" s="298" t="str">
        <f t="shared" si="159"/>
        <v/>
      </c>
      <c r="AL265" s="299" t="str">
        <f t="shared" si="159"/>
        <v/>
      </c>
      <c r="AM265" s="169" t="str">
        <f t="shared" si="160"/>
        <v/>
      </c>
      <c r="AN265" s="169" t="str">
        <f t="shared" si="160"/>
        <v/>
      </c>
      <c r="AO265" s="169" t="str">
        <f t="shared" si="160"/>
        <v/>
      </c>
      <c r="AP265" s="169" t="str">
        <f t="shared" si="160"/>
        <v/>
      </c>
      <c r="AQ265" s="169" t="str">
        <f t="shared" si="160"/>
        <v/>
      </c>
      <c r="AR265" s="169" t="str">
        <f t="shared" si="160"/>
        <v/>
      </c>
      <c r="AS265" s="169" t="str">
        <f t="shared" si="160"/>
        <v/>
      </c>
      <c r="AT265" s="169" t="str">
        <f t="shared" si="160"/>
        <v/>
      </c>
      <c r="AU265" s="299" t="str">
        <f t="shared" si="160"/>
        <v/>
      </c>
      <c r="AV265" s="169" t="str">
        <f t="shared" si="153"/>
        <v/>
      </c>
      <c r="AW265" s="169" t="str">
        <f t="shared" si="146"/>
        <v/>
      </c>
      <c r="AX265" s="169" t="str">
        <f t="shared" si="146"/>
        <v/>
      </c>
      <c r="AY265" s="169" t="str">
        <f t="shared" si="164"/>
        <v/>
      </c>
      <c r="AZ265" s="169" t="str">
        <f t="shared" si="164"/>
        <v/>
      </c>
      <c r="BA265" s="299" t="str">
        <f t="shared" si="164"/>
        <v/>
      </c>
      <c r="BB265" s="169" t="str">
        <f t="shared" si="155"/>
        <v/>
      </c>
      <c r="BC265" s="169" t="str">
        <f t="shared" si="124"/>
        <v/>
      </c>
      <c r="BD265" s="169" t="str">
        <f t="shared" si="131"/>
        <v/>
      </c>
      <c r="BE265" s="169" t="str">
        <f t="shared" si="165"/>
        <v/>
      </c>
      <c r="BF265" s="169" t="str">
        <f t="shared" si="165"/>
        <v/>
      </c>
      <c r="BG265" s="169" t="str">
        <f t="shared" si="165"/>
        <v/>
      </c>
      <c r="BH265" s="298"/>
      <c r="BI265" s="169"/>
      <c r="BJ265" s="169"/>
      <c r="BK265" s="169"/>
      <c r="BL265" s="169"/>
      <c r="BM265" s="299"/>
      <c r="BN265" s="298" t="str">
        <f t="shared" si="161"/>
        <v/>
      </c>
      <c r="BO265" s="169" t="str">
        <f t="shared" si="161"/>
        <v/>
      </c>
      <c r="BP265" s="169" t="str">
        <f t="shared" si="161"/>
        <v/>
      </c>
      <c r="BQ265" s="169" t="str">
        <f t="shared" si="161"/>
        <v/>
      </c>
      <c r="BR265" s="169" t="str">
        <f t="shared" si="161"/>
        <v/>
      </c>
      <c r="BS265" s="169" t="str">
        <f t="shared" si="161"/>
        <v/>
      </c>
      <c r="BT265" s="169" t="str">
        <f t="shared" si="161"/>
        <v/>
      </c>
      <c r="BU265" s="169" t="str">
        <f t="shared" si="161"/>
        <v/>
      </c>
      <c r="BV265" s="299" t="str">
        <f t="shared" si="161"/>
        <v/>
      </c>
      <c r="BW265" s="298" t="str">
        <f t="shared" si="162"/>
        <v/>
      </c>
      <c r="BX265" s="169" t="str">
        <f t="shared" si="162"/>
        <v/>
      </c>
      <c r="BY265" s="169" t="str">
        <f t="shared" si="162"/>
        <v/>
      </c>
      <c r="BZ265" s="169" t="str">
        <f t="shared" si="162"/>
        <v/>
      </c>
      <c r="CA265" s="169" t="str">
        <f t="shared" si="162"/>
        <v/>
      </c>
      <c r="CB265" s="169" t="str">
        <f t="shared" si="162"/>
        <v/>
      </c>
      <c r="CC265" s="169" t="str">
        <f t="shared" si="162"/>
        <v/>
      </c>
      <c r="CD265" s="169" t="str">
        <f t="shared" si="162"/>
        <v/>
      </c>
      <c r="CE265" s="299" t="str">
        <f t="shared" si="162"/>
        <v/>
      </c>
      <c r="CF265" s="298"/>
      <c r="CG265" s="169"/>
      <c r="CH265" s="169"/>
      <c r="CI265" s="169"/>
      <c r="CJ265" s="169"/>
      <c r="CK265" s="299"/>
      <c r="CL265" s="298" t="str">
        <f t="shared" si="125"/>
        <v/>
      </c>
      <c r="CM265" s="169" t="str">
        <f t="shared" si="166"/>
        <v/>
      </c>
      <c r="CN265" s="169" t="str">
        <f t="shared" ref="CN265:CN281" si="167">IF($P265=CN$159,$DC265,"")</f>
        <v/>
      </c>
      <c r="CO265" s="169" t="str">
        <f t="shared" si="127"/>
        <v/>
      </c>
      <c r="CP265" s="169" t="str">
        <f t="shared" si="163"/>
        <v/>
      </c>
      <c r="CQ265" s="299" t="str">
        <f t="shared" si="163"/>
        <v/>
      </c>
      <c r="CR265" s="298" t="str">
        <f t="shared" si="152"/>
        <v/>
      </c>
      <c r="CS265" s="169" t="str">
        <f t="shared" si="152"/>
        <v/>
      </c>
      <c r="CT265" s="169" t="str">
        <f t="shared" si="152"/>
        <v/>
      </c>
      <c r="CU265" s="169" t="str">
        <f t="shared" si="152"/>
        <v/>
      </c>
      <c r="CV265" s="169" t="str">
        <f t="shared" si="152"/>
        <v/>
      </c>
      <c r="CW265" s="299" t="str">
        <f t="shared" si="152"/>
        <v/>
      </c>
      <c r="CX265" s="299" t="str">
        <f t="shared" si="126"/>
        <v/>
      </c>
      <c r="CZ265" s="10"/>
      <c r="DB265" s="10">
        <f t="shared" si="142"/>
        <v>0</v>
      </c>
      <c r="DC265" s="10">
        <f t="shared" si="141"/>
        <v>0</v>
      </c>
    </row>
    <row r="266" spans="2:107" hidden="1" outlineLevel="1" x14ac:dyDescent="0.25">
      <c r="B266" s="116"/>
      <c r="C266" s="528">
        <f t="shared" si="156"/>
        <v>0</v>
      </c>
      <c r="D266" s="529">
        <f t="shared" si="154"/>
        <v>0</v>
      </c>
      <c r="G266" s="40"/>
      <c r="Q266" s="47"/>
      <c r="S266" s="298" t="str">
        <f t="shared" si="157"/>
        <v/>
      </c>
      <c r="T266" s="169" t="str">
        <f t="shared" si="157"/>
        <v/>
      </c>
      <c r="U266" s="169" t="str">
        <f t="shared" si="157"/>
        <v/>
      </c>
      <c r="V266" s="169" t="str">
        <f t="shared" si="157"/>
        <v/>
      </c>
      <c r="W266" s="169" t="str">
        <f t="shared" si="157"/>
        <v/>
      </c>
      <c r="X266" s="169" t="str">
        <f t="shared" si="157"/>
        <v/>
      </c>
      <c r="Y266" s="169" t="str">
        <f t="shared" si="157"/>
        <v/>
      </c>
      <c r="Z266" s="169" t="str">
        <f t="shared" si="157"/>
        <v/>
      </c>
      <c r="AA266" s="299" t="str">
        <f t="shared" si="157"/>
        <v/>
      </c>
      <c r="AB266" s="169" t="str">
        <f t="shared" si="158"/>
        <v/>
      </c>
      <c r="AC266" s="169" t="str">
        <f t="shared" si="158"/>
        <v/>
      </c>
      <c r="AD266" s="169" t="str">
        <f t="shared" si="158"/>
        <v/>
      </c>
      <c r="AE266" s="169" t="str">
        <f t="shared" si="158"/>
        <v/>
      </c>
      <c r="AF266" s="169" t="str">
        <f t="shared" si="158"/>
        <v/>
      </c>
      <c r="AG266" s="169" t="str">
        <f t="shared" si="158"/>
        <v/>
      </c>
      <c r="AH266" s="169" t="str">
        <f t="shared" si="158"/>
        <v/>
      </c>
      <c r="AI266" s="169" t="str">
        <f t="shared" si="158"/>
        <v/>
      </c>
      <c r="AJ266" s="299" t="str">
        <f t="shared" si="158"/>
        <v/>
      </c>
      <c r="AK266" s="298" t="str">
        <f t="shared" si="159"/>
        <v/>
      </c>
      <c r="AL266" s="299" t="str">
        <f t="shared" si="159"/>
        <v/>
      </c>
      <c r="AM266" s="169" t="str">
        <f t="shared" si="160"/>
        <v/>
      </c>
      <c r="AN266" s="169" t="str">
        <f t="shared" si="160"/>
        <v/>
      </c>
      <c r="AO266" s="169" t="str">
        <f t="shared" si="160"/>
        <v/>
      </c>
      <c r="AP266" s="169" t="str">
        <f t="shared" si="160"/>
        <v/>
      </c>
      <c r="AQ266" s="169" t="str">
        <f t="shared" si="160"/>
        <v/>
      </c>
      <c r="AR266" s="169" t="str">
        <f t="shared" si="160"/>
        <v/>
      </c>
      <c r="AS266" s="169" t="str">
        <f t="shared" si="160"/>
        <v/>
      </c>
      <c r="AT266" s="169" t="str">
        <f t="shared" si="160"/>
        <v/>
      </c>
      <c r="AU266" s="299" t="str">
        <f t="shared" si="160"/>
        <v/>
      </c>
      <c r="AV266" s="169" t="str">
        <f t="shared" si="153"/>
        <v/>
      </c>
      <c r="AW266" s="169" t="str">
        <f t="shared" si="146"/>
        <v/>
      </c>
      <c r="AX266" s="169" t="str">
        <f t="shared" si="146"/>
        <v/>
      </c>
      <c r="AY266" s="169" t="str">
        <f t="shared" si="164"/>
        <v/>
      </c>
      <c r="AZ266" s="169" t="str">
        <f t="shared" si="164"/>
        <v/>
      </c>
      <c r="BA266" s="299" t="str">
        <f t="shared" si="164"/>
        <v/>
      </c>
      <c r="BB266" s="169" t="str">
        <f t="shared" si="155"/>
        <v/>
      </c>
      <c r="BC266" s="169" t="str">
        <f t="shared" ref="BC266:BC281" si="168">IF($K266=BC$159,$DC266,"")</f>
        <v/>
      </c>
      <c r="BD266" s="169" t="str">
        <f t="shared" si="131"/>
        <v/>
      </c>
      <c r="BE266" s="169" t="str">
        <f t="shared" si="165"/>
        <v/>
      </c>
      <c r="BF266" s="169" t="str">
        <f t="shared" si="165"/>
        <v/>
      </c>
      <c r="BG266" s="169" t="str">
        <f t="shared" si="165"/>
        <v/>
      </c>
      <c r="BH266" s="298"/>
      <c r="BI266" s="169"/>
      <c r="BJ266" s="169"/>
      <c r="BK266" s="169"/>
      <c r="BL266" s="169"/>
      <c r="BM266" s="299"/>
      <c r="BN266" s="298" t="str">
        <f t="shared" si="161"/>
        <v/>
      </c>
      <c r="BO266" s="169" t="str">
        <f t="shared" si="161"/>
        <v/>
      </c>
      <c r="BP266" s="169" t="str">
        <f t="shared" si="161"/>
        <v/>
      </c>
      <c r="BQ266" s="169" t="str">
        <f t="shared" si="161"/>
        <v/>
      </c>
      <c r="BR266" s="169" t="str">
        <f t="shared" si="161"/>
        <v/>
      </c>
      <c r="BS266" s="169" t="str">
        <f t="shared" si="161"/>
        <v/>
      </c>
      <c r="BT266" s="169" t="str">
        <f t="shared" si="161"/>
        <v/>
      </c>
      <c r="BU266" s="169" t="str">
        <f t="shared" si="161"/>
        <v/>
      </c>
      <c r="BV266" s="299" t="str">
        <f t="shared" si="161"/>
        <v/>
      </c>
      <c r="BW266" s="298" t="str">
        <f t="shared" si="162"/>
        <v/>
      </c>
      <c r="BX266" s="169" t="str">
        <f t="shared" si="162"/>
        <v/>
      </c>
      <c r="BY266" s="169" t="str">
        <f t="shared" si="162"/>
        <v/>
      </c>
      <c r="BZ266" s="169" t="str">
        <f t="shared" si="162"/>
        <v/>
      </c>
      <c r="CA266" s="169" t="str">
        <f t="shared" si="162"/>
        <v/>
      </c>
      <c r="CB266" s="169" t="str">
        <f t="shared" si="162"/>
        <v/>
      </c>
      <c r="CC266" s="169" t="str">
        <f t="shared" si="162"/>
        <v/>
      </c>
      <c r="CD266" s="169" t="str">
        <f t="shared" si="162"/>
        <v/>
      </c>
      <c r="CE266" s="299" t="str">
        <f t="shared" si="162"/>
        <v/>
      </c>
      <c r="CF266" s="298"/>
      <c r="CG266" s="169"/>
      <c r="CH266" s="169"/>
      <c r="CI266" s="169"/>
      <c r="CJ266" s="169"/>
      <c r="CK266" s="299"/>
      <c r="CL266" s="298" t="str">
        <f t="shared" ref="CL266:CL281" si="169">IF($P266=CL$159,$DC266,"")</f>
        <v/>
      </c>
      <c r="CM266" s="169" t="str">
        <f t="shared" si="166"/>
        <v/>
      </c>
      <c r="CN266" s="169" t="str">
        <f t="shared" si="167"/>
        <v/>
      </c>
      <c r="CO266" s="169" t="str">
        <f t="shared" si="127"/>
        <v/>
      </c>
      <c r="CP266" s="169" t="str">
        <f t="shared" si="163"/>
        <v/>
      </c>
      <c r="CQ266" s="299" t="str">
        <f t="shared" si="163"/>
        <v/>
      </c>
      <c r="CR266" s="298" t="str">
        <f t="shared" ref="CR266:CW275" si="170">IF($P266=CR$159,$DC266,"")</f>
        <v/>
      </c>
      <c r="CS266" s="169" t="str">
        <f t="shared" si="170"/>
        <v/>
      </c>
      <c r="CT266" s="169" t="str">
        <f t="shared" si="170"/>
        <v/>
      </c>
      <c r="CU266" s="169" t="str">
        <f t="shared" si="170"/>
        <v/>
      </c>
      <c r="CV266" s="169" t="str">
        <f t="shared" si="170"/>
        <v/>
      </c>
      <c r="CW266" s="299" t="str">
        <f t="shared" si="170"/>
        <v/>
      </c>
      <c r="CX266" s="299" t="str">
        <f t="shared" ref="CX266:CX283" si="171">IF($P266=CX$159,$DC266,"")</f>
        <v/>
      </c>
      <c r="CZ266" s="10"/>
      <c r="DB266" s="10">
        <f t="shared" si="142"/>
        <v>0</v>
      </c>
      <c r="DC266" s="10">
        <f t="shared" si="141"/>
        <v>0</v>
      </c>
    </row>
    <row r="267" spans="2:107" hidden="1" outlineLevel="1" x14ac:dyDescent="0.25">
      <c r="B267" s="116"/>
      <c r="C267" s="528" t="str">
        <f t="shared" si="156"/>
        <v xml:space="preserve"> ---Nothing Follows--- </v>
      </c>
      <c r="D267" s="529">
        <f t="shared" si="154"/>
        <v>0</v>
      </c>
      <c r="G267" s="40"/>
      <c r="Q267" s="47"/>
      <c r="S267" s="298" t="str">
        <f t="shared" si="157"/>
        <v/>
      </c>
      <c r="T267" s="169" t="str">
        <f t="shared" si="157"/>
        <v/>
      </c>
      <c r="U267" s="169" t="str">
        <f t="shared" si="157"/>
        <v/>
      </c>
      <c r="V267" s="169" t="str">
        <f t="shared" si="157"/>
        <v/>
      </c>
      <c r="W267" s="169" t="str">
        <f t="shared" si="157"/>
        <v/>
      </c>
      <c r="X267" s="169" t="str">
        <f t="shared" si="157"/>
        <v/>
      </c>
      <c r="Y267" s="169" t="str">
        <f t="shared" si="157"/>
        <v/>
      </c>
      <c r="Z267" s="169" t="str">
        <f t="shared" si="157"/>
        <v/>
      </c>
      <c r="AA267" s="299" t="str">
        <f t="shared" si="157"/>
        <v/>
      </c>
      <c r="AB267" s="169" t="str">
        <f t="shared" si="158"/>
        <v/>
      </c>
      <c r="AC267" s="169" t="str">
        <f t="shared" si="158"/>
        <v/>
      </c>
      <c r="AD267" s="169" t="str">
        <f t="shared" si="158"/>
        <v/>
      </c>
      <c r="AE267" s="169" t="str">
        <f t="shared" si="158"/>
        <v/>
      </c>
      <c r="AF267" s="169" t="str">
        <f t="shared" si="158"/>
        <v/>
      </c>
      <c r="AG267" s="169" t="str">
        <f t="shared" si="158"/>
        <v/>
      </c>
      <c r="AH267" s="169" t="str">
        <f t="shared" si="158"/>
        <v/>
      </c>
      <c r="AI267" s="169" t="str">
        <f t="shared" si="158"/>
        <v/>
      </c>
      <c r="AJ267" s="299" t="str">
        <f t="shared" si="158"/>
        <v/>
      </c>
      <c r="AK267" s="298" t="str">
        <f t="shared" si="159"/>
        <v/>
      </c>
      <c r="AL267" s="299" t="str">
        <f t="shared" si="159"/>
        <v/>
      </c>
      <c r="AM267" s="169" t="str">
        <f t="shared" si="160"/>
        <v/>
      </c>
      <c r="AN267" s="169" t="str">
        <f t="shared" si="160"/>
        <v/>
      </c>
      <c r="AO267" s="169" t="str">
        <f t="shared" si="160"/>
        <v/>
      </c>
      <c r="AP267" s="169" t="str">
        <f t="shared" si="160"/>
        <v/>
      </c>
      <c r="AQ267" s="169" t="str">
        <f t="shared" si="160"/>
        <v/>
      </c>
      <c r="AR267" s="169" t="str">
        <f t="shared" si="160"/>
        <v/>
      </c>
      <c r="AS267" s="169" t="str">
        <f t="shared" si="160"/>
        <v/>
      </c>
      <c r="AT267" s="169" t="str">
        <f t="shared" si="160"/>
        <v/>
      </c>
      <c r="AU267" s="299" t="str">
        <f t="shared" si="160"/>
        <v/>
      </c>
      <c r="AV267" s="169" t="str">
        <f t="shared" si="153"/>
        <v/>
      </c>
      <c r="AW267" s="169" t="str">
        <f t="shared" si="146"/>
        <v/>
      </c>
      <c r="AX267" s="169" t="str">
        <f t="shared" si="146"/>
        <v/>
      </c>
      <c r="AY267" s="169" t="str">
        <f t="shared" si="164"/>
        <v/>
      </c>
      <c r="AZ267" s="169" t="str">
        <f t="shared" si="164"/>
        <v/>
      </c>
      <c r="BA267" s="299" t="str">
        <f t="shared" si="164"/>
        <v/>
      </c>
      <c r="BB267" s="169" t="str">
        <f t="shared" si="155"/>
        <v/>
      </c>
      <c r="BC267" s="169" t="str">
        <f t="shared" si="168"/>
        <v/>
      </c>
      <c r="BD267" s="169" t="str">
        <f t="shared" si="131"/>
        <v/>
      </c>
      <c r="BE267" s="169" t="str">
        <f t="shared" si="165"/>
        <v/>
      </c>
      <c r="BF267" s="169" t="str">
        <f t="shared" si="165"/>
        <v/>
      </c>
      <c r="BG267" s="169" t="str">
        <f t="shared" si="165"/>
        <v/>
      </c>
      <c r="BH267" s="298"/>
      <c r="BI267" s="169"/>
      <c r="BJ267" s="169"/>
      <c r="BK267" s="169"/>
      <c r="BL267" s="169"/>
      <c r="BM267" s="299"/>
      <c r="BN267" s="298" t="str">
        <f t="shared" si="161"/>
        <v/>
      </c>
      <c r="BO267" s="169" t="str">
        <f t="shared" si="161"/>
        <v/>
      </c>
      <c r="BP267" s="169" t="str">
        <f t="shared" si="161"/>
        <v/>
      </c>
      <c r="BQ267" s="169" t="str">
        <f t="shared" si="161"/>
        <v/>
      </c>
      <c r="BR267" s="169" t="str">
        <f t="shared" si="161"/>
        <v/>
      </c>
      <c r="BS267" s="169" t="str">
        <f t="shared" si="161"/>
        <v/>
      </c>
      <c r="BT267" s="169" t="str">
        <f t="shared" si="161"/>
        <v/>
      </c>
      <c r="BU267" s="169" t="str">
        <f t="shared" si="161"/>
        <v/>
      </c>
      <c r="BV267" s="299" t="str">
        <f t="shared" si="161"/>
        <v/>
      </c>
      <c r="BW267" s="298" t="str">
        <f t="shared" si="162"/>
        <v/>
      </c>
      <c r="BX267" s="169" t="str">
        <f t="shared" si="162"/>
        <v/>
      </c>
      <c r="BY267" s="169" t="str">
        <f t="shared" si="162"/>
        <v/>
      </c>
      <c r="BZ267" s="169" t="str">
        <f t="shared" si="162"/>
        <v/>
      </c>
      <c r="CA267" s="169" t="str">
        <f t="shared" si="162"/>
        <v/>
      </c>
      <c r="CB267" s="169" t="str">
        <f t="shared" si="162"/>
        <v/>
      </c>
      <c r="CC267" s="169" t="str">
        <f t="shared" si="162"/>
        <v/>
      </c>
      <c r="CD267" s="169" t="str">
        <f t="shared" si="162"/>
        <v/>
      </c>
      <c r="CE267" s="299" t="str">
        <f t="shared" si="162"/>
        <v/>
      </c>
      <c r="CF267" s="298"/>
      <c r="CG267" s="169"/>
      <c r="CH267" s="169"/>
      <c r="CI267" s="169"/>
      <c r="CJ267" s="169"/>
      <c r="CK267" s="299"/>
      <c r="CL267" s="298" t="str">
        <f t="shared" si="169"/>
        <v/>
      </c>
      <c r="CM267" s="169" t="str">
        <f t="shared" si="166"/>
        <v/>
      </c>
      <c r="CN267" s="169" t="str">
        <f t="shared" si="167"/>
        <v/>
      </c>
      <c r="CO267" s="169" t="str">
        <f t="shared" ref="CO267:CO281" si="172">IF($P267=CO$159,$DC267,"")</f>
        <v/>
      </c>
      <c r="CP267" s="169" t="str">
        <f t="shared" si="163"/>
        <v/>
      </c>
      <c r="CQ267" s="299" t="str">
        <f t="shared" si="163"/>
        <v/>
      </c>
      <c r="CR267" s="298" t="str">
        <f t="shared" si="170"/>
        <v/>
      </c>
      <c r="CS267" s="169" t="str">
        <f t="shared" si="170"/>
        <v/>
      </c>
      <c r="CT267" s="169" t="str">
        <f t="shared" si="170"/>
        <v/>
      </c>
      <c r="CU267" s="169" t="str">
        <f t="shared" si="170"/>
        <v/>
      </c>
      <c r="CV267" s="169" t="str">
        <f t="shared" si="170"/>
        <v/>
      </c>
      <c r="CW267" s="299" t="str">
        <f t="shared" si="170"/>
        <v/>
      </c>
      <c r="CX267" s="299" t="str">
        <f t="shared" si="171"/>
        <v/>
      </c>
      <c r="CZ267" s="10"/>
      <c r="DB267" s="10">
        <f t="shared" si="142"/>
        <v>0</v>
      </c>
      <c r="DC267" s="10">
        <f t="shared" si="141"/>
        <v>0</v>
      </c>
    </row>
    <row r="268" spans="2:107" ht="15.75" collapsed="1" thickBot="1" x14ac:dyDescent="0.3">
      <c r="B268" s="116"/>
      <c r="C268" s="530">
        <f>IF(C154&gt;0,B154 &amp; " (" &amp;C154 &amp; ")",B154)</f>
        <v>0</v>
      </c>
      <c r="D268" s="531">
        <f>E154</f>
        <v>0</v>
      </c>
      <c r="G268" s="40"/>
      <c r="Q268" s="47"/>
      <c r="S268" s="298" t="str">
        <f t="shared" si="157"/>
        <v/>
      </c>
      <c r="T268" s="169" t="str">
        <f t="shared" si="157"/>
        <v/>
      </c>
      <c r="U268" s="169" t="str">
        <f t="shared" si="157"/>
        <v/>
      </c>
      <c r="V268" s="169" t="str">
        <f t="shared" si="157"/>
        <v/>
      </c>
      <c r="W268" s="169" t="str">
        <f t="shared" si="157"/>
        <v/>
      </c>
      <c r="X268" s="169" t="str">
        <f t="shared" si="157"/>
        <v/>
      </c>
      <c r="Y268" s="169" t="str">
        <f t="shared" si="157"/>
        <v/>
      </c>
      <c r="Z268" s="169" t="str">
        <f t="shared" si="157"/>
        <v/>
      </c>
      <c r="AA268" s="299" t="str">
        <f t="shared" si="157"/>
        <v/>
      </c>
      <c r="AB268" s="169" t="str">
        <f t="shared" si="158"/>
        <v/>
      </c>
      <c r="AC268" s="169" t="str">
        <f t="shared" si="158"/>
        <v/>
      </c>
      <c r="AD268" s="169" t="str">
        <f t="shared" si="158"/>
        <v/>
      </c>
      <c r="AE268" s="169" t="str">
        <f t="shared" si="158"/>
        <v/>
      </c>
      <c r="AF268" s="169" t="str">
        <f t="shared" si="158"/>
        <v/>
      </c>
      <c r="AG268" s="169" t="str">
        <f t="shared" si="158"/>
        <v/>
      </c>
      <c r="AH268" s="169" t="str">
        <f t="shared" si="158"/>
        <v/>
      </c>
      <c r="AI268" s="169" t="str">
        <f t="shared" si="158"/>
        <v/>
      </c>
      <c r="AJ268" s="299" t="str">
        <f t="shared" si="158"/>
        <v/>
      </c>
      <c r="AK268" s="298" t="str">
        <f t="shared" si="159"/>
        <v/>
      </c>
      <c r="AL268" s="299" t="str">
        <f t="shared" si="159"/>
        <v/>
      </c>
      <c r="AM268" s="169" t="str">
        <f t="shared" si="160"/>
        <v/>
      </c>
      <c r="AN268" s="169" t="str">
        <f t="shared" si="160"/>
        <v/>
      </c>
      <c r="AO268" s="169" t="str">
        <f t="shared" si="160"/>
        <v/>
      </c>
      <c r="AP268" s="169" t="str">
        <f t="shared" si="160"/>
        <v/>
      </c>
      <c r="AQ268" s="169" t="str">
        <f t="shared" si="160"/>
        <v/>
      </c>
      <c r="AR268" s="169" t="str">
        <f t="shared" si="160"/>
        <v/>
      </c>
      <c r="AS268" s="169" t="str">
        <f t="shared" si="160"/>
        <v/>
      </c>
      <c r="AT268" s="169" t="str">
        <f t="shared" si="160"/>
        <v/>
      </c>
      <c r="AU268" s="299" t="str">
        <f t="shared" si="160"/>
        <v/>
      </c>
      <c r="AV268" s="169" t="str">
        <f t="shared" si="153"/>
        <v/>
      </c>
      <c r="AW268" s="169" t="str">
        <f t="shared" si="146"/>
        <v/>
      </c>
      <c r="AX268" s="169" t="str">
        <f t="shared" si="146"/>
        <v/>
      </c>
      <c r="AY268" s="169" t="str">
        <f t="shared" si="164"/>
        <v/>
      </c>
      <c r="AZ268" s="169" t="str">
        <f t="shared" si="164"/>
        <v/>
      </c>
      <c r="BA268" s="299" t="str">
        <f t="shared" si="164"/>
        <v/>
      </c>
      <c r="BB268" s="169" t="str">
        <f t="shared" si="155"/>
        <v/>
      </c>
      <c r="BC268" s="169" t="str">
        <f t="shared" si="168"/>
        <v/>
      </c>
      <c r="BD268" s="169" t="str">
        <f t="shared" si="131"/>
        <v/>
      </c>
      <c r="BE268" s="169" t="str">
        <f t="shared" si="165"/>
        <v/>
      </c>
      <c r="BF268" s="169" t="str">
        <f t="shared" si="165"/>
        <v/>
      </c>
      <c r="BG268" s="169" t="str">
        <f t="shared" si="165"/>
        <v/>
      </c>
      <c r="BH268" s="298"/>
      <c r="BI268" s="169"/>
      <c r="BJ268" s="169"/>
      <c r="BK268" s="169"/>
      <c r="BL268" s="169"/>
      <c r="BM268" s="299"/>
      <c r="BN268" s="298" t="str">
        <f t="shared" si="161"/>
        <v/>
      </c>
      <c r="BO268" s="169" t="str">
        <f t="shared" si="161"/>
        <v/>
      </c>
      <c r="BP268" s="169" t="str">
        <f t="shared" si="161"/>
        <v/>
      </c>
      <c r="BQ268" s="169" t="str">
        <f t="shared" si="161"/>
        <v/>
      </c>
      <c r="BR268" s="169" t="str">
        <f t="shared" si="161"/>
        <v/>
      </c>
      <c r="BS268" s="169" t="str">
        <f t="shared" si="161"/>
        <v/>
      </c>
      <c r="BT268" s="169" t="str">
        <f t="shared" si="161"/>
        <v/>
      </c>
      <c r="BU268" s="169" t="str">
        <f t="shared" si="161"/>
        <v/>
      </c>
      <c r="BV268" s="299" t="str">
        <f t="shared" si="161"/>
        <v/>
      </c>
      <c r="BW268" s="298" t="str">
        <f t="shared" si="162"/>
        <v/>
      </c>
      <c r="BX268" s="169" t="str">
        <f t="shared" si="162"/>
        <v/>
      </c>
      <c r="BY268" s="169" t="str">
        <f t="shared" si="162"/>
        <v/>
      </c>
      <c r="BZ268" s="169" t="str">
        <f t="shared" si="162"/>
        <v/>
      </c>
      <c r="CA268" s="169" t="str">
        <f t="shared" si="162"/>
        <v/>
      </c>
      <c r="CB268" s="169" t="str">
        <f t="shared" si="162"/>
        <v/>
      </c>
      <c r="CC268" s="169" t="str">
        <f t="shared" si="162"/>
        <v/>
      </c>
      <c r="CD268" s="169" t="str">
        <f t="shared" si="162"/>
        <v/>
      </c>
      <c r="CE268" s="299" t="str">
        <f t="shared" si="162"/>
        <v/>
      </c>
      <c r="CF268" s="298"/>
      <c r="CG268" s="169"/>
      <c r="CH268" s="169"/>
      <c r="CI268" s="169"/>
      <c r="CJ268" s="169"/>
      <c r="CK268" s="299"/>
      <c r="CL268" s="298" t="str">
        <f t="shared" si="169"/>
        <v/>
      </c>
      <c r="CM268" s="169" t="str">
        <f t="shared" si="166"/>
        <v/>
      </c>
      <c r="CN268" s="169" t="str">
        <f t="shared" si="167"/>
        <v/>
      </c>
      <c r="CO268" s="169" t="str">
        <f t="shared" si="172"/>
        <v/>
      </c>
      <c r="CP268" s="169" t="str">
        <f t="shared" si="163"/>
        <v/>
      </c>
      <c r="CQ268" s="299" t="str">
        <f t="shared" si="163"/>
        <v/>
      </c>
      <c r="CR268" s="298" t="str">
        <f t="shared" si="170"/>
        <v/>
      </c>
      <c r="CS268" s="169" t="str">
        <f t="shared" si="170"/>
        <v/>
      </c>
      <c r="CT268" s="169" t="str">
        <f t="shared" si="170"/>
        <v/>
      </c>
      <c r="CU268" s="169" t="str">
        <f t="shared" si="170"/>
        <v/>
      </c>
      <c r="CV268" s="169" t="str">
        <f t="shared" si="170"/>
        <v/>
      </c>
      <c r="CW268" s="299" t="str">
        <f t="shared" si="170"/>
        <v/>
      </c>
      <c r="CX268" s="299" t="str">
        <f t="shared" si="171"/>
        <v/>
      </c>
      <c r="CZ268" s="10"/>
      <c r="DB268" s="10">
        <f t="shared" si="142"/>
        <v>0</v>
      </c>
      <c r="DC268" s="10">
        <f t="shared" si="141"/>
        <v>0</v>
      </c>
    </row>
    <row r="269" spans="2:107" ht="15.75" thickTop="1" x14ac:dyDescent="0.25">
      <c r="B269" s="116"/>
      <c r="C269" s="528"/>
      <c r="D269" s="529"/>
      <c r="G269" s="40"/>
      <c r="Q269" s="47"/>
      <c r="S269" s="298" t="str">
        <f t="shared" si="157"/>
        <v/>
      </c>
      <c r="T269" s="169" t="str">
        <f t="shared" si="157"/>
        <v/>
      </c>
      <c r="U269" s="169" t="str">
        <f t="shared" si="157"/>
        <v/>
      </c>
      <c r="V269" s="169" t="str">
        <f t="shared" si="157"/>
        <v/>
      </c>
      <c r="W269" s="169" t="str">
        <f t="shared" si="157"/>
        <v/>
      </c>
      <c r="X269" s="169" t="str">
        <f t="shared" si="157"/>
        <v/>
      </c>
      <c r="Y269" s="169" t="str">
        <f t="shared" si="157"/>
        <v/>
      </c>
      <c r="Z269" s="169" t="str">
        <f t="shared" si="157"/>
        <v/>
      </c>
      <c r="AA269" s="299" t="str">
        <f t="shared" si="157"/>
        <v/>
      </c>
      <c r="AB269" s="169" t="str">
        <f t="shared" si="158"/>
        <v/>
      </c>
      <c r="AC269" s="169" t="str">
        <f t="shared" si="158"/>
        <v/>
      </c>
      <c r="AD269" s="169" t="str">
        <f t="shared" si="158"/>
        <v/>
      </c>
      <c r="AE269" s="169" t="str">
        <f t="shared" si="158"/>
        <v/>
      </c>
      <c r="AF269" s="169" t="str">
        <f t="shared" si="158"/>
        <v/>
      </c>
      <c r="AG269" s="169" t="str">
        <f t="shared" si="158"/>
        <v/>
      </c>
      <c r="AH269" s="169" t="str">
        <f t="shared" si="158"/>
        <v/>
      </c>
      <c r="AI269" s="169" t="str">
        <f t="shared" si="158"/>
        <v/>
      </c>
      <c r="AJ269" s="299" t="str">
        <f t="shared" si="158"/>
        <v/>
      </c>
      <c r="AK269" s="298" t="str">
        <f t="shared" si="159"/>
        <v/>
      </c>
      <c r="AL269" s="299" t="str">
        <f t="shared" si="159"/>
        <v/>
      </c>
      <c r="AM269" s="169" t="str">
        <f t="shared" si="160"/>
        <v/>
      </c>
      <c r="AN269" s="169" t="str">
        <f t="shared" si="160"/>
        <v/>
      </c>
      <c r="AO269" s="169" t="str">
        <f t="shared" si="160"/>
        <v/>
      </c>
      <c r="AP269" s="169" t="str">
        <f t="shared" si="160"/>
        <v/>
      </c>
      <c r="AQ269" s="169" t="str">
        <f t="shared" si="160"/>
        <v/>
      </c>
      <c r="AR269" s="169" t="str">
        <f t="shared" si="160"/>
        <v/>
      </c>
      <c r="AS269" s="169" t="str">
        <f t="shared" si="160"/>
        <v/>
      </c>
      <c r="AT269" s="169" t="str">
        <f t="shared" si="160"/>
        <v/>
      </c>
      <c r="AU269" s="299" t="str">
        <f t="shared" si="160"/>
        <v/>
      </c>
      <c r="AV269" s="169" t="str">
        <f t="shared" si="153"/>
        <v/>
      </c>
      <c r="AW269" s="169" t="str">
        <f t="shared" si="146"/>
        <v/>
      </c>
      <c r="AX269" s="169" t="str">
        <f t="shared" si="146"/>
        <v/>
      </c>
      <c r="AY269" s="169" t="str">
        <f t="shared" si="164"/>
        <v/>
      </c>
      <c r="AZ269" s="169" t="str">
        <f t="shared" si="164"/>
        <v/>
      </c>
      <c r="BA269" s="299" t="str">
        <f t="shared" si="164"/>
        <v/>
      </c>
      <c r="BB269" s="169" t="str">
        <f t="shared" si="155"/>
        <v/>
      </c>
      <c r="BC269" s="169" t="str">
        <f t="shared" si="168"/>
        <v/>
      </c>
      <c r="BD269" s="169" t="str">
        <f t="shared" si="131"/>
        <v/>
      </c>
      <c r="BE269" s="169" t="str">
        <f t="shared" si="165"/>
        <v/>
      </c>
      <c r="BF269" s="169" t="str">
        <f t="shared" si="165"/>
        <v/>
      </c>
      <c r="BG269" s="169" t="str">
        <f t="shared" si="165"/>
        <v/>
      </c>
      <c r="BH269" s="298"/>
      <c r="BI269" s="169"/>
      <c r="BJ269" s="169"/>
      <c r="BK269" s="169"/>
      <c r="BL269" s="169"/>
      <c r="BM269" s="299"/>
      <c r="BN269" s="298" t="str">
        <f t="shared" si="161"/>
        <v/>
      </c>
      <c r="BO269" s="169" t="str">
        <f t="shared" si="161"/>
        <v/>
      </c>
      <c r="BP269" s="169" t="str">
        <f t="shared" si="161"/>
        <v/>
      </c>
      <c r="BQ269" s="169" t="str">
        <f t="shared" si="161"/>
        <v/>
      </c>
      <c r="BR269" s="169" t="str">
        <f t="shared" si="161"/>
        <v/>
      </c>
      <c r="BS269" s="169" t="str">
        <f t="shared" si="161"/>
        <v/>
      </c>
      <c r="BT269" s="169" t="str">
        <f t="shared" si="161"/>
        <v/>
      </c>
      <c r="BU269" s="169" t="str">
        <f t="shared" si="161"/>
        <v/>
      </c>
      <c r="BV269" s="299" t="str">
        <f t="shared" si="161"/>
        <v/>
      </c>
      <c r="BW269" s="298" t="str">
        <f t="shared" si="162"/>
        <v/>
      </c>
      <c r="BX269" s="169" t="str">
        <f t="shared" si="162"/>
        <v/>
      </c>
      <c r="BY269" s="169" t="str">
        <f t="shared" si="162"/>
        <v/>
      </c>
      <c r="BZ269" s="169" t="str">
        <f t="shared" si="162"/>
        <v/>
      </c>
      <c r="CA269" s="169" t="str">
        <f t="shared" si="162"/>
        <v/>
      </c>
      <c r="CB269" s="169" t="str">
        <f t="shared" si="162"/>
        <v/>
      </c>
      <c r="CC269" s="169" t="str">
        <f t="shared" si="162"/>
        <v/>
      </c>
      <c r="CD269" s="169" t="str">
        <f t="shared" si="162"/>
        <v/>
      </c>
      <c r="CE269" s="299" t="str">
        <f t="shared" si="162"/>
        <v/>
      </c>
      <c r="CF269" s="298"/>
      <c r="CG269" s="169"/>
      <c r="CH269" s="169"/>
      <c r="CI269" s="169"/>
      <c r="CJ269" s="169"/>
      <c r="CK269" s="299"/>
      <c r="CL269" s="298" t="str">
        <f t="shared" si="169"/>
        <v/>
      </c>
      <c r="CM269" s="169" t="str">
        <f t="shared" si="166"/>
        <v/>
      </c>
      <c r="CN269" s="169" t="str">
        <f t="shared" si="167"/>
        <v/>
      </c>
      <c r="CO269" s="169" t="str">
        <f t="shared" si="172"/>
        <v/>
      </c>
      <c r="CP269" s="169" t="str">
        <f t="shared" si="163"/>
        <v/>
      </c>
      <c r="CQ269" s="299" t="str">
        <f t="shared" si="163"/>
        <v/>
      </c>
      <c r="CR269" s="298" t="str">
        <f t="shared" si="170"/>
        <v/>
      </c>
      <c r="CS269" s="169" t="str">
        <f t="shared" si="170"/>
        <v/>
      </c>
      <c r="CT269" s="169" t="str">
        <f t="shared" si="170"/>
        <v/>
      </c>
      <c r="CU269" s="169" t="str">
        <f t="shared" si="170"/>
        <v/>
      </c>
      <c r="CV269" s="169" t="str">
        <f t="shared" si="170"/>
        <v/>
      </c>
      <c r="CW269" s="299" t="str">
        <f t="shared" si="170"/>
        <v/>
      </c>
      <c r="CX269" s="299" t="str">
        <f t="shared" si="171"/>
        <v/>
      </c>
      <c r="CZ269" s="10"/>
      <c r="DB269" s="10">
        <f t="shared" si="142"/>
        <v>0</v>
      </c>
      <c r="DC269" s="10">
        <f t="shared" si="141"/>
        <v>0</v>
      </c>
    </row>
    <row r="270" spans="2:107" x14ac:dyDescent="0.25">
      <c r="B270" s="116"/>
      <c r="C270" s="532" t="s">
        <v>172</v>
      </c>
      <c r="D270" s="529">
        <f t="shared" ref="D270:D277" si="173">E145</f>
        <v>0</v>
      </c>
      <c r="G270" s="40"/>
      <c r="Q270" s="47"/>
      <c r="S270" s="298" t="str">
        <f t="shared" si="157"/>
        <v/>
      </c>
      <c r="T270" s="169" t="str">
        <f t="shared" si="157"/>
        <v/>
      </c>
      <c r="U270" s="169" t="str">
        <f t="shared" si="157"/>
        <v/>
      </c>
      <c r="V270" s="169" t="str">
        <f t="shared" si="157"/>
        <v/>
      </c>
      <c r="W270" s="169" t="str">
        <f t="shared" si="157"/>
        <v/>
      </c>
      <c r="X270" s="169" t="str">
        <f t="shared" si="157"/>
        <v/>
      </c>
      <c r="Y270" s="169" t="str">
        <f t="shared" si="157"/>
        <v/>
      </c>
      <c r="Z270" s="169" t="str">
        <f t="shared" si="157"/>
        <v/>
      </c>
      <c r="AA270" s="299" t="str">
        <f t="shared" si="157"/>
        <v/>
      </c>
      <c r="AB270" s="169" t="str">
        <f t="shared" si="158"/>
        <v/>
      </c>
      <c r="AC270" s="169" t="str">
        <f t="shared" si="158"/>
        <v/>
      </c>
      <c r="AD270" s="169" t="str">
        <f t="shared" si="158"/>
        <v/>
      </c>
      <c r="AE270" s="169" t="str">
        <f t="shared" si="158"/>
        <v/>
      </c>
      <c r="AF270" s="169" t="str">
        <f t="shared" si="158"/>
        <v/>
      </c>
      <c r="AG270" s="169" t="str">
        <f t="shared" si="158"/>
        <v/>
      </c>
      <c r="AH270" s="169" t="str">
        <f t="shared" si="158"/>
        <v/>
      </c>
      <c r="AI270" s="169" t="str">
        <f t="shared" si="158"/>
        <v/>
      </c>
      <c r="AJ270" s="299" t="str">
        <f t="shared" si="158"/>
        <v/>
      </c>
      <c r="AK270" s="298" t="str">
        <f t="shared" si="159"/>
        <v/>
      </c>
      <c r="AL270" s="299" t="str">
        <f t="shared" si="159"/>
        <v/>
      </c>
      <c r="AM270" s="169" t="str">
        <f t="shared" si="160"/>
        <v/>
      </c>
      <c r="AN270" s="169" t="str">
        <f t="shared" si="160"/>
        <v/>
      </c>
      <c r="AO270" s="169" t="str">
        <f t="shared" si="160"/>
        <v/>
      </c>
      <c r="AP270" s="169" t="str">
        <f t="shared" si="160"/>
        <v/>
      </c>
      <c r="AQ270" s="169" t="str">
        <f t="shared" si="160"/>
        <v/>
      </c>
      <c r="AR270" s="169" t="str">
        <f t="shared" si="160"/>
        <v/>
      </c>
      <c r="AS270" s="169" t="str">
        <f t="shared" si="160"/>
        <v/>
      </c>
      <c r="AT270" s="169" t="str">
        <f t="shared" si="160"/>
        <v/>
      </c>
      <c r="AU270" s="299" t="str">
        <f t="shared" si="160"/>
        <v/>
      </c>
      <c r="AV270" s="169" t="str">
        <f t="shared" si="153"/>
        <v/>
      </c>
      <c r="AW270" s="169" t="str">
        <f t="shared" si="146"/>
        <v/>
      </c>
      <c r="AX270" s="169" t="str">
        <f t="shared" si="146"/>
        <v/>
      </c>
      <c r="AY270" s="169" t="str">
        <f t="shared" si="164"/>
        <v/>
      </c>
      <c r="AZ270" s="169" t="str">
        <f t="shared" si="164"/>
        <v/>
      </c>
      <c r="BA270" s="299" t="str">
        <f t="shared" si="164"/>
        <v/>
      </c>
      <c r="BB270" s="169" t="str">
        <f t="shared" si="155"/>
        <v/>
      </c>
      <c r="BC270" s="169" t="str">
        <f t="shared" si="168"/>
        <v/>
      </c>
      <c r="BD270" s="169" t="str">
        <f t="shared" si="131"/>
        <v/>
      </c>
      <c r="BE270" s="169" t="str">
        <f t="shared" si="165"/>
        <v/>
      </c>
      <c r="BF270" s="169" t="str">
        <f t="shared" si="165"/>
        <v/>
      </c>
      <c r="BG270" s="169" t="str">
        <f t="shared" si="165"/>
        <v/>
      </c>
      <c r="BH270" s="298"/>
      <c r="BI270" s="169"/>
      <c r="BJ270" s="169"/>
      <c r="BK270" s="169"/>
      <c r="BL270" s="169"/>
      <c r="BM270" s="299"/>
      <c r="BN270" s="298" t="str">
        <f t="shared" si="161"/>
        <v/>
      </c>
      <c r="BO270" s="169" t="str">
        <f t="shared" si="161"/>
        <v/>
      </c>
      <c r="BP270" s="169" t="str">
        <f t="shared" si="161"/>
        <v/>
      </c>
      <c r="BQ270" s="169" t="str">
        <f t="shared" si="161"/>
        <v/>
      </c>
      <c r="BR270" s="169" t="str">
        <f t="shared" si="161"/>
        <v/>
      </c>
      <c r="BS270" s="169" t="str">
        <f t="shared" si="161"/>
        <v/>
      </c>
      <c r="BT270" s="169" t="str">
        <f t="shared" si="161"/>
        <v/>
      </c>
      <c r="BU270" s="169" t="str">
        <f t="shared" si="161"/>
        <v/>
      </c>
      <c r="BV270" s="299" t="str">
        <f t="shared" si="161"/>
        <v/>
      </c>
      <c r="BW270" s="298" t="str">
        <f t="shared" si="162"/>
        <v/>
      </c>
      <c r="BX270" s="169" t="str">
        <f t="shared" si="162"/>
        <v/>
      </c>
      <c r="BY270" s="169" t="str">
        <f t="shared" si="162"/>
        <v/>
      </c>
      <c r="BZ270" s="169" t="str">
        <f t="shared" si="162"/>
        <v/>
      </c>
      <c r="CA270" s="169" t="str">
        <f t="shared" si="162"/>
        <v/>
      </c>
      <c r="CB270" s="169" t="str">
        <f t="shared" si="162"/>
        <v/>
      </c>
      <c r="CC270" s="169" t="str">
        <f t="shared" si="162"/>
        <v/>
      </c>
      <c r="CD270" s="169" t="str">
        <f t="shared" si="162"/>
        <v/>
      </c>
      <c r="CE270" s="299" t="str">
        <f t="shared" si="162"/>
        <v/>
      </c>
      <c r="CF270" s="298"/>
      <c r="CG270" s="169"/>
      <c r="CH270" s="169"/>
      <c r="CI270" s="169"/>
      <c r="CJ270" s="169"/>
      <c r="CK270" s="299"/>
      <c r="CL270" s="298" t="str">
        <f t="shared" si="169"/>
        <v/>
      </c>
      <c r="CM270" s="169" t="str">
        <f t="shared" si="166"/>
        <v/>
      </c>
      <c r="CN270" s="169" t="str">
        <f t="shared" si="167"/>
        <v/>
      </c>
      <c r="CO270" s="169" t="str">
        <f t="shared" si="172"/>
        <v/>
      </c>
      <c r="CP270" s="169" t="str">
        <f t="shared" si="163"/>
        <v/>
      </c>
      <c r="CQ270" s="299" t="str">
        <f t="shared" si="163"/>
        <v/>
      </c>
      <c r="CR270" s="298" t="str">
        <f t="shared" si="170"/>
        <v/>
      </c>
      <c r="CS270" s="169" t="str">
        <f t="shared" si="170"/>
        <v/>
      </c>
      <c r="CT270" s="169" t="str">
        <f t="shared" si="170"/>
        <v/>
      </c>
      <c r="CU270" s="169" t="str">
        <f t="shared" si="170"/>
        <v/>
      </c>
      <c r="CV270" s="169" t="str">
        <f t="shared" si="170"/>
        <v/>
      </c>
      <c r="CW270" s="299" t="str">
        <f t="shared" si="170"/>
        <v/>
      </c>
      <c r="CX270" s="299" t="str">
        <f t="shared" si="171"/>
        <v/>
      </c>
      <c r="CZ270" s="10"/>
      <c r="DB270" s="10">
        <f t="shared" si="142"/>
        <v>0</v>
      </c>
      <c r="DC270" s="10">
        <f t="shared" si="141"/>
        <v>0</v>
      </c>
    </row>
    <row r="271" spans="2:107" hidden="1" outlineLevel="1" x14ac:dyDescent="0.25">
      <c r="B271" s="116"/>
      <c r="C271" s="528">
        <f t="shared" ref="C271:C277" si="174">IF(C146&gt;0,B146 &amp; " (" &amp;C146 &amp; ")",B146)</f>
        <v>0</v>
      </c>
      <c r="D271" s="529">
        <f t="shared" si="173"/>
        <v>0</v>
      </c>
      <c r="G271" s="40"/>
      <c r="Q271" s="47"/>
      <c r="S271" s="298" t="str">
        <f t="shared" si="157"/>
        <v/>
      </c>
      <c r="T271" s="169" t="str">
        <f t="shared" si="157"/>
        <v/>
      </c>
      <c r="U271" s="169" t="str">
        <f t="shared" si="157"/>
        <v/>
      </c>
      <c r="V271" s="169" t="str">
        <f t="shared" si="157"/>
        <v/>
      </c>
      <c r="W271" s="169" t="str">
        <f t="shared" si="157"/>
        <v/>
      </c>
      <c r="X271" s="169" t="str">
        <f t="shared" si="157"/>
        <v/>
      </c>
      <c r="Y271" s="169" t="str">
        <f t="shared" si="157"/>
        <v/>
      </c>
      <c r="Z271" s="169" t="str">
        <f t="shared" si="157"/>
        <v/>
      </c>
      <c r="AA271" s="299" t="str">
        <f t="shared" si="157"/>
        <v/>
      </c>
      <c r="AB271" s="169" t="str">
        <f t="shared" si="158"/>
        <v/>
      </c>
      <c r="AC271" s="169" t="str">
        <f t="shared" si="158"/>
        <v/>
      </c>
      <c r="AD271" s="169" t="str">
        <f t="shared" si="158"/>
        <v/>
      </c>
      <c r="AE271" s="169" t="str">
        <f t="shared" si="158"/>
        <v/>
      </c>
      <c r="AF271" s="169" t="str">
        <f t="shared" si="158"/>
        <v/>
      </c>
      <c r="AG271" s="169" t="str">
        <f t="shared" si="158"/>
        <v/>
      </c>
      <c r="AH271" s="169" t="str">
        <f t="shared" si="158"/>
        <v/>
      </c>
      <c r="AI271" s="169" t="str">
        <f t="shared" si="158"/>
        <v/>
      </c>
      <c r="AJ271" s="299" t="str">
        <f t="shared" si="158"/>
        <v/>
      </c>
      <c r="AK271" s="298" t="str">
        <f t="shared" si="159"/>
        <v/>
      </c>
      <c r="AL271" s="299" t="str">
        <f t="shared" si="159"/>
        <v/>
      </c>
      <c r="AM271" s="169" t="str">
        <f t="shared" si="160"/>
        <v/>
      </c>
      <c r="AN271" s="169" t="str">
        <f t="shared" si="160"/>
        <v/>
      </c>
      <c r="AO271" s="169" t="str">
        <f t="shared" si="160"/>
        <v/>
      </c>
      <c r="AP271" s="169" t="str">
        <f t="shared" si="160"/>
        <v/>
      </c>
      <c r="AQ271" s="169" t="str">
        <f t="shared" si="160"/>
        <v/>
      </c>
      <c r="AR271" s="169" t="str">
        <f t="shared" si="160"/>
        <v/>
      </c>
      <c r="AS271" s="169" t="str">
        <f t="shared" si="160"/>
        <v/>
      </c>
      <c r="AT271" s="169" t="str">
        <f t="shared" si="160"/>
        <v/>
      </c>
      <c r="AU271" s="299" t="str">
        <f t="shared" si="160"/>
        <v/>
      </c>
      <c r="AV271" s="169" t="str">
        <f t="shared" si="153"/>
        <v/>
      </c>
      <c r="AW271" s="169" t="str">
        <f t="shared" ref="AW271:AX281" si="175">IF($J271=AW$159,$DC271,"")</f>
        <v/>
      </c>
      <c r="AX271" s="169" t="str">
        <f t="shared" si="175"/>
        <v/>
      </c>
      <c r="AY271" s="169" t="str">
        <f t="shared" si="164"/>
        <v/>
      </c>
      <c r="AZ271" s="169" t="str">
        <f t="shared" si="164"/>
        <v/>
      </c>
      <c r="BA271" s="299" t="str">
        <f t="shared" si="164"/>
        <v/>
      </c>
      <c r="BB271" s="169" t="str">
        <f t="shared" si="155"/>
        <v/>
      </c>
      <c r="BC271" s="169" t="str">
        <f t="shared" si="168"/>
        <v/>
      </c>
      <c r="BD271" s="169" t="str">
        <f t="shared" si="131"/>
        <v/>
      </c>
      <c r="BE271" s="169" t="str">
        <f t="shared" si="165"/>
        <v/>
      </c>
      <c r="BF271" s="169" t="str">
        <f t="shared" si="165"/>
        <v/>
      </c>
      <c r="BG271" s="169" t="str">
        <f t="shared" si="165"/>
        <v/>
      </c>
      <c r="BH271" s="298"/>
      <c r="BI271" s="169"/>
      <c r="BJ271" s="169"/>
      <c r="BK271" s="169"/>
      <c r="BL271" s="169"/>
      <c r="BM271" s="299"/>
      <c r="BN271" s="298" t="str">
        <f t="shared" si="161"/>
        <v/>
      </c>
      <c r="BO271" s="169" t="str">
        <f t="shared" si="161"/>
        <v/>
      </c>
      <c r="BP271" s="169" t="str">
        <f t="shared" si="161"/>
        <v/>
      </c>
      <c r="BQ271" s="169" t="str">
        <f t="shared" si="161"/>
        <v/>
      </c>
      <c r="BR271" s="169" t="str">
        <f t="shared" si="161"/>
        <v/>
      </c>
      <c r="BS271" s="169" t="str">
        <f t="shared" si="161"/>
        <v/>
      </c>
      <c r="BT271" s="169" t="str">
        <f t="shared" si="161"/>
        <v/>
      </c>
      <c r="BU271" s="169" t="str">
        <f t="shared" si="161"/>
        <v/>
      </c>
      <c r="BV271" s="299" t="str">
        <f t="shared" si="161"/>
        <v/>
      </c>
      <c r="BW271" s="298" t="str">
        <f t="shared" si="162"/>
        <v/>
      </c>
      <c r="BX271" s="169" t="str">
        <f t="shared" si="162"/>
        <v/>
      </c>
      <c r="BY271" s="169" t="str">
        <f t="shared" si="162"/>
        <v/>
      </c>
      <c r="BZ271" s="169" t="str">
        <f t="shared" si="162"/>
        <v/>
      </c>
      <c r="CA271" s="169" t="str">
        <f t="shared" si="162"/>
        <v/>
      </c>
      <c r="CB271" s="169" t="str">
        <f t="shared" si="162"/>
        <v/>
      </c>
      <c r="CC271" s="169" t="str">
        <f t="shared" si="162"/>
        <v/>
      </c>
      <c r="CD271" s="169" t="str">
        <f t="shared" si="162"/>
        <v/>
      </c>
      <c r="CE271" s="299" t="str">
        <f t="shared" si="162"/>
        <v/>
      </c>
      <c r="CF271" s="298"/>
      <c r="CG271" s="169"/>
      <c r="CH271" s="169"/>
      <c r="CI271" s="169"/>
      <c r="CJ271" s="169"/>
      <c r="CK271" s="299"/>
      <c r="CL271" s="298" t="str">
        <f t="shared" si="169"/>
        <v/>
      </c>
      <c r="CM271" s="169" t="str">
        <f t="shared" si="166"/>
        <v/>
      </c>
      <c r="CN271" s="169" t="str">
        <f t="shared" si="167"/>
        <v/>
      </c>
      <c r="CO271" s="169" t="str">
        <f t="shared" si="172"/>
        <v/>
      </c>
      <c r="CP271" s="169" t="str">
        <f t="shared" si="163"/>
        <v/>
      </c>
      <c r="CQ271" s="299" t="str">
        <f t="shared" si="163"/>
        <v/>
      </c>
      <c r="CR271" s="298" t="str">
        <f t="shared" si="170"/>
        <v/>
      </c>
      <c r="CS271" s="169" t="str">
        <f t="shared" si="170"/>
        <v/>
      </c>
      <c r="CT271" s="169" t="str">
        <f t="shared" si="170"/>
        <v/>
      </c>
      <c r="CU271" s="169" t="str">
        <f t="shared" si="170"/>
        <v/>
      </c>
      <c r="CV271" s="169" t="str">
        <f t="shared" si="170"/>
        <v/>
      </c>
      <c r="CW271" s="299" t="str">
        <f t="shared" si="170"/>
        <v/>
      </c>
      <c r="CX271" s="299" t="str">
        <f t="shared" si="171"/>
        <v/>
      </c>
      <c r="CZ271" s="10"/>
      <c r="DB271" s="10">
        <f t="shared" si="142"/>
        <v>0</v>
      </c>
      <c r="DC271" s="10">
        <f t="shared" si="141"/>
        <v>0</v>
      </c>
    </row>
    <row r="272" spans="2:107" hidden="1" outlineLevel="1" x14ac:dyDescent="0.25">
      <c r="B272" s="116"/>
      <c r="C272" s="528" t="str">
        <f t="shared" si="174"/>
        <v>XXX</v>
      </c>
      <c r="D272" s="529">
        <f t="shared" si="173"/>
        <v>0</v>
      </c>
      <c r="G272" s="40"/>
      <c r="Q272" s="47"/>
      <c r="S272" s="298" t="str">
        <f t="shared" ref="S272:AA281" si="176">IF($G272=S$159,$DB272,"")</f>
        <v/>
      </c>
      <c r="T272" s="169" t="str">
        <f t="shared" si="176"/>
        <v/>
      </c>
      <c r="U272" s="169" t="str">
        <f t="shared" si="176"/>
        <v/>
      </c>
      <c r="V272" s="169" t="str">
        <f t="shared" si="176"/>
        <v/>
      </c>
      <c r="W272" s="169" t="str">
        <f t="shared" si="176"/>
        <v/>
      </c>
      <c r="X272" s="169" t="str">
        <f t="shared" si="176"/>
        <v/>
      </c>
      <c r="Y272" s="169" t="str">
        <f t="shared" si="176"/>
        <v/>
      </c>
      <c r="Z272" s="169" t="str">
        <f t="shared" si="176"/>
        <v/>
      </c>
      <c r="AA272" s="299" t="str">
        <f t="shared" si="176"/>
        <v/>
      </c>
      <c r="AB272" s="169" t="str">
        <f t="shared" ref="AB272:AJ281" si="177">IF($H272=AB$159,$DB272,"")</f>
        <v/>
      </c>
      <c r="AC272" s="169" t="str">
        <f t="shared" si="177"/>
        <v/>
      </c>
      <c r="AD272" s="169" t="str">
        <f t="shared" si="177"/>
        <v/>
      </c>
      <c r="AE272" s="169" t="str">
        <f t="shared" si="177"/>
        <v/>
      </c>
      <c r="AF272" s="169" t="str">
        <f t="shared" si="177"/>
        <v/>
      </c>
      <c r="AG272" s="169" t="str">
        <f t="shared" si="177"/>
        <v/>
      </c>
      <c r="AH272" s="169" t="str">
        <f t="shared" si="177"/>
        <v/>
      </c>
      <c r="AI272" s="169" t="str">
        <f t="shared" si="177"/>
        <v/>
      </c>
      <c r="AJ272" s="299" t="str">
        <f t="shared" si="177"/>
        <v/>
      </c>
      <c r="AK272" s="298" t="str">
        <f t="shared" si="159"/>
        <v/>
      </c>
      <c r="AL272" s="299" t="str">
        <f t="shared" si="159"/>
        <v/>
      </c>
      <c r="AM272" s="169" t="str">
        <f t="shared" ref="AM272:AU281" si="178">IF($I272=AM$159,$DB272,"")</f>
        <v/>
      </c>
      <c r="AN272" s="169" t="str">
        <f t="shared" si="178"/>
        <v/>
      </c>
      <c r="AO272" s="169" t="str">
        <f t="shared" si="178"/>
        <v/>
      </c>
      <c r="AP272" s="169" t="str">
        <f t="shared" si="178"/>
        <v/>
      </c>
      <c r="AQ272" s="169" t="str">
        <f t="shared" si="178"/>
        <v/>
      </c>
      <c r="AR272" s="169" t="str">
        <f t="shared" si="178"/>
        <v/>
      </c>
      <c r="AS272" s="169" t="str">
        <f t="shared" si="178"/>
        <v/>
      </c>
      <c r="AT272" s="169" t="str">
        <f t="shared" si="178"/>
        <v/>
      </c>
      <c r="AU272" s="299" t="str">
        <f t="shared" si="178"/>
        <v/>
      </c>
      <c r="AV272" s="169" t="str">
        <f t="shared" si="153"/>
        <v/>
      </c>
      <c r="AW272" s="169" t="str">
        <f t="shared" si="175"/>
        <v/>
      </c>
      <c r="AX272" s="169" t="str">
        <f t="shared" si="175"/>
        <v/>
      </c>
      <c r="AY272" s="169" t="str">
        <f t="shared" si="164"/>
        <v/>
      </c>
      <c r="AZ272" s="169" t="str">
        <f t="shared" si="164"/>
        <v/>
      </c>
      <c r="BA272" s="299" t="str">
        <f t="shared" si="164"/>
        <v/>
      </c>
      <c r="BB272" s="169" t="str">
        <f t="shared" si="155"/>
        <v/>
      </c>
      <c r="BC272" s="169" t="str">
        <f t="shared" si="168"/>
        <v/>
      </c>
      <c r="BD272" s="169" t="str">
        <f t="shared" si="131"/>
        <v/>
      </c>
      <c r="BE272" s="169" t="str">
        <f t="shared" si="165"/>
        <v/>
      </c>
      <c r="BF272" s="169" t="str">
        <f t="shared" si="165"/>
        <v/>
      </c>
      <c r="BG272" s="169" t="str">
        <f t="shared" si="165"/>
        <v/>
      </c>
      <c r="BH272" s="298"/>
      <c r="BI272" s="169"/>
      <c r="BJ272" s="169"/>
      <c r="BK272" s="169"/>
      <c r="BL272" s="169"/>
      <c r="BM272" s="299"/>
      <c r="BN272" s="298" t="str">
        <f t="shared" ref="BN272:BV281" si="179">IF($M272=BN$159,$DB272,"")</f>
        <v/>
      </c>
      <c r="BO272" s="169" t="str">
        <f t="shared" si="179"/>
        <v/>
      </c>
      <c r="BP272" s="169" t="str">
        <f t="shared" si="179"/>
        <v/>
      </c>
      <c r="BQ272" s="169" t="str">
        <f t="shared" si="179"/>
        <v/>
      </c>
      <c r="BR272" s="169" t="str">
        <f t="shared" si="179"/>
        <v/>
      </c>
      <c r="BS272" s="169" t="str">
        <f t="shared" si="179"/>
        <v/>
      </c>
      <c r="BT272" s="169" t="str">
        <f t="shared" si="179"/>
        <v/>
      </c>
      <c r="BU272" s="169" t="str">
        <f t="shared" si="179"/>
        <v/>
      </c>
      <c r="BV272" s="299" t="str">
        <f t="shared" si="179"/>
        <v/>
      </c>
      <c r="BW272" s="298" t="str">
        <f t="shared" ref="BW272:CE281" si="180">IF($N272=BW$159,$DB272,"")</f>
        <v/>
      </c>
      <c r="BX272" s="169" t="str">
        <f t="shared" si="180"/>
        <v/>
      </c>
      <c r="BY272" s="169" t="str">
        <f t="shared" si="180"/>
        <v/>
      </c>
      <c r="BZ272" s="169" t="str">
        <f t="shared" si="180"/>
        <v/>
      </c>
      <c r="CA272" s="169" t="str">
        <f t="shared" si="180"/>
        <v/>
      </c>
      <c r="CB272" s="169" t="str">
        <f t="shared" si="180"/>
        <v/>
      </c>
      <c r="CC272" s="169" t="str">
        <f t="shared" si="180"/>
        <v/>
      </c>
      <c r="CD272" s="169" t="str">
        <f t="shared" si="180"/>
        <v/>
      </c>
      <c r="CE272" s="299" t="str">
        <f t="shared" si="180"/>
        <v/>
      </c>
      <c r="CF272" s="298"/>
      <c r="CG272" s="169"/>
      <c r="CH272" s="169"/>
      <c r="CI272" s="169"/>
      <c r="CJ272" s="169"/>
      <c r="CK272" s="299"/>
      <c r="CL272" s="298" t="str">
        <f t="shared" si="169"/>
        <v/>
      </c>
      <c r="CM272" s="169" t="str">
        <f t="shared" si="166"/>
        <v/>
      </c>
      <c r="CN272" s="169" t="str">
        <f t="shared" si="167"/>
        <v/>
      </c>
      <c r="CO272" s="169" t="str">
        <f t="shared" si="172"/>
        <v/>
      </c>
      <c r="CP272" s="169" t="str">
        <f t="shared" si="163"/>
        <v/>
      </c>
      <c r="CQ272" s="299" t="str">
        <f t="shared" si="163"/>
        <v/>
      </c>
      <c r="CR272" s="298" t="str">
        <f t="shared" si="170"/>
        <v/>
      </c>
      <c r="CS272" s="169" t="str">
        <f t="shared" si="170"/>
        <v/>
      </c>
      <c r="CT272" s="169" t="str">
        <f t="shared" si="170"/>
        <v/>
      </c>
      <c r="CU272" s="169" t="str">
        <f t="shared" si="170"/>
        <v/>
      </c>
      <c r="CV272" s="169" t="str">
        <f t="shared" si="170"/>
        <v/>
      </c>
      <c r="CW272" s="299" t="str">
        <f t="shared" si="170"/>
        <v/>
      </c>
      <c r="CX272" s="299" t="str">
        <f t="shared" si="171"/>
        <v/>
      </c>
      <c r="CZ272" s="10"/>
      <c r="DB272" s="10">
        <f t="shared" si="142"/>
        <v>0</v>
      </c>
      <c r="DC272" s="10">
        <f t="shared" si="141"/>
        <v>0</v>
      </c>
    </row>
    <row r="273" spans="2:107" hidden="1" outlineLevel="1" x14ac:dyDescent="0.25">
      <c r="B273" s="116"/>
      <c r="C273" s="528">
        <f t="shared" si="174"/>
        <v>0</v>
      </c>
      <c r="D273" s="529">
        <f t="shared" si="173"/>
        <v>0</v>
      </c>
      <c r="G273" s="40"/>
      <c r="Q273" s="47"/>
      <c r="S273" s="298" t="str">
        <f t="shared" si="176"/>
        <v/>
      </c>
      <c r="T273" s="169" t="str">
        <f t="shared" si="176"/>
        <v/>
      </c>
      <c r="U273" s="169" t="str">
        <f t="shared" si="176"/>
        <v/>
      </c>
      <c r="V273" s="169" t="str">
        <f t="shared" si="176"/>
        <v/>
      </c>
      <c r="W273" s="169" t="str">
        <f t="shared" si="176"/>
        <v/>
      </c>
      <c r="X273" s="169" t="str">
        <f t="shared" si="176"/>
        <v/>
      </c>
      <c r="Y273" s="169" t="str">
        <f t="shared" si="176"/>
        <v/>
      </c>
      <c r="Z273" s="169" t="str">
        <f t="shared" si="176"/>
        <v/>
      </c>
      <c r="AA273" s="299" t="str">
        <f t="shared" si="176"/>
        <v/>
      </c>
      <c r="AB273" s="169" t="str">
        <f t="shared" si="177"/>
        <v/>
      </c>
      <c r="AC273" s="169" t="str">
        <f t="shared" si="177"/>
        <v/>
      </c>
      <c r="AD273" s="169" t="str">
        <f t="shared" si="177"/>
        <v/>
      </c>
      <c r="AE273" s="169" t="str">
        <f t="shared" si="177"/>
        <v/>
      </c>
      <c r="AF273" s="169" t="str">
        <f t="shared" si="177"/>
        <v/>
      </c>
      <c r="AG273" s="169" t="str">
        <f t="shared" si="177"/>
        <v/>
      </c>
      <c r="AH273" s="169" t="str">
        <f t="shared" si="177"/>
        <v/>
      </c>
      <c r="AI273" s="169" t="str">
        <f t="shared" si="177"/>
        <v/>
      </c>
      <c r="AJ273" s="299" t="str">
        <f t="shared" si="177"/>
        <v/>
      </c>
      <c r="AK273" s="298" t="str">
        <f t="shared" si="159"/>
        <v/>
      </c>
      <c r="AL273" s="299" t="str">
        <f t="shared" si="159"/>
        <v/>
      </c>
      <c r="AM273" s="169" t="str">
        <f t="shared" si="178"/>
        <v/>
      </c>
      <c r="AN273" s="169" t="str">
        <f t="shared" si="178"/>
        <v/>
      </c>
      <c r="AO273" s="169" t="str">
        <f t="shared" si="178"/>
        <v/>
      </c>
      <c r="AP273" s="169" t="str">
        <f t="shared" si="178"/>
        <v/>
      </c>
      <c r="AQ273" s="169" t="str">
        <f t="shared" si="178"/>
        <v/>
      </c>
      <c r="AR273" s="169" t="str">
        <f t="shared" si="178"/>
        <v/>
      </c>
      <c r="AS273" s="169" t="str">
        <f t="shared" si="178"/>
        <v/>
      </c>
      <c r="AT273" s="169" t="str">
        <f t="shared" si="178"/>
        <v/>
      </c>
      <c r="AU273" s="299" t="str">
        <f t="shared" si="178"/>
        <v/>
      </c>
      <c r="AV273" s="169" t="str">
        <f t="shared" si="153"/>
        <v/>
      </c>
      <c r="AW273" s="169" t="str">
        <f t="shared" si="175"/>
        <v/>
      </c>
      <c r="AX273" s="169" t="str">
        <f t="shared" si="175"/>
        <v/>
      </c>
      <c r="AY273" s="169" t="str">
        <f t="shared" si="164"/>
        <v/>
      </c>
      <c r="AZ273" s="169" t="str">
        <f t="shared" si="164"/>
        <v/>
      </c>
      <c r="BA273" s="299" t="str">
        <f t="shared" si="164"/>
        <v/>
      </c>
      <c r="BB273" s="169" t="str">
        <f t="shared" si="155"/>
        <v/>
      </c>
      <c r="BC273" s="169" t="str">
        <f t="shared" si="168"/>
        <v/>
      </c>
      <c r="BD273" s="169" t="str">
        <f t="shared" ref="BD273:BD281" si="181">IF($K273=BD$159,$DC273,"")</f>
        <v/>
      </c>
      <c r="BE273" s="169" t="str">
        <f t="shared" si="165"/>
        <v/>
      </c>
      <c r="BF273" s="169" t="str">
        <f t="shared" si="165"/>
        <v/>
      </c>
      <c r="BG273" s="169" t="str">
        <f t="shared" si="165"/>
        <v/>
      </c>
      <c r="BH273" s="298"/>
      <c r="BI273" s="169"/>
      <c r="BJ273" s="169"/>
      <c r="BK273" s="169"/>
      <c r="BL273" s="169"/>
      <c r="BM273" s="299"/>
      <c r="BN273" s="298" t="str">
        <f t="shared" si="179"/>
        <v/>
      </c>
      <c r="BO273" s="169" t="str">
        <f t="shared" si="179"/>
        <v/>
      </c>
      <c r="BP273" s="169" t="str">
        <f t="shared" si="179"/>
        <v/>
      </c>
      <c r="BQ273" s="169" t="str">
        <f t="shared" si="179"/>
        <v/>
      </c>
      <c r="BR273" s="169" t="str">
        <f t="shared" si="179"/>
        <v/>
      </c>
      <c r="BS273" s="169" t="str">
        <f t="shared" si="179"/>
        <v/>
      </c>
      <c r="BT273" s="169" t="str">
        <f t="shared" si="179"/>
        <v/>
      </c>
      <c r="BU273" s="169" t="str">
        <f t="shared" si="179"/>
        <v/>
      </c>
      <c r="BV273" s="299" t="str">
        <f t="shared" si="179"/>
        <v/>
      </c>
      <c r="BW273" s="298" t="str">
        <f t="shared" si="180"/>
        <v/>
      </c>
      <c r="BX273" s="169" t="str">
        <f t="shared" si="180"/>
        <v/>
      </c>
      <c r="BY273" s="169" t="str">
        <f t="shared" si="180"/>
        <v/>
      </c>
      <c r="BZ273" s="169" t="str">
        <f t="shared" si="180"/>
        <v/>
      </c>
      <c r="CA273" s="169" t="str">
        <f t="shared" si="180"/>
        <v/>
      </c>
      <c r="CB273" s="169" t="str">
        <f t="shared" si="180"/>
        <v/>
      </c>
      <c r="CC273" s="169" t="str">
        <f t="shared" si="180"/>
        <v/>
      </c>
      <c r="CD273" s="169" t="str">
        <f t="shared" si="180"/>
        <v/>
      </c>
      <c r="CE273" s="299" t="str">
        <f t="shared" si="180"/>
        <v/>
      </c>
      <c r="CF273" s="298"/>
      <c r="CG273" s="169"/>
      <c r="CH273" s="169"/>
      <c r="CI273" s="169"/>
      <c r="CJ273" s="169"/>
      <c r="CK273" s="299"/>
      <c r="CL273" s="298" t="str">
        <f t="shared" si="169"/>
        <v/>
      </c>
      <c r="CM273" s="169" t="str">
        <f t="shared" si="166"/>
        <v/>
      </c>
      <c r="CN273" s="169" t="str">
        <f t="shared" si="167"/>
        <v/>
      </c>
      <c r="CO273" s="169" t="str">
        <f t="shared" si="172"/>
        <v/>
      </c>
      <c r="CP273" s="169" t="str">
        <f t="shared" si="163"/>
        <v/>
      </c>
      <c r="CQ273" s="299" t="str">
        <f t="shared" si="163"/>
        <v/>
      </c>
      <c r="CR273" s="298" t="str">
        <f t="shared" si="170"/>
        <v/>
      </c>
      <c r="CS273" s="169" t="str">
        <f t="shared" si="170"/>
        <v/>
      </c>
      <c r="CT273" s="169" t="str">
        <f t="shared" si="170"/>
        <v/>
      </c>
      <c r="CU273" s="169" t="str">
        <f t="shared" si="170"/>
        <v/>
      </c>
      <c r="CV273" s="169" t="str">
        <f t="shared" si="170"/>
        <v/>
      </c>
      <c r="CW273" s="299" t="str">
        <f t="shared" si="170"/>
        <v/>
      </c>
      <c r="CX273" s="299" t="str">
        <f t="shared" si="171"/>
        <v/>
      </c>
      <c r="CZ273" s="10"/>
      <c r="DB273" s="10">
        <f t="shared" si="142"/>
        <v>0</v>
      </c>
      <c r="DC273" s="10">
        <f t="shared" si="141"/>
        <v>0</v>
      </c>
    </row>
    <row r="274" spans="2:107" hidden="1" outlineLevel="1" x14ac:dyDescent="0.25">
      <c r="B274" s="116"/>
      <c r="C274" s="528">
        <f t="shared" si="174"/>
        <v>0</v>
      </c>
      <c r="D274" s="529">
        <f t="shared" si="173"/>
        <v>0</v>
      </c>
      <c r="G274" s="40"/>
      <c r="Q274" s="47"/>
      <c r="S274" s="298" t="str">
        <f t="shared" si="176"/>
        <v/>
      </c>
      <c r="T274" s="169" t="str">
        <f t="shared" si="176"/>
        <v/>
      </c>
      <c r="U274" s="169" t="str">
        <f t="shared" si="176"/>
        <v/>
      </c>
      <c r="V274" s="169" t="str">
        <f t="shared" si="176"/>
        <v/>
      </c>
      <c r="W274" s="169" t="str">
        <f t="shared" si="176"/>
        <v/>
      </c>
      <c r="X274" s="169" t="str">
        <f t="shared" si="176"/>
        <v/>
      </c>
      <c r="Y274" s="169" t="str">
        <f t="shared" si="176"/>
        <v/>
      </c>
      <c r="Z274" s="169" t="str">
        <f t="shared" si="176"/>
        <v/>
      </c>
      <c r="AA274" s="299" t="str">
        <f t="shared" si="176"/>
        <v/>
      </c>
      <c r="AB274" s="169" t="str">
        <f t="shared" si="177"/>
        <v/>
      </c>
      <c r="AC274" s="169" t="str">
        <f t="shared" si="177"/>
        <v/>
      </c>
      <c r="AD274" s="169" t="str">
        <f t="shared" si="177"/>
        <v/>
      </c>
      <c r="AE274" s="169" t="str">
        <f t="shared" si="177"/>
        <v/>
      </c>
      <c r="AF274" s="169" t="str">
        <f t="shared" si="177"/>
        <v/>
      </c>
      <c r="AG274" s="169" t="str">
        <f t="shared" si="177"/>
        <v/>
      </c>
      <c r="AH274" s="169" t="str">
        <f t="shared" si="177"/>
        <v/>
      </c>
      <c r="AI274" s="169" t="str">
        <f t="shared" si="177"/>
        <v/>
      </c>
      <c r="AJ274" s="299" t="str">
        <f t="shared" si="177"/>
        <v/>
      </c>
      <c r="AK274" s="298" t="str">
        <f t="shared" si="159"/>
        <v/>
      </c>
      <c r="AL274" s="299" t="str">
        <f t="shared" si="159"/>
        <v/>
      </c>
      <c r="AM274" s="169" t="str">
        <f t="shared" si="178"/>
        <v/>
      </c>
      <c r="AN274" s="169" t="str">
        <f t="shared" si="178"/>
        <v/>
      </c>
      <c r="AO274" s="169" t="str">
        <f t="shared" si="178"/>
        <v/>
      </c>
      <c r="AP274" s="169" t="str">
        <f t="shared" si="178"/>
        <v/>
      </c>
      <c r="AQ274" s="169" t="str">
        <f t="shared" si="178"/>
        <v/>
      </c>
      <c r="AR274" s="169" t="str">
        <f t="shared" si="178"/>
        <v/>
      </c>
      <c r="AS274" s="169" t="str">
        <f t="shared" si="178"/>
        <v/>
      </c>
      <c r="AT274" s="169" t="str">
        <f t="shared" si="178"/>
        <v/>
      </c>
      <c r="AU274" s="299" t="str">
        <f t="shared" si="178"/>
        <v/>
      </c>
      <c r="AV274" s="169" t="str">
        <f t="shared" si="153"/>
        <v/>
      </c>
      <c r="AW274" s="169" t="str">
        <f t="shared" si="175"/>
        <v/>
      </c>
      <c r="AX274" s="169" t="str">
        <f t="shared" si="175"/>
        <v/>
      </c>
      <c r="AY274" s="169" t="str">
        <f t="shared" si="164"/>
        <v/>
      </c>
      <c r="AZ274" s="169" t="str">
        <f t="shared" si="164"/>
        <v/>
      </c>
      <c r="BA274" s="299" t="str">
        <f t="shared" si="164"/>
        <v/>
      </c>
      <c r="BB274" s="169" t="str">
        <f t="shared" si="155"/>
        <v/>
      </c>
      <c r="BC274" s="169" t="str">
        <f t="shared" si="168"/>
        <v/>
      </c>
      <c r="BD274" s="169" t="str">
        <f t="shared" si="181"/>
        <v/>
      </c>
      <c r="BE274" s="169" t="str">
        <f t="shared" si="165"/>
        <v/>
      </c>
      <c r="BF274" s="169" t="str">
        <f t="shared" si="165"/>
        <v/>
      </c>
      <c r="BG274" s="169" t="str">
        <f t="shared" si="165"/>
        <v/>
      </c>
      <c r="BH274" s="298"/>
      <c r="BI274" s="169"/>
      <c r="BJ274" s="169"/>
      <c r="BK274" s="169"/>
      <c r="BL274" s="169"/>
      <c r="BM274" s="299"/>
      <c r="BN274" s="298" t="str">
        <f t="shared" si="179"/>
        <v/>
      </c>
      <c r="BO274" s="169" t="str">
        <f t="shared" si="179"/>
        <v/>
      </c>
      <c r="BP274" s="169" t="str">
        <f t="shared" si="179"/>
        <v/>
      </c>
      <c r="BQ274" s="169" t="str">
        <f t="shared" si="179"/>
        <v/>
      </c>
      <c r="BR274" s="169" t="str">
        <f t="shared" si="179"/>
        <v/>
      </c>
      <c r="BS274" s="169" t="str">
        <f t="shared" si="179"/>
        <v/>
      </c>
      <c r="BT274" s="169" t="str">
        <f t="shared" si="179"/>
        <v/>
      </c>
      <c r="BU274" s="169" t="str">
        <f t="shared" si="179"/>
        <v/>
      </c>
      <c r="BV274" s="299" t="str">
        <f t="shared" si="179"/>
        <v/>
      </c>
      <c r="BW274" s="298" t="str">
        <f t="shared" si="180"/>
        <v/>
      </c>
      <c r="BX274" s="169" t="str">
        <f t="shared" si="180"/>
        <v/>
      </c>
      <c r="BY274" s="169" t="str">
        <f t="shared" si="180"/>
        <v/>
      </c>
      <c r="BZ274" s="169" t="str">
        <f t="shared" si="180"/>
        <v/>
      </c>
      <c r="CA274" s="169" t="str">
        <f t="shared" si="180"/>
        <v/>
      </c>
      <c r="CB274" s="169" t="str">
        <f t="shared" si="180"/>
        <v/>
      </c>
      <c r="CC274" s="169" t="str">
        <f t="shared" si="180"/>
        <v/>
      </c>
      <c r="CD274" s="169" t="str">
        <f t="shared" si="180"/>
        <v/>
      </c>
      <c r="CE274" s="299" t="str">
        <f t="shared" si="180"/>
        <v/>
      </c>
      <c r="CF274" s="298"/>
      <c r="CG274" s="169"/>
      <c r="CH274" s="169"/>
      <c r="CI274" s="169"/>
      <c r="CJ274" s="169"/>
      <c r="CK274" s="299"/>
      <c r="CL274" s="298" t="str">
        <f t="shared" si="169"/>
        <v/>
      </c>
      <c r="CM274" s="169" t="str">
        <f t="shared" si="166"/>
        <v/>
      </c>
      <c r="CN274" s="169" t="str">
        <f t="shared" si="167"/>
        <v/>
      </c>
      <c r="CO274" s="169" t="str">
        <f t="shared" si="172"/>
        <v/>
      </c>
      <c r="CP274" s="169" t="str">
        <f t="shared" si="163"/>
        <v/>
      </c>
      <c r="CQ274" s="299" t="str">
        <f t="shared" si="163"/>
        <v/>
      </c>
      <c r="CR274" s="298" t="str">
        <f t="shared" si="170"/>
        <v/>
      </c>
      <c r="CS274" s="169" t="str">
        <f t="shared" si="170"/>
        <v/>
      </c>
      <c r="CT274" s="169" t="str">
        <f t="shared" si="170"/>
        <v/>
      </c>
      <c r="CU274" s="169" t="str">
        <f t="shared" si="170"/>
        <v/>
      </c>
      <c r="CV274" s="169" t="str">
        <f t="shared" si="170"/>
        <v/>
      </c>
      <c r="CW274" s="299" t="str">
        <f t="shared" si="170"/>
        <v/>
      </c>
      <c r="CX274" s="299" t="str">
        <f t="shared" si="171"/>
        <v/>
      </c>
      <c r="CZ274" s="10"/>
      <c r="DB274" s="10">
        <f t="shared" si="142"/>
        <v>0</v>
      </c>
      <c r="DC274" s="10">
        <f t="shared" si="141"/>
        <v>0</v>
      </c>
    </row>
    <row r="275" spans="2:107" hidden="1" outlineLevel="1" x14ac:dyDescent="0.25">
      <c r="B275" s="116"/>
      <c r="C275" s="528">
        <f t="shared" si="174"/>
        <v>0</v>
      </c>
      <c r="D275" s="529">
        <f t="shared" si="173"/>
        <v>0</v>
      </c>
      <c r="G275" s="40"/>
      <c r="Q275" s="47"/>
      <c r="S275" s="298" t="str">
        <f t="shared" si="176"/>
        <v/>
      </c>
      <c r="T275" s="169" t="str">
        <f t="shared" si="176"/>
        <v/>
      </c>
      <c r="U275" s="169" t="str">
        <f t="shared" si="176"/>
        <v/>
      </c>
      <c r="V275" s="169" t="str">
        <f t="shared" si="176"/>
        <v/>
      </c>
      <c r="W275" s="169" t="str">
        <f t="shared" si="176"/>
        <v/>
      </c>
      <c r="X275" s="169" t="str">
        <f t="shared" si="176"/>
        <v/>
      </c>
      <c r="Y275" s="169" t="str">
        <f t="shared" si="176"/>
        <v/>
      </c>
      <c r="Z275" s="169" t="str">
        <f t="shared" si="176"/>
        <v/>
      </c>
      <c r="AA275" s="299" t="str">
        <f t="shared" si="176"/>
        <v/>
      </c>
      <c r="AB275" s="169" t="str">
        <f t="shared" si="177"/>
        <v/>
      </c>
      <c r="AC275" s="169" t="str">
        <f t="shared" si="177"/>
        <v/>
      </c>
      <c r="AD275" s="169" t="str">
        <f t="shared" si="177"/>
        <v/>
      </c>
      <c r="AE275" s="169" t="str">
        <f t="shared" si="177"/>
        <v/>
      </c>
      <c r="AF275" s="169" t="str">
        <f t="shared" si="177"/>
        <v/>
      </c>
      <c r="AG275" s="169" t="str">
        <f t="shared" si="177"/>
        <v/>
      </c>
      <c r="AH275" s="169" t="str">
        <f t="shared" si="177"/>
        <v/>
      </c>
      <c r="AI275" s="169" t="str">
        <f t="shared" si="177"/>
        <v/>
      </c>
      <c r="AJ275" s="299" t="str">
        <f t="shared" si="177"/>
        <v/>
      </c>
      <c r="AK275" s="298" t="str">
        <f t="shared" si="159"/>
        <v/>
      </c>
      <c r="AL275" s="299" t="str">
        <f t="shared" si="159"/>
        <v/>
      </c>
      <c r="AM275" s="169" t="str">
        <f t="shared" si="178"/>
        <v/>
      </c>
      <c r="AN275" s="169" t="str">
        <f t="shared" si="178"/>
        <v/>
      </c>
      <c r="AO275" s="169" t="str">
        <f t="shared" si="178"/>
        <v/>
      </c>
      <c r="AP275" s="169" t="str">
        <f t="shared" si="178"/>
        <v/>
      </c>
      <c r="AQ275" s="169" t="str">
        <f t="shared" si="178"/>
        <v/>
      </c>
      <c r="AR275" s="169" t="str">
        <f t="shared" si="178"/>
        <v/>
      </c>
      <c r="AS275" s="169" t="str">
        <f t="shared" si="178"/>
        <v/>
      </c>
      <c r="AT275" s="169" t="str">
        <f t="shared" si="178"/>
        <v/>
      </c>
      <c r="AU275" s="299" t="str">
        <f t="shared" si="178"/>
        <v/>
      </c>
      <c r="AV275" s="169" t="str">
        <f t="shared" si="153"/>
        <v/>
      </c>
      <c r="AW275" s="169" t="str">
        <f t="shared" si="175"/>
        <v/>
      </c>
      <c r="AX275" s="169" t="str">
        <f t="shared" si="175"/>
        <v/>
      </c>
      <c r="AY275" s="169" t="str">
        <f t="shared" si="164"/>
        <v/>
      </c>
      <c r="AZ275" s="169" t="str">
        <f t="shared" si="164"/>
        <v/>
      </c>
      <c r="BA275" s="299" t="str">
        <f t="shared" si="164"/>
        <v/>
      </c>
      <c r="BB275" s="169" t="str">
        <f t="shared" si="155"/>
        <v/>
      </c>
      <c r="BC275" s="169" t="str">
        <f t="shared" si="168"/>
        <v/>
      </c>
      <c r="BD275" s="169" t="str">
        <f t="shared" si="181"/>
        <v/>
      </c>
      <c r="BE275" s="169" t="str">
        <f t="shared" si="165"/>
        <v/>
      </c>
      <c r="BF275" s="169" t="str">
        <f t="shared" si="165"/>
        <v/>
      </c>
      <c r="BG275" s="169" t="str">
        <f t="shared" si="165"/>
        <v/>
      </c>
      <c r="BH275" s="298"/>
      <c r="BI275" s="169"/>
      <c r="BJ275" s="169"/>
      <c r="BK275" s="169"/>
      <c r="BL275" s="169"/>
      <c r="BM275" s="299"/>
      <c r="BN275" s="298" t="str">
        <f t="shared" si="179"/>
        <v/>
      </c>
      <c r="BO275" s="169" t="str">
        <f t="shared" si="179"/>
        <v/>
      </c>
      <c r="BP275" s="169" t="str">
        <f t="shared" si="179"/>
        <v/>
      </c>
      <c r="BQ275" s="169" t="str">
        <f t="shared" si="179"/>
        <v/>
      </c>
      <c r="BR275" s="169" t="str">
        <f t="shared" si="179"/>
        <v/>
      </c>
      <c r="BS275" s="169" t="str">
        <f t="shared" si="179"/>
        <v/>
      </c>
      <c r="BT275" s="169" t="str">
        <f t="shared" si="179"/>
        <v/>
      </c>
      <c r="BU275" s="169" t="str">
        <f t="shared" si="179"/>
        <v/>
      </c>
      <c r="BV275" s="299" t="str">
        <f t="shared" si="179"/>
        <v/>
      </c>
      <c r="BW275" s="298" t="str">
        <f t="shared" si="180"/>
        <v/>
      </c>
      <c r="BX275" s="169" t="str">
        <f t="shared" si="180"/>
        <v/>
      </c>
      <c r="BY275" s="169" t="str">
        <f t="shared" si="180"/>
        <v/>
      </c>
      <c r="BZ275" s="169" t="str">
        <f t="shared" si="180"/>
        <v/>
      </c>
      <c r="CA275" s="169" t="str">
        <f t="shared" si="180"/>
        <v/>
      </c>
      <c r="CB275" s="169" t="str">
        <f t="shared" si="180"/>
        <v/>
      </c>
      <c r="CC275" s="169" t="str">
        <f t="shared" si="180"/>
        <v/>
      </c>
      <c r="CD275" s="169" t="str">
        <f t="shared" si="180"/>
        <v/>
      </c>
      <c r="CE275" s="299" t="str">
        <f t="shared" si="180"/>
        <v/>
      </c>
      <c r="CF275" s="298"/>
      <c r="CG275" s="169"/>
      <c r="CH275" s="169"/>
      <c r="CI275" s="169"/>
      <c r="CJ275" s="169"/>
      <c r="CK275" s="299"/>
      <c r="CL275" s="298" t="str">
        <f t="shared" si="169"/>
        <v/>
      </c>
      <c r="CM275" s="169" t="str">
        <f t="shared" si="166"/>
        <v/>
      </c>
      <c r="CN275" s="169" t="str">
        <f t="shared" si="167"/>
        <v/>
      </c>
      <c r="CO275" s="169" t="str">
        <f t="shared" si="172"/>
        <v/>
      </c>
      <c r="CP275" s="169" t="str">
        <f t="shared" si="163"/>
        <v/>
      </c>
      <c r="CQ275" s="299" t="str">
        <f t="shared" si="163"/>
        <v/>
      </c>
      <c r="CR275" s="298" t="str">
        <f t="shared" si="170"/>
        <v/>
      </c>
      <c r="CS275" s="169" t="str">
        <f t="shared" si="170"/>
        <v/>
      </c>
      <c r="CT275" s="169" t="str">
        <f t="shared" si="170"/>
        <v/>
      </c>
      <c r="CU275" s="169" t="str">
        <f t="shared" si="170"/>
        <v/>
      </c>
      <c r="CV275" s="169" t="str">
        <f t="shared" si="170"/>
        <v/>
      </c>
      <c r="CW275" s="299" t="str">
        <f t="shared" si="170"/>
        <v/>
      </c>
      <c r="CX275" s="299" t="str">
        <f t="shared" si="171"/>
        <v/>
      </c>
      <c r="CZ275" s="10"/>
      <c r="DB275" s="10">
        <f t="shared" si="142"/>
        <v>0</v>
      </c>
      <c r="DC275" s="10">
        <f t="shared" si="141"/>
        <v>0</v>
      </c>
    </row>
    <row r="276" spans="2:107" hidden="1" outlineLevel="1" x14ac:dyDescent="0.25">
      <c r="B276" s="116"/>
      <c r="C276" s="528">
        <f t="shared" si="174"/>
        <v>0</v>
      </c>
      <c r="D276" s="529">
        <f t="shared" si="173"/>
        <v>0</v>
      </c>
      <c r="G276" s="40"/>
      <c r="Q276" s="47"/>
      <c r="S276" s="298" t="str">
        <f t="shared" si="176"/>
        <v/>
      </c>
      <c r="T276" s="169" t="str">
        <f t="shared" si="176"/>
        <v/>
      </c>
      <c r="U276" s="169" t="str">
        <f t="shared" si="176"/>
        <v/>
      </c>
      <c r="V276" s="169" t="str">
        <f t="shared" si="176"/>
        <v/>
      </c>
      <c r="W276" s="169" t="str">
        <f t="shared" si="176"/>
        <v/>
      </c>
      <c r="X276" s="169" t="str">
        <f t="shared" si="176"/>
        <v/>
      </c>
      <c r="Y276" s="169" t="str">
        <f t="shared" si="176"/>
        <v/>
      </c>
      <c r="Z276" s="169" t="str">
        <f t="shared" si="176"/>
        <v/>
      </c>
      <c r="AA276" s="299" t="str">
        <f t="shared" si="176"/>
        <v/>
      </c>
      <c r="AB276" s="169" t="str">
        <f t="shared" si="177"/>
        <v/>
      </c>
      <c r="AC276" s="169" t="str">
        <f t="shared" si="177"/>
        <v/>
      </c>
      <c r="AD276" s="169" t="str">
        <f t="shared" si="177"/>
        <v/>
      </c>
      <c r="AE276" s="169" t="str">
        <f t="shared" si="177"/>
        <v/>
      </c>
      <c r="AF276" s="169" t="str">
        <f t="shared" si="177"/>
        <v/>
      </c>
      <c r="AG276" s="169" t="str">
        <f t="shared" si="177"/>
        <v/>
      </c>
      <c r="AH276" s="169" t="str">
        <f t="shared" si="177"/>
        <v/>
      </c>
      <c r="AI276" s="169" t="str">
        <f t="shared" si="177"/>
        <v/>
      </c>
      <c r="AJ276" s="299" t="str">
        <f t="shared" si="177"/>
        <v/>
      </c>
      <c r="AK276" s="298" t="str">
        <f t="shared" si="159"/>
        <v/>
      </c>
      <c r="AL276" s="299" t="str">
        <f t="shared" si="159"/>
        <v/>
      </c>
      <c r="AM276" s="169" t="str">
        <f t="shared" si="178"/>
        <v/>
      </c>
      <c r="AN276" s="169" t="str">
        <f t="shared" si="178"/>
        <v/>
      </c>
      <c r="AO276" s="169" t="str">
        <f t="shared" si="178"/>
        <v/>
      </c>
      <c r="AP276" s="169" t="str">
        <f t="shared" si="178"/>
        <v/>
      </c>
      <c r="AQ276" s="169" t="str">
        <f t="shared" si="178"/>
        <v/>
      </c>
      <c r="AR276" s="169" t="str">
        <f t="shared" si="178"/>
        <v/>
      </c>
      <c r="AS276" s="169" t="str">
        <f t="shared" si="178"/>
        <v/>
      </c>
      <c r="AT276" s="169" t="str">
        <f t="shared" si="178"/>
        <v/>
      </c>
      <c r="AU276" s="299" t="str">
        <f t="shared" si="178"/>
        <v/>
      </c>
      <c r="AV276" s="169" t="str">
        <f t="shared" si="153"/>
        <v/>
      </c>
      <c r="AW276" s="169" t="str">
        <f t="shared" si="175"/>
        <v/>
      </c>
      <c r="AX276" s="169" t="str">
        <f t="shared" si="175"/>
        <v/>
      </c>
      <c r="AY276" s="169" t="str">
        <f t="shared" si="164"/>
        <v/>
      </c>
      <c r="AZ276" s="169" t="str">
        <f t="shared" si="164"/>
        <v/>
      </c>
      <c r="BA276" s="299" t="str">
        <f t="shared" si="164"/>
        <v/>
      </c>
      <c r="BB276" s="169" t="str">
        <f t="shared" si="155"/>
        <v/>
      </c>
      <c r="BC276" s="169" t="str">
        <f t="shared" si="168"/>
        <v/>
      </c>
      <c r="BD276" s="169" t="str">
        <f t="shared" si="181"/>
        <v/>
      </c>
      <c r="BE276" s="169" t="str">
        <f t="shared" si="165"/>
        <v/>
      </c>
      <c r="BF276" s="169" t="str">
        <f t="shared" si="165"/>
        <v/>
      </c>
      <c r="BG276" s="169" t="str">
        <f t="shared" si="165"/>
        <v/>
      </c>
      <c r="BH276" s="298"/>
      <c r="BI276" s="169"/>
      <c r="BJ276" s="169"/>
      <c r="BK276" s="169"/>
      <c r="BL276" s="169"/>
      <c r="BM276" s="299"/>
      <c r="BN276" s="298" t="str">
        <f t="shared" si="179"/>
        <v/>
      </c>
      <c r="BO276" s="169" t="str">
        <f t="shared" si="179"/>
        <v/>
      </c>
      <c r="BP276" s="169" t="str">
        <f t="shared" si="179"/>
        <v/>
      </c>
      <c r="BQ276" s="169" t="str">
        <f t="shared" si="179"/>
        <v/>
      </c>
      <c r="BR276" s="169" t="str">
        <f t="shared" si="179"/>
        <v/>
      </c>
      <c r="BS276" s="169" t="str">
        <f t="shared" si="179"/>
        <v/>
      </c>
      <c r="BT276" s="169" t="str">
        <f t="shared" si="179"/>
        <v/>
      </c>
      <c r="BU276" s="169" t="str">
        <f t="shared" si="179"/>
        <v/>
      </c>
      <c r="BV276" s="299" t="str">
        <f t="shared" si="179"/>
        <v/>
      </c>
      <c r="BW276" s="298" t="str">
        <f t="shared" si="180"/>
        <v/>
      </c>
      <c r="BX276" s="169" t="str">
        <f t="shared" si="180"/>
        <v/>
      </c>
      <c r="BY276" s="169" t="str">
        <f t="shared" si="180"/>
        <v/>
      </c>
      <c r="BZ276" s="169" t="str">
        <f t="shared" si="180"/>
        <v/>
      </c>
      <c r="CA276" s="169" t="str">
        <f t="shared" si="180"/>
        <v/>
      </c>
      <c r="CB276" s="169" t="str">
        <f t="shared" si="180"/>
        <v/>
      </c>
      <c r="CC276" s="169" t="str">
        <f t="shared" si="180"/>
        <v/>
      </c>
      <c r="CD276" s="169" t="str">
        <f t="shared" si="180"/>
        <v/>
      </c>
      <c r="CE276" s="299" t="str">
        <f t="shared" si="180"/>
        <v/>
      </c>
      <c r="CF276" s="298"/>
      <c r="CG276" s="169"/>
      <c r="CH276" s="169"/>
      <c r="CI276" s="169"/>
      <c r="CJ276" s="169"/>
      <c r="CK276" s="299"/>
      <c r="CL276" s="298" t="str">
        <f t="shared" si="169"/>
        <v/>
      </c>
      <c r="CM276" s="169" t="str">
        <f t="shared" si="166"/>
        <v/>
      </c>
      <c r="CN276" s="169" t="str">
        <f t="shared" si="167"/>
        <v/>
      </c>
      <c r="CO276" s="169" t="str">
        <f t="shared" si="172"/>
        <v/>
      </c>
      <c r="CP276" s="169" t="str">
        <f t="shared" si="163"/>
        <v/>
      </c>
      <c r="CQ276" s="299" t="str">
        <f t="shared" si="163"/>
        <v/>
      </c>
      <c r="CR276" s="298" t="str">
        <f t="shared" ref="CR276:CW281" si="182">IF($P276=CR$159,$DC276,"")</f>
        <v/>
      </c>
      <c r="CS276" s="169" t="str">
        <f t="shared" si="182"/>
        <v/>
      </c>
      <c r="CT276" s="169" t="str">
        <f t="shared" si="182"/>
        <v/>
      </c>
      <c r="CU276" s="169" t="str">
        <f t="shared" si="182"/>
        <v/>
      </c>
      <c r="CV276" s="169" t="str">
        <f t="shared" si="182"/>
        <v/>
      </c>
      <c r="CW276" s="299" t="str">
        <f t="shared" si="182"/>
        <v/>
      </c>
      <c r="CX276" s="299" t="str">
        <f t="shared" si="171"/>
        <v/>
      </c>
      <c r="CZ276" s="10"/>
      <c r="DB276" s="10">
        <f t="shared" si="142"/>
        <v>0</v>
      </c>
      <c r="DC276" s="10">
        <f t="shared" si="141"/>
        <v>0</v>
      </c>
    </row>
    <row r="277" spans="2:107" hidden="1" outlineLevel="1" x14ac:dyDescent="0.25">
      <c r="B277" s="116"/>
      <c r="C277" s="528" t="str">
        <f t="shared" si="174"/>
        <v xml:space="preserve"> ---Nothing Follows--- </v>
      </c>
      <c r="D277" s="529">
        <f t="shared" si="173"/>
        <v>0</v>
      </c>
      <c r="G277" s="40"/>
      <c r="Q277" s="47"/>
      <c r="S277" s="298" t="str">
        <f t="shared" si="176"/>
        <v/>
      </c>
      <c r="T277" s="169" t="str">
        <f t="shared" si="176"/>
        <v/>
      </c>
      <c r="U277" s="169" t="str">
        <f t="shared" si="176"/>
        <v/>
      </c>
      <c r="V277" s="169" t="str">
        <f t="shared" si="176"/>
        <v/>
      </c>
      <c r="W277" s="169" t="str">
        <f t="shared" si="176"/>
        <v/>
      </c>
      <c r="X277" s="169" t="str">
        <f t="shared" si="176"/>
        <v/>
      </c>
      <c r="Y277" s="169" t="str">
        <f t="shared" si="176"/>
        <v/>
      </c>
      <c r="Z277" s="169" t="str">
        <f t="shared" si="176"/>
        <v/>
      </c>
      <c r="AA277" s="299" t="str">
        <f t="shared" si="176"/>
        <v/>
      </c>
      <c r="AB277" s="169" t="str">
        <f t="shared" si="177"/>
        <v/>
      </c>
      <c r="AC277" s="169" t="str">
        <f t="shared" si="177"/>
        <v/>
      </c>
      <c r="AD277" s="169" t="str">
        <f t="shared" si="177"/>
        <v/>
      </c>
      <c r="AE277" s="169" t="str">
        <f t="shared" si="177"/>
        <v/>
      </c>
      <c r="AF277" s="169" t="str">
        <f t="shared" si="177"/>
        <v/>
      </c>
      <c r="AG277" s="169" t="str">
        <f t="shared" si="177"/>
        <v/>
      </c>
      <c r="AH277" s="169" t="str">
        <f t="shared" si="177"/>
        <v/>
      </c>
      <c r="AI277" s="169" t="str">
        <f t="shared" si="177"/>
        <v/>
      </c>
      <c r="AJ277" s="299" t="str">
        <f t="shared" si="177"/>
        <v/>
      </c>
      <c r="AK277" s="298" t="str">
        <f t="shared" si="159"/>
        <v/>
      </c>
      <c r="AL277" s="299" t="str">
        <f t="shared" si="159"/>
        <v/>
      </c>
      <c r="AM277" s="169" t="str">
        <f t="shared" si="178"/>
        <v/>
      </c>
      <c r="AN277" s="169" t="str">
        <f t="shared" si="178"/>
        <v/>
      </c>
      <c r="AO277" s="169" t="str">
        <f t="shared" si="178"/>
        <v/>
      </c>
      <c r="AP277" s="169" t="str">
        <f t="shared" si="178"/>
        <v/>
      </c>
      <c r="AQ277" s="169" t="str">
        <f t="shared" si="178"/>
        <v/>
      </c>
      <c r="AR277" s="169" t="str">
        <f t="shared" si="178"/>
        <v/>
      </c>
      <c r="AS277" s="169" t="str">
        <f t="shared" si="178"/>
        <v/>
      </c>
      <c r="AT277" s="169" t="str">
        <f t="shared" si="178"/>
        <v/>
      </c>
      <c r="AU277" s="299" t="str">
        <f t="shared" si="178"/>
        <v/>
      </c>
      <c r="AV277" s="169" t="str">
        <f t="shared" si="153"/>
        <v/>
      </c>
      <c r="AW277" s="169" t="str">
        <f t="shared" si="175"/>
        <v/>
      </c>
      <c r="AX277" s="169" t="str">
        <f t="shared" si="175"/>
        <v/>
      </c>
      <c r="AY277" s="169" t="str">
        <f t="shared" si="164"/>
        <v/>
      </c>
      <c r="AZ277" s="169" t="str">
        <f t="shared" si="164"/>
        <v/>
      </c>
      <c r="BA277" s="299" t="str">
        <f t="shared" si="164"/>
        <v/>
      </c>
      <c r="BB277" s="169" t="str">
        <f t="shared" si="155"/>
        <v/>
      </c>
      <c r="BC277" s="169" t="str">
        <f t="shared" si="168"/>
        <v/>
      </c>
      <c r="BD277" s="169" t="str">
        <f t="shared" si="181"/>
        <v/>
      </c>
      <c r="BE277" s="169" t="str">
        <f t="shared" si="165"/>
        <v/>
      </c>
      <c r="BF277" s="169" t="str">
        <f t="shared" si="165"/>
        <v/>
      </c>
      <c r="BG277" s="169" t="str">
        <f t="shared" si="165"/>
        <v/>
      </c>
      <c r="BH277" s="298"/>
      <c r="BI277" s="169"/>
      <c r="BJ277" s="169"/>
      <c r="BK277" s="169"/>
      <c r="BL277" s="169"/>
      <c r="BM277" s="299"/>
      <c r="BN277" s="298" t="str">
        <f t="shared" si="179"/>
        <v/>
      </c>
      <c r="BO277" s="169" t="str">
        <f t="shared" si="179"/>
        <v/>
      </c>
      <c r="BP277" s="169" t="str">
        <f t="shared" si="179"/>
        <v/>
      </c>
      <c r="BQ277" s="169" t="str">
        <f t="shared" si="179"/>
        <v/>
      </c>
      <c r="BR277" s="169" t="str">
        <f t="shared" si="179"/>
        <v/>
      </c>
      <c r="BS277" s="169" t="str">
        <f t="shared" si="179"/>
        <v/>
      </c>
      <c r="BT277" s="169" t="str">
        <f t="shared" si="179"/>
        <v/>
      </c>
      <c r="BU277" s="169" t="str">
        <f t="shared" si="179"/>
        <v/>
      </c>
      <c r="BV277" s="299" t="str">
        <f t="shared" si="179"/>
        <v/>
      </c>
      <c r="BW277" s="298" t="str">
        <f t="shared" si="180"/>
        <v/>
      </c>
      <c r="BX277" s="169" t="str">
        <f t="shared" si="180"/>
        <v/>
      </c>
      <c r="BY277" s="169" t="str">
        <f t="shared" si="180"/>
        <v/>
      </c>
      <c r="BZ277" s="169" t="str">
        <f t="shared" si="180"/>
        <v/>
      </c>
      <c r="CA277" s="169" t="str">
        <f t="shared" si="180"/>
        <v/>
      </c>
      <c r="CB277" s="169" t="str">
        <f t="shared" si="180"/>
        <v/>
      </c>
      <c r="CC277" s="169" t="str">
        <f t="shared" si="180"/>
        <v/>
      </c>
      <c r="CD277" s="169" t="str">
        <f t="shared" si="180"/>
        <v/>
      </c>
      <c r="CE277" s="299" t="str">
        <f t="shared" si="180"/>
        <v/>
      </c>
      <c r="CF277" s="298"/>
      <c r="CG277" s="169"/>
      <c r="CH277" s="169"/>
      <c r="CI277" s="169"/>
      <c r="CJ277" s="169"/>
      <c r="CK277" s="299"/>
      <c r="CL277" s="298" t="str">
        <f t="shared" si="169"/>
        <v/>
      </c>
      <c r="CM277" s="169" t="str">
        <f t="shared" si="166"/>
        <v/>
      </c>
      <c r="CN277" s="169" t="str">
        <f t="shared" si="167"/>
        <v/>
      </c>
      <c r="CO277" s="169" t="str">
        <f t="shared" si="172"/>
        <v/>
      </c>
      <c r="CP277" s="169" t="str">
        <f t="shared" si="163"/>
        <v/>
      </c>
      <c r="CQ277" s="299" t="str">
        <f t="shared" si="163"/>
        <v/>
      </c>
      <c r="CR277" s="298" t="str">
        <f t="shared" si="182"/>
        <v/>
      </c>
      <c r="CS277" s="169" t="str">
        <f t="shared" si="182"/>
        <v/>
      </c>
      <c r="CT277" s="169" t="str">
        <f t="shared" si="182"/>
        <v/>
      </c>
      <c r="CU277" s="169" t="str">
        <f t="shared" si="182"/>
        <v/>
      </c>
      <c r="CV277" s="169" t="str">
        <f t="shared" si="182"/>
        <v/>
      </c>
      <c r="CW277" s="299" t="str">
        <f t="shared" si="182"/>
        <v/>
      </c>
      <c r="CX277" s="299" t="str">
        <f t="shared" si="171"/>
        <v/>
      </c>
      <c r="CZ277" s="10"/>
      <c r="DB277" s="10">
        <f t="shared" si="142"/>
        <v>0</v>
      </c>
      <c r="DC277" s="10">
        <f t="shared" si="141"/>
        <v>0</v>
      </c>
    </row>
    <row r="278" spans="2:107" ht="15.75" collapsed="1" thickBot="1" x14ac:dyDescent="0.3">
      <c r="B278" s="116"/>
      <c r="C278" s="530"/>
      <c r="D278" s="531"/>
      <c r="G278" s="40"/>
      <c r="Q278" s="47"/>
      <c r="S278" s="298" t="str">
        <f t="shared" si="176"/>
        <v/>
      </c>
      <c r="T278" s="169" t="str">
        <f t="shared" si="176"/>
        <v/>
      </c>
      <c r="U278" s="169" t="str">
        <f t="shared" si="176"/>
        <v/>
      </c>
      <c r="V278" s="169" t="str">
        <f t="shared" si="176"/>
        <v/>
      </c>
      <c r="W278" s="169" t="str">
        <f t="shared" si="176"/>
        <v/>
      </c>
      <c r="X278" s="169" t="str">
        <f t="shared" si="176"/>
        <v/>
      </c>
      <c r="Y278" s="169" t="str">
        <f t="shared" si="176"/>
        <v/>
      </c>
      <c r="Z278" s="169" t="str">
        <f t="shared" si="176"/>
        <v/>
      </c>
      <c r="AA278" s="299" t="str">
        <f t="shared" si="176"/>
        <v/>
      </c>
      <c r="AB278" s="169" t="str">
        <f t="shared" si="177"/>
        <v/>
      </c>
      <c r="AC278" s="169" t="str">
        <f t="shared" si="177"/>
        <v/>
      </c>
      <c r="AD278" s="169" t="str">
        <f t="shared" si="177"/>
        <v/>
      </c>
      <c r="AE278" s="169" t="str">
        <f t="shared" si="177"/>
        <v/>
      </c>
      <c r="AF278" s="169" t="str">
        <f t="shared" si="177"/>
        <v/>
      </c>
      <c r="AG278" s="169" t="str">
        <f t="shared" si="177"/>
        <v/>
      </c>
      <c r="AH278" s="169" t="str">
        <f t="shared" si="177"/>
        <v/>
      </c>
      <c r="AI278" s="169" t="str">
        <f t="shared" si="177"/>
        <v/>
      </c>
      <c r="AJ278" s="299" t="str">
        <f t="shared" si="177"/>
        <v/>
      </c>
      <c r="AK278" s="298" t="str">
        <f t="shared" si="159"/>
        <v/>
      </c>
      <c r="AL278" s="299" t="str">
        <f t="shared" si="159"/>
        <v/>
      </c>
      <c r="AM278" s="169" t="str">
        <f t="shared" si="178"/>
        <v/>
      </c>
      <c r="AN278" s="169" t="str">
        <f t="shared" si="178"/>
        <v/>
      </c>
      <c r="AO278" s="169" t="str">
        <f t="shared" si="178"/>
        <v/>
      </c>
      <c r="AP278" s="169" t="str">
        <f t="shared" si="178"/>
        <v/>
      </c>
      <c r="AQ278" s="169" t="str">
        <f t="shared" si="178"/>
        <v/>
      </c>
      <c r="AR278" s="169" t="str">
        <f t="shared" si="178"/>
        <v/>
      </c>
      <c r="AS278" s="169" t="str">
        <f t="shared" si="178"/>
        <v/>
      </c>
      <c r="AT278" s="169" t="str">
        <f t="shared" si="178"/>
        <v/>
      </c>
      <c r="AU278" s="299" t="str">
        <f t="shared" si="178"/>
        <v/>
      </c>
      <c r="AV278" s="169" t="str">
        <f t="shared" si="153"/>
        <v/>
      </c>
      <c r="AW278" s="169" t="str">
        <f t="shared" si="175"/>
        <v/>
      </c>
      <c r="AX278" s="169" t="str">
        <f t="shared" si="175"/>
        <v/>
      </c>
      <c r="AY278" s="169" t="str">
        <f t="shared" si="164"/>
        <v/>
      </c>
      <c r="AZ278" s="169" t="str">
        <f t="shared" si="164"/>
        <v/>
      </c>
      <c r="BA278" s="299" t="str">
        <f t="shared" si="164"/>
        <v/>
      </c>
      <c r="BB278" s="169" t="str">
        <f t="shared" si="155"/>
        <v/>
      </c>
      <c r="BC278" s="169" t="str">
        <f t="shared" si="168"/>
        <v/>
      </c>
      <c r="BD278" s="169" t="str">
        <f t="shared" si="181"/>
        <v/>
      </c>
      <c r="BE278" s="169" t="str">
        <f t="shared" si="165"/>
        <v/>
      </c>
      <c r="BF278" s="169" t="str">
        <f t="shared" si="165"/>
        <v/>
      </c>
      <c r="BG278" s="169" t="str">
        <f t="shared" si="165"/>
        <v/>
      </c>
      <c r="BH278" s="298"/>
      <c r="BI278" s="169"/>
      <c r="BJ278" s="169"/>
      <c r="BK278" s="169"/>
      <c r="BL278" s="169"/>
      <c r="BM278" s="299"/>
      <c r="BN278" s="298" t="str">
        <f t="shared" si="179"/>
        <v/>
      </c>
      <c r="BO278" s="169" t="str">
        <f t="shared" si="179"/>
        <v/>
      </c>
      <c r="BP278" s="169" t="str">
        <f t="shared" si="179"/>
        <v/>
      </c>
      <c r="BQ278" s="169" t="str">
        <f t="shared" si="179"/>
        <v/>
      </c>
      <c r="BR278" s="169" t="str">
        <f t="shared" si="179"/>
        <v/>
      </c>
      <c r="BS278" s="169" t="str">
        <f t="shared" si="179"/>
        <v/>
      </c>
      <c r="BT278" s="169" t="str">
        <f t="shared" si="179"/>
        <v/>
      </c>
      <c r="BU278" s="169" t="str">
        <f t="shared" si="179"/>
        <v/>
      </c>
      <c r="BV278" s="299" t="str">
        <f t="shared" si="179"/>
        <v/>
      </c>
      <c r="BW278" s="298" t="str">
        <f t="shared" si="180"/>
        <v/>
      </c>
      <c r="BX278" s="169" t="str">
        <f t="shared" si="180"/>
        <v/>
      </c>
      <c r="BY278" s="169" t="str">
        <f t="shared" si="180"/>
        <v/>
      </c>
      <c r="BZ278" s="169" t="str">
        <f t="shared" si="180"/>
        <v/>
      </c>
      <c r="CA278" s="169" t="str">
        <f t="shared" si="180"/>
        <v/>
      </c>
      <c r="CB278" s="169" t="str">
        <f t="shared" si="180"/>
        <v/>
      </c>
      <c r="CC278" s="169" t="str">
        <f t="shared" si="180"/>
        <v/>
      </c>
      <c r="CD278" s="169" t="str">
        <f t="shared" si="180"/>
        <v/>
      </c>
      <c r="CE278" s="299" t="str">
        <f t="shared" si="180"/>
        <v/>
      </c>
      <c r="CF278" s="298"/>
      <c r="CG278" s="169"/>
      <c r="CH278" s="169"/>
      <c r="CI278" s="169"/>
      <c r="CJ278" s="169"/>
      <c r="CK278" s="299"/>
      <c r="CL278" s="298" t="str">
        <f t="shared" si="169"/>
        <v/>
      </c>
      <c r="CM278" s="169" t="str">
        <f t="shared" si="166"/>
        <v/>
      </c>
      <c r="CN278" s="169" t="str">
        <f t="shared" si="167"/>
        <v/>
      </c>
      <c r="CO278" s="169" t="str">
        <f t="shared" si="172"/>
        <v/>
      </c>
      <c r="CP278" s="169" t="str">
        <f t="shared" si="163"/>
        <v/>
      </c>
      <c r="CQ278" s="299" t="str">
        <f t="shared" si="163"/>
        <v/>
      </c>
      <c r="CR278" s="298" t="str">
        <f t="shared" si="182"/>
        <v/>
      </c>
      <c r="CS278" s="169" t="str">
        <f t="shared" si="182"/>
        <v/>
      </c>
      <c r="CT278" s="169" t="str">
        <f t="shared" si="182"/>
        <v/>
      </c>
      <c r="CU278" s="169" t="str">
        <f t="shared" si="182"/>
        <v/>
      </c>
      <c r="CV278" s="169" t="str">
        <f t="shared" si="182"/>
        <v/>
      </c>
      <c r="CW278" s="299" t="str">
        <f t="shared" si="182"/>
        <v/>
      </c>
      <c r="CX278" s="299" t="str">
        <f t="shared" si="171"/>
        <v/>
      </c>
      <c r="CZ278" s="10"/>
      <c r="DB278" s="10">
        <f t="shared" si="142"/>
        <v>0</v>
      </c>
      <c r="DC278" s="10">
        <f t="shared" si="141"/>
        <v>0</v>
      </c>
    </row>
    <row r="279" spans="2:107" ht="15.75" thickTop="1" x14ac:dyDescent="0.25">
      <c r="B279" s="116"/>
      <c r="C279" s="528"/>
      <c r="D279" s="529"/>
      <c r="G279" s="40"/>
      <c r="Q279" s="47"/>
      <c r="S279" s="298" t="str">
        <f t="shared" si="176"/>
        <v/>
      </c>
      <c r="T279" s="169" t="str">
        <f t="shared" si="176"/>
        <v/>
      </c>
      <c r="U279" s="169" t="str">
        <f t="shared" si="176"/>
        <v/>
      </c>
      <c r="V279" s="169" t="str">
        <f t="shared" si="176"/>
        <v/>
      </c>
      <c r="W279" s="169" t="str">
        <f t="shared" si="176"/>
        <v/>
      </c>
      <c r="X279" s="169" t="str">
        <f t="shared" si="176"/>
        <v/>
      </c>
      <c r="Y279" s="169" t="str">
        <f t="shared" si="176"/>
        <v/>
      </c>
      <c r="Z279" s="169" t="str">
        <f t="shared" si="176"/>
        <v/>
      </c>
      <c r="AA279" s="299" t="str">
        <f t="shared" si="176"/>
        <v/>
      </c>
      <c r="AB279" s="169" t="str">
        <f t="shared" si="177"/>
        <v/>
      </c>
      <c r="AC279" s="169" t="str">
        <f t="shared" si="177"/>
        <v/>
      </c>
      <c r="AD279" s="169" t="str">
        <f t="shared" si="177"/>
        <v/>
      </c>
      <c r="AE279" s="169" t="str">
        <f t="shared" si="177"/>
        <v/>
      </c>
      <c r="AF279" s="169" t="str">
        <f t="shared" si="177"/>
        <v/>
      </c>
      <c r="AG279" s="169" t="str">
        <f t="shared" si="177"/>
        <v/>
      </c>
      <c r="AH279" s="169" t="str">
        <f t="shared" si="177"/>
        <v/>
      </c>
      <c r="AI279" s="169" t="str">
        <f t="shared" si="177"/>
        <v/>
      </c>
      <c r="AJ279" s="299" t="str">
        <f t="shared" si="177"/>
        <v/>
      </c>
      <c r="AK279" s="298" t="str">
        <f t="shared" si="159"/>
        <v/>
      </c>
      <c r="AL279" s="299" t="str">
        <f t="shared" si="159"/>
        <v/>
      </c>
      <c r="AM279" s="169" t="str">
        <f t="shared" si="178"/>
        <v/>
      </c>
      <c r="AN279" s="169" t="str">
        <f t="shared" si="178"/>
        <v/>
      </c>
      <c r="AO279" s="169" t="str">
        <f t="shared" si="178"/>
        <v/>
      </c>
      <c r="AP279" s="169" t="str">
        <f t="shared" si="178"/>
        <v/>
      </c>
      <c r="AQ279" s="169" t="str">
        <f t="shared" si="178"/>
        <v/>
      </c>
      <c r="AR279" s="169" t="str">
        <f t="shared" si="178"/>
        <v/>
      </c>
      <c r="AS279" s="169" t="str">
        <f t="shared" si="178"/>
        <v/>
      </c>
      <c r="AT279" s="169" t="str">
        <f t="shared" si="178"/>
        <v/>
      </c>
      <c r="AU279" s="299" t="str">
        <f t="shared" si="178"/>
        <v/>
      </c>
      <c r="AV279" s="169" t="str">
        <f t="shared" si="153"/>
        <v/>
      </c>
      <c r="AW279" s="169" t="str">
        <f t="shared" si="175"/>
        <v/>
      </c>
      <c r="AX279" s="169" t="str">
        <f t="shared" si="175"/>
        <v/>
      </c>
      <c r="AY279" s="169" t="str">
        <f t="shared" si="164"/>
        <v/>
      </c>
      <c r="AZ279" s="169" t="str">
        <f t="shared" si="164"/>
        <v/>
      </c>
      <c r="BA279" s="299" t="str">
        <f t="shared" si="164"/>
        <v/>
      </c>
      <c r="BB279" s="169" t="str">
        <f t="shared" si="155"/>
        <v/>
      </c>
      <c r="BC279" s="169" t="str">
        <f t="shared" si="168"/>
        <v/>
      </c>
      <c r="BD279" s="169" t="str">
        <f t="shared" si="181"/>
        <v/>
      </c>
      <c r="BE279" s="169" t="str">
        <f t="shared" si="165"/>
        <v/>
      </c>
      <c r="BF279" s="169" t="str">
        <f t="shared" si="165"/>
        <v/>
      </c>
      <c r="BG279" s="169" t="str">
        <f t="shared" si="165"/>
        <v/>
      </c>
      <c r="BH279" s="298"/>
      <c r="BI279" s="169"/>
      <c r="BJ279" s="169"/>
      <c r="BK279" s="169"/>
      <c r="BL279" s="169"/>
      <c r="BM279" s="299"/>
      <c r="BN279" s="298" t="str">
        <f t="shared" si="179"/>
        <v/>
      </c>
      <c r="BO279" s="169" t="str">
        <f t="shared" si="179"/>
        <v/>
      </c>
      <c r="BP279" s="169" t="str">
        <f t="shared" si="179"/>
        <v/>
      </c>
      <c r="BQ279" s="169" t="str">
        <f t="shared" si="179"/>
        <v/>
      </c>
      <c r="BR279" s="169" t="str">
        <f t="shared" si="179"/>
        <v/>
      </c>
      <c r="BS279" s="169" t="str">
        <f t="shared" si="179"/>
        <v/>
      </c>
      <c r="BT279" s="169" t="str">
        <f t="shared" si="179"/>
        <v/>
      </c>
      <c r="BU279" s="169" t="str">
        <f t="shared" si="179"/>
        <v/>
      </c>
      <c r="BV279" s="299" t="str">
        <f t="shared" si="179"/>
        <v/>
      </c>
      <c r="BW279" s="298" t="str">
        <f t="shared" si="180"/>
        <v/>
      </c>
      <c r="BX279" s="169" t="str">
        <f t="shared" si="180"/>
        <v/>
      </c>
      <c r="BY279" s="169" t="str">
        <f t="shared" si="180"/>
        <v/>
      </c>
      <c r="BZ279" s="169" t="str">
        <f t="shared" si="180"/>
        <v/>
      </c>
      <c r="CA279" s="169" t="str">
        <f t="shared" si="180"/>
        <v/>
      </c>
      <c r="CB279" s="169" t="str">
        <f t="shared" si="180"/>
        <v/>
      </c>
      <c r="CC279" s="169" t="str">
        <f t="shared" si="180"/>
        <v/>
      </c>
      <c r="CD279" s="169" t="str">
        <f t="shared" si="180"/>
        <v/>
      </c>
      <c r="CE279" s="299" t="str">
        <f t="shared" si="180"/>
        <v/>
      </c>
      <c r="CF279" s="298"/>
      <c r="CG279" s="169"/>
      <c r="CH279" s="169"/>
      <c r="CI279" s="169"/>
      <c r="CJ279" s="169"/>
      <c r="CK279" s="299"/>
      <c r="CL279" s="298" t="str">
        <f t="shared" si="169"/>
        <v/>
      </c>
      <c r="CM279" s="169" t="str">
        <f t="shared" si="166"/>
        <v/>
      </c>
      <c r="CN279" s="169" t="str">
        <f t="shared" si="167"/>
        <v/>
      </c>
      <c r="CO279" s="169" t="str">
        <f t="shared" si="172"/>
        <v/>
      </c>
      <c r="CP279" s="169" t="str">
        <f t="shared" si="163"/>
        <v/>
      </c>
      <c r="CQ279" s="299" t="str">
        <f t="shared" si="163"/>
        <v/>
      </c>
      <c r="CR279" s="298" t="str">
        <f t="shared" si="182"/>
        <v/>
      </c>
      <c r="CS279" s="169" t="str">
        <f t="shared" si="182"/>
        <v/>
      </c>
      <c r="CT279" s="169" t="str">
        <f t="shared" si="182"/>
        <v/>
      </c>
      <c r="CU279" s="169" t="str">
        <f t="shared" si="182"/>
        <v/>
      </c>
      <c r="CV279" s="169" t="str">
        <f t="shared" si="182"/>
        <v/>
      </c>
      <c r="CW279" s="299" t="str">
        <f t="shared" si="182"/>
        <v/>
      </c>
      <c r="CX279" s="299" t="str">
        <f t="shared" si="171"/>
        <v/>
      </c>
      <c r="CZ279" s="10"/>
      <c r="DB279" s="10">
        <f t="shared" si="142"/>
        <v>0</v>
      </c>
      <c r="DC279" s="10">
        <f t="shared" si="141"/>
        <v>0</v>
      </c>
    </row>
    <row r="280" spans="2:107" x14ac:dyDescent="0.25">
      <c r="B280" s="116"/>
      <c r="C280" s="528"/>
      <c r="D280" s="529"/>
      <c r="G280" s="40"/>
      <c r="Q280" s="47"/>
      <c r="S280" s="298" t="str">
        <f t="shared" si="176"/>
        <v/>
      </c>
      <c r="T280" s="169" t="str">
        <f t="shared" si="176"/>
        <v/>
      </c>
      <c r="U280" s="169" t="str">
        <f t="shared" si="176"/>
        <v/>
      </c>
      <c r="V280" s="169" t="str">
        <f t="shared" si="176"/>
        <v/>
      </c>
      <c r="W280" s="169" t="str">
        <f t="shared" si="176"/>
        <v/>
      </c>
      <c r="X280" s="169" t="str">
        <f t="shared" si="176"/>
        <v/>
      </c>
      <c r="Y280" s="169" t="str">
        <f t="shared" si="176"/>
        <v/>
      </c>
      <c r="Z280" s="169" t="str">
        <f t="shared" si="176"/>
        <v/>
      </c>
      <c r="AA280" s="299" t="str">
        <f t="shared" si="176"/>
        <v/>
      </c>
      <c r="AB280" s="169" t="str">
        <f t="shared" si="177"/>
        <v/>
      </c>
      <c r="AC280" s="169" t="str">
        <f t="shared" si="177"/>
        <v/>
      </c>
      <c r="AD280" s="169" t="str">
        <f t="shared" si="177"/>
        <v/>
      </c>
      <c r="AE280" s="169" t="str">
        <f t="shared" si="177"/>
        <v/>
      </c>
      <c r="AF280" s="169" t="str">
        <f t="shared" si="177"/>
        <v/>
      </c>
      <c r="AG280" s="169" t="str">
        <f t="shared" si="177"/>
        <v/>
      </c>
      <c r="AH280" s="169" t="str">
        <f t="shared" si="177"/>
        <v/>
      </c>
      <c r="AI280" s="169" t="str">
        <f t="shared" si="177"/>
        <v/>
      </c>
      <c r="AJ280" s="299" t="str">
        <f t="shared" si="177"/>
        <v/>
      </c>
      <c r="AK280" s="298" t="str">
        <f t="shared" si="159"/>
        <v/>
      </c>
      <c r="AL280" s="299" t="str">
        <f t="shared" si="159"/>
        <v/>
      </c>
      <c r="AM280" s="169" t="str">
        <f t="shared" si="178"/>
        <v/>
      </c>
      <c r="AN280" s="169" t="str">
        <f t="shared" si="178"/>
        <v/>
      </c>
      <c r="AO280" s="169" t="str">
        <f t="shared" si="178"/>
        <v/>
      </c>
      <c r="AP280" s="169" t="str">
        <f t="shared" si="178"/>
        <v/>
      </c>
      <c r="AQ280" s="169" t="str">
        <f t="shared" si="178"/>
        <v/>
      </c>
      <c r="AR280" s="169" t="str">
        <f t="shared" si="178"/>
        <v/>
      </c>
      <c r="AS280" s="169" t="str">
        <f t="shared" si="178"/>
        <v/>
      </c>
      <c r="AT280" s="169" t="str">
        <f t="shared" si="178"/>
        <v/>
      </c>
      <c r="AU280" s="299" t="str">
        <f t="shared" si="178"/>
        <v/>
      </c>
      <c r="AV280" s="169" t="str">
        <f t="shared" si="153"/>
        <v/>
      </c>
      <c r="AW280" s="169" t="str">
        <f t="shared" si="175"/>
        <v/>
      </c>
      <c r="AX280" s="169" t="str">
        <f t="shared" si="175"/>
        <v/>
      </c>
      <c r="AY280" s="169" t="str">
        <f t="shared" si="164"/>
        <v/>
      </c>
      <c r="AZ280" s="169" t="str">
        <f t="shared" si="164"/>
        <v/>
      </c>
      <c r="BA280" s="299" t="str">
        <f t="shared" si="164"/>
        <v/>
      </c>
      <c r="BB280" s="169" t="str">
        <f t="shared" si="155"/>
        <v/>
      </c>
      <c r="BC280" s="169" t="str">
        <f t="shared" si="168"/>
        <v/>
      </c>
      <c r="BD280" s="169" t="str">
        <f t="shared" si="181"/>
        <v/>
      </c>
      <c r="BE280" s="169" t="str">
        <f t="shared" si="165"/>
        <v/>
      </c>
      <c r="BF280" s="169" t="str">
        <f t="shared" si="165"/>
        <v/>
      </c>
      <c r="BG280" s="169" t="str">
        <f t="shared" si="165"/>
        <v/>
      </c>
      <c r="BH280" s="298"/>
      <c r="BI280" s="169"/>
      <c r="BJ280" s="169"/>
      <c r="BK280" s="169"/>
      <c r="BL280" s="169"/>
      <c r="BM280" s="299"/>
      <c r="BN280" s="298" t="str">
        <f t="shared" si="179"/>
        <v/>
      </c>
      <c r="BO280" s="169" t="str">
        <f t="shared" si="179"/>
        <v/>
      </c>
      <c r="BP280" s="169" t="str">
        <f t="shared" si="179"/>
        <v/>
      </c>
      <c r="BQ280" s="169" t="str">
        <f t="shared" si="179"/>
        <v/>
      </c>
      <c r="BR280" s="169" t="str">
        <f t="shared" si="179"/>
        <v/>
      </c>
      <c r="BS280" s="169" t="str">
        <f t="shared" si="179"/>
        <v/>
      </c>
      <c r="BT280" s="169" t="str">
        <f t="shared" si="179"/>
        <v/>
      </c>
      <c r="BU280" s="169" t="str">
        <f t="shared" si="179"/>
        <v/>
      </c>
      <c r="BV280" s="299" t="str">
        <f t="shared" si="179"/>
        <v/>
      </c>
      <c r="BW280" s="298" t="str">
        <f t="shared" si="180"/>
        <v/>
      </c>
      <c r="BX280" s="169" t="str">
        <f t="shared" si="180"/>
        <v/>
      </c>
      <c r="BY280" s="169" t="str">
        <f t="shared" si="180"/>
        <v/>
      </c>
      <c r="BZ280" s="169" t="str">
        <f t="shared" si="180"/>
        <v/>
      </c>
      <c r="CA280" s="169" t="str">
        <f t="shared" si="180"/>
        <v/>
      </c>
      <c r="CB280" s="169" t="str">
        <f t="shared" si="180"/>
        <v/>
      </c>
      <c r="CC280" s="169" t="str">
        <f t="shared" si="180"/>
        <v/>
      </c>
      <c r="CD280" s="169" t="str">
        <f t="shared" si="180"/>
        <v/>
      </c>
      <c r="CE280" s="299" t="str">
        <f t="shared" si="180"/>
        <v/>
      </c>
      <c r="CF280" s="298"/>
      <c r="CG280" s="169"/>
      <c r="CH280" s="169"/>
      <c r="CI280" s="169"/>
      <c r="CJ280" s="169"/>
      <c r="CK280" s="299"/>
      <c r="CL280" s="298" t="str">
        <f t="shared" si="169"/>
        <v/>
      </c>
      <c r="CM280" s="169" t="str">
        <f t="shared" si="166"/>
        <v/>
      </c>
      <c r="CN280" s="169" t="str">
        <f t="shared" si="167"/>
        <v/>
      </c>
      <c r="CO280" s="169" t="str">
        <f t="shared" si="172"/>
        <v/>
      </c>
      <c r="CP280" s="169" t="str">
        <f t="shared" si="163"/>
        <v/>
      </c>
      <c r="CQ280" s="299" t="str">
        <f t="shared" si="163"/>
        <v/>
      </c>
      <c r="CR280" s="298" t="str">
        <f t="shared" si="182"/>
        <v/>
      </c>
      <c r="CS280" s="169" t="str">
        <f t="shared" si="182"/>
        <v/>
      </c>
      <c r="CT280" s="169" t="str">
        <f t="shared" si="182"/>
        <v/>
      </c>
      <c r="CU280" s="169" t="str">
        <f t="shared" si="182"/>
        <v/>
      </c>
      <c r="CV280" s="169" t="str">
        <f t="shared" si="182"/>
        <v/>
      </c>
      <c r="CW280" s="299" t="str">
        <f t="shared" si="182"/>
        <v/>
      </c>
      <c r="CX280" s="299" t="str">
        <f t="shared" si="171"/>
        <v/>
      </c>
      <c r="CZ280" s="10"/>
      <c r="DB280" s="10">
        <f t="shared" si="142"/>
        <v>0</v>
      </c>
      <c r="DC280" s="10">
        <f t="shared" si="141"/>
        <v>0</v>
      </c>
    </row>
    <row r="281" spans="2:107" x14ac:dyDescent="0.25">
      <c r="B281" s="116"/>
      <c r="C281" s="528"/>
      <c r="D281" s="529"/>
      <c r="G281" s="40"/>
      <c r="Q281" s="47"/>
      <c r="S281" s="298" t="str">
        <f t="shared" si="176"/>
        <v/>
      </c>
      <c r="T281" s="169" t="str">
        <f t="shared" si="176"/>
        <v/>
      </c>
      <c r="U281" s="169" t="str">
        <f t="shared" si="176"/>
        <v/>
      </c>
      <c r="V281" s="169" t="str">
        <f t="shared" si="176"/>
        <v/>
      </c>
      <c r="W281" s="169" t="str">
        <f t="shared" si="176"/>
        <v/>
      </c>
      <c r="X281" s="169" t="str">
        <f t="shared" si="176"/>
        <v/>
      </c>
      <c r="Y281" s="169" t="str">
        <f t="shared" si="176"/>
        <v/>
      </c>
      <c r="Z281" s="169" t="str">
        <f t="shared" si="176"/>
        <v/>
      </c>
      <c r="AA281" s="299" t="str">
        <f t="shared" si="176"/>
        <v/>
      </c>
      <c r="AB281" s="169" t="str">
        <f t="shared" si="177"/>
        <v/>
      </c>
      <c r="AC281" s="169" t="str">
        <f t="shared" si="177"/>
        <v/>
      </c>
      <c r="AD281" s="169" t="str">
        <f t="shared" si="177"/>
        <v/>
      </c>
      <c r="AE281" s="169" t="str">
        <f t="shared" si="177"/>
        <v/>
      </c>
      <c r="AF281" s="169" t="str">
        <f t="shared" si="177"/>
        <v/>
      </c>
      <c r="AG281" s="169" t="str">
        <f t="shared" si="177"/>
        <v/>
      </c>
      <c r="AH281" s="169" t="str">
        <f t="shared" si="177"/>
        <v/>
      </c>
      <c r="AI281" s="169" t="str">
        <f t="shared" si="177"/>
        <v/>
      </c>
      <c r="AJ281" s="299" t="str">
        <f t="shared" si="177"/>
        <v/>
      </c>
      <c r="AK281" s="298" t="str">
        <f t="shared" si="159"/>
        <v/>
      </c>
      <c r="AL281" s="299" t="str">
        <f t="shared" si="159"/>
        <v/>
      </c>
      <c r="AM281" s="169" t="str">
        <f t="shared" si="178"/>
        <v/>
      </c>
      <c r="AN281" s="169" t="str">
        <f t="shared" si="178"/>
        <v/>
      </c>
      <c r="AO281" s="169" t="str">
        <f t="shared" si="178"/>
        <v/>
      </c>
      <c r="AP281" s="169" t="str">
        <f t="shared" si="178"/>
        <v/>
      </c>
      <c r="AQ281" s="169" t="str">
        <f t="shared" si="178"/>
        <v/>
      </c>
      <c r="AR281" s="169" t="str">
        <f t="shared" si="178"/>
        <v/>
      </c>
      <c r="AS281" s="169" t="str">
        <f t="shared" si="178"/>
        <v/>
      </c>
      <c r="AT281" s="169" t="str">
        <f t="shared" si="178"/>
        <v/>
      </c>
      <c r="AU281" s="299" t="str">
        <f t="shared" si="178"/>
        <v/>
      </c>
      <c r="AV281" s="169" t="str">
        <f t="shared" si="153"/>
        <v/>
      </c>
      <c r="AW281" s="169" t="str">
        <f t="shared" si="175"/>
        <v/>
      </c>
      <c r="AX281" s="169" t="str">
        <f t="shared" si="175"/>
        <v/>
      </c>
      <c r="AY281" s="169" t="str">
        <f t="shared" si="164"/>
        <v/>
      </c>
      <c r="AZ281" s="169" t="str">
        <f t="shared" si="164"/>
        <v/>
      </c>
      <c r="BA281" s="299" t="str">
        <f t="shared" si="164"/>
        <v/>
      </c>
      <c r="BB281" s="169" t="str">
        <f t="shared" si="155"/>
        <v/>
      </c>
      <c r="BC281" s="169" t="str">
        <f t="shared" si="168"/>
        <v/>
      </c>
      <c r="BD281" s="169" t="str">
        <f t="shared" si="181"/>
        <v/>
      </c>
      <c r="BE281" s="169" t="str">
        <f t="shared" si="165"/>
        <v/>
      </c>
      <c r="BF281" s="169" t="str">
        <f t="shared" si="165"/>
        <v/>
      </c>
      <c r="BG281" s="169" t="str">
        <f t="shared" si="165"/>
        <v/>
      </c>
      <c r="BH281" s="298"/>
      <c r="BI281" s="169"/>
      <c r="BJ281" s="169"/>
      <c r="BK281" s="169"/>
      <c r="BL281" s="169"/>
      <c r="BM281" s="299"/>
      <c r="BN281" s="298" t="str">
        <f t="shared" si="179"/>
        <v/>
      </c>
      <c r="BO281" s="169" t="str">
        <f t="shared" si="179"/>
        <v/>
      </c>
      <c r="BP281" s="169" t="str">
        <f t="shared" si="179"/>
        <v/>
      </c>
      <c r="BQ281" s="169" t="str">
        <f t="shared" si="179"/>
        <v/>
      </c>
      <c r="BR281" s="169" t="str">
        <f t="shared" si="179"/>
        <v/>
      </c>
      <c r="BS281" s="169" t="str">
        <f t="shared" si="179"/>
        <v/>
      </c>
      <c r="BT281" s="169" t="str">
        <f t="shared" si="179"/>
        <v/>
      </c>
      <c r="BU281" s="169" t="str">
        <f t="shared" si="179"/>
        <v/>
      </c>
      <c r="BV281" s="299" t="str">
        <f t="shared" si="179"/>
        <v/>
      </c>
      <c r="BW281" s="298" t="str">
        <f t="shared" si="180"/>
        <v/>
      </c>
      <c r="BX281" s="169" t="str">
        <f t="shared" si="180"/>
        <v/>
      </c>
      <c r="BY281" s="169" t="str">
        <f t="shared" si="180"/>
        <v/>
      </c>
      <c r="BZ281" s="169" t="str">
        <f t="shared" si="180"/>
        <v/>
      </c>
      <c r="CA281" s="169" t="str">
        <f t="shared" si="180"/>
        <v/>
      </c>
      <c r="CB281" s="169" t="str">
        <f t="shared" si="180"/>
        <v/>
      </c>
      <c r="CC281" s="169" t="str">
        <f t="shared" si="180"/>
        <v/>
      </c>
      <c r="CD281" s="169" t="str">
        <f t="shared" si="180"/>
        <v/>
      </c>
      <c r="CE281" s="299" t="str">
        <f t="shared" si="180"/>
        <v/>
      </c>
      <c r="CF281" s="298"/>
      <c r="CG281" s="169"/>
      <c r="CH281" s="169"/>
      <c r="CI281" s="169"/>
      <c r="CJ281" s="169"/>
      <c r="CK281" s="299"/>
      <c r="CL281" s="298" t="str">
        <f t="shared" si="169"/>
        <v/>
      </c>
      <c r="CM281" s="169" t="str">
        <f t="shared" si="166"/>
        <v/>
      </c>
      <c r="CN281" s="169" t="str">
        <f t="shared" si="167"/>
        <v/>
      </c>
      <c r="CO281" s="169" t="str">
        <f t="shared" si="172"/>
        <v/>
      </c>
      <c r="CP281" s="169" t="str">
        <f t="shared" si="163"/>
        <v/>
      </c>
      <c r="CQ281" s="299" t="str">
        <f t="shared" si="163"/>
        <v/>
      </c>
      <c r="CR281" s="298" t="str">
        <f t="shared" si="182"/>
        <v/>
      </c>
      <c r="CS281" s="169" t="str">
        <f t="shared" si="182"/>
        <v/>
      </c>
      <c r="CT281" s="169" t="str">
        <f t="shared" si="182"/>
        <v/>
      </c>
      <c r="CU281" s="169" t="str">
        <f t="shared" si="182"/>
        <v/>
      </c>
      <c r="CV281" s="169" t="str">
        <f t="shared" si="182"/>
        <v/>
      </c>
      <c r="CW281" s="299" t="str">
        <f t="shared" si="182"/>
        <v/>
      </c>
      <c r="CX281" s="299" t="str">
        <f t="shared" si="171"/>
        <v/>
      </c>
      <c r="CZ281" s="10"/>
      <c r="DB281" s="10">
        <f t="shared" si="142"/>
        <v>0</v>
      </c>
      <c r="DC281" s="10">
        <f t="shared" si="141"/>
        <v>0</v>
      </c>
    </row>
    <row r="282" spans="2:107" x14ac:dyDescent="0.25">
      <c r="B282" s="116"/>
      <c r="C282" s="528">
        <f>IF(C133&gt;0,B133 &amp; " (" &amp;C133 &amp; ")",B133)</f>
        <v>0</v>
      </c>
      <c r="D282" s="529">
        <f>E133</f>
        <v>0</v>
      </c>
      <c r="G282" s="40"/>
      <c r="Q282" s="47"/>
      <c r="S282" s="298"/>
      <c r="T282" s="169"/>
      <c r="U282" s="169"/>
      <c r="V282" s="169"/>
      <c r="W282" s="169"/>
      <c r="X282" s="169"/>
      <c r="Y282" s="169"/>
      <c r="Z282" s="169"/>
      <c r="AA282" s="299"/>
      <c r="AB282" s="169"/>
      <c r="AC282" s="169"/>
      <c r="AD282" s="169"/>
      <c r="AE282" s="169"/>
      <c r="AF282" s="169"/>
      <c r="AG282" s="169"/>
      <c r="AH282" s="169"/>
      <c r="AI282" s="169"/>
      <c r="AJ282" s="299"/>
      <c r="AK282" s="298"/>
      <c r="AL282" s="299" t="str">
        <f>IF($P282=AL$159,$DC282,"")</f>
        <v/>
      </c>
      <c r="AM282" s="169"/>
      <c r="AN282" s="169"/>
      <c r="AO282" s="169"/>
      <c r="AP282" s="169"/>
      <c r="AQ282" s="169"/>
      <c r="AR282" s="169"/>
      <c r="AS282" s="169"/>
      <c r="AT282" s="169"/>
      <c r="AU282" s="299"/>
      <c r="AV282" s="169"/>
      <c r="AW282" s="169"/>
      <c r="AX282" s="169"/>
      <c r="AY282" s="169"/>
      <c r="AZ282" s="169"/>
      <c r="BA282" s="299"/>
      <c r="BB282" s="169"/>
      <c r="BC282" s="169"/>
      <c r="BD282" s="169"/>
      <c r="BE282" s="169"/>
      <c r="BF282" s="169"/>
      <c r="BG282" s="169"/>
      <c r="BH282" s="298"/>
      <c r="BI282" s="169"/>
      <c r="BJ282" s="169"/>
      <c r="BK282" s="169"/>
      <c r="BL282" s="169"/>
      <c r="BM282" s="299"/>
      <c r="BN282" s="298"/>
      <c r="BO282" s="169"/>
      <c r="BP282" s="169"/>
      <c r="BQ282" s="169"/>
      <c r="BR282" s="169"/>
      <c r="BS282" s="169"/>
      <c r="BT282" s="169"/>
      <c r="BU282" s="169"/>
      <c r="BV282" s="299"/>
      <c r="BW282" s="298"/>
      <c r="BX282" s="169"/>
      <c r="BY282" s="169"/>
      <c r="BZ282" s="169"/>
      <c r="CA282" s="169"/>
      <c r="CB282" s="169"/>
      <c r="CC282" s="169"/>
      <c r="CD282" s="169"/>
      <c r="CE282" s="299"/>
      <c r="CF282" s="298"/>
      <c r="CG282" s="169"/>
      <c r="CH282" s="169"/>
      <c r="CI282" s="169"/>
      <c r="CJ282" s="169"/>
      <c r="CK282" s="299"/>
      <c r="CL282" s="298"/>
      <c r="CM282" s="169"/>
      <c r="CN282" s="169"/>
      <c r="CO282" s="169"/>
      <c r="CP282" s="169"/>
      <c r="CQ282" s="299"/>
      <c r="CR282" s="298"/>
      <c r="CS282" s="169" t="str">
        <f t="shared" ref="CS282:CW291" si="183">IF($P282=CS$159,$DC282,"")</f>
        <v/>
      </c>
      <c r="CT282" s="169" t="str">
        <f t="shared" si="183"/>
        <v/>
      </c>
      <c r="CU282" s="169" t="str">
        <f t="shared" si="183"/>
        <v/>
      </c>
      <c r="CV282" s="169" t="str">
        <f t="shared" si="183"/>
        <v/>
      </c>
      <c r="CW282" s="299" t="str">
        <f t="shared" si="183"/>
        <v/>
      </c>
      <c r="CX282" s="299" t="str">
        <f t="shared" si="171"/>
        <v/>
      </c>
      <c r="CZ282" s="10"/>
      <c r="DB282" s="10">
        <f t="shared" si="142"/>
        <v>0</v>
      </c>
      <c r="DC282" s="10">
        <f t="shared" si="141"/>
        <v>0</v>
      </c>
    </row>
    <row r="283" spans="2:107" x14ac:dyDescent="0.25">
      <c r="B283" s="44" t="s">
        <v>39</v>
      </c>
      <c r="D283" s="45"/>
      <c r="G283" s="40"/>
      <c r="Q283" s="47"/>
      <c r="S283" s="298"/>
      <c r="T283" s="169"/>
      <c r="U283" s="169"/>
      <c r="V283" s="169"/>
      <c r="W283" s="169"/>
      <c r="X283" s="169"/>
      <c r="Y283" s="169"/>
      <c r="Z283" s="169"/>
      <c r="AA283" s="299"/>
      <c r="AB283" s="169"/>
      <c r="AC283" s="169"/>
      <c r="AD283" s="169"/>
      <c r="AE283" s="169"/>
      <c r="AF283" s="169"/>
      <c r="AG283" s="169"/>
      <c r="AH283" s="169"/>
      <c r="AI283" s="169"/>
      <c r="AJ283" s="299"/>
      <c r="AK283" s="298"/>
      <c r="AL283" s="299" t="str">
        <f>IF($P283=AL$159,$DC283,"")</f>
        <v/>
      </c>
      <c r="AM283" s="169"/>
      <c r="AN283" s="169"/>
      <c r="AO283" s="169"/>
      <c r="AP283" s="169"/>
      <c r="AQ283" s="169"/>
      <c r="AR283" s="169"/>
      <c r="AS283" s="169"/>
      <c r="AT283" s="169"/>
      <c r="AU283" s="299"/>
      <c r="AV283" s="169"/>
      <c r="AW283" s="169"/>
      <c r="AX283" s="169"/>
      <c r="AY283" s="169"/>
      <c r="AZ283" s="169"/>
      <c r="BA283" s="299"/>
      <c r="BB283" s="169"/>
      <c r="BC283" s="169"/>
      <c r="BD283" s="169"/>
      <c r="BE283" s="169"/>
      <c r="BF283" s="169"/>
      <c r="BG283" s="169"/>
      <c r="BH283" s="298"/>
      <c r="BI283" s="169"/>
      <c r="BJ283" s="169"/>
      <c r="BK283" s="169"/>
      <c r="BL283" s="169"/>
      <c r="BM283" s="299"/>
      <c r="BN283" s="298"/>
      <c r="BO283" s="169"/>
      <c r="BP283" s="169"/>
      <c r="BQ283" s="169"/>
      <c r="BR283" s="169"/>
      <c r="BS283" s="169"/>
      <c r="BT283" s="169"/>
      <c r="BU283" s="169"/>
      <c r="BV283" s="299"/>
      <c r="BW283" s="298"/>
      <c r="BX283" s="169"/>
      <c r="BY283" s="169"/>
      <c r="BZ283" s="169"/>
      <c r="CA283" s="169"/>
      <c r="CB283" s="169"/>
      <c r="CC283" s="169"/>
      <c r="CD283" s="169"/>
      <c r="CE283" s="299"/>
      <c r="CF283" s="298"/>
      <c r="CG283" s="169"/>
      <c r="CH283" s="169"/>
      <c r="CI283" s="169"/>
      <c r="CJ283" s="169"/>
      <c r="CK283" s="299"/>
      <c r="CL283" s="298"/>
      <c r="CM283" s="169"/>
      <c r="CN283" s="169"/>
      <c r="CO283" s="169"/>
      <c r="CP283" s="169"/>
      <c r="CQ283" s="299"/>
      <c r="CR283" s="298"/>
      <c r="CS283" s="169" t="str">
        <f t="shared" si="183"/>
        <v/>
      </c>
      <c r="CT283" s="169" t="str">
        <f t="shared" si="183"/>
        <v/>
      </c>
      <c r="CU283" s="169" t="str">
        <f t="shared" si="183"/>
        <v/>
      </c>
      <c r="CV283" s="169" t="str">
        <f t="shared" si="183"/>
        <v/>
      </c>
      <c r="CW283" s="299" t="str">
        <f t="shared" si="183"/>
        <v/>
      </c>
      <c r="CX283" s="299" t="str">
        <f t="shared" si="171"/>
        <v/>
      </c>
      <c r="CZ283" s="10"/>
      <c r="DB283" s="10">
        <f t="shared" si="142"/>
        <v>0</v>
      </c>
      <c r="DC283" s="10">
        <f t="shared" si="141"/>
        <v>0</v>
      </c>
    </row>
    <row r="284" spans="2:107" s="588" customFormat="1" x14ac:dyDescent="0.25">
      <c r="B284" s="580" t="s">
        <v>40</v>
      </c>
      <c r="C284" s="581" t="s">
        <v>137</v>
      </c>
      <c r="D284" s="582"/>
      <c r="E284" s="581"/>
      <c r="F284" s="581"/>
      <c r="G284" s="583"/>
      <c r="H284" s="581"/>
      <c r="I284" s="581"/>
      <c r="J284" s="581"/>
      <c r="K284" s="581"/>
      <c r="L284" s="581"/>
      <c r="M284" s="581"/>
      <c r="N284" s="581"/>
      <c r="O284" s="581"/>
      <c r="P284" s="581"/>
      <c r="Q284" s="584"/>
      <c r="R284" s="581"/>
      <c r="S284" s="585"/>
      <c r="T284" s="586">
        <f>43.3</f>
        <v>43.3</v>
      </c>
      <c r="U284" s="586">
        <f>33.1</f>
        <v>33.1</v>
      </c>
      <c r="V284" s="586">
        <f>12</f>
        <v>12</v>
      </c>
      <c r="W284" s="586">
        <f>24.3</f>
        <v>24.3</v>
      </c>
      <c r="X284" s="586">
        <f>20.9</f>
        <v>20.9</v>
      </c>
      <c r="Y284" s="586"/>
      <c r="Z284" s="586"/>
      <c r="AA284" s="587"/>
      <c r="AB284" s="586"/>
      <c r="AC284" s="586">
        <f>15.3+20.3</f>
        <v>35.6</v>
      </c>
      <c r="AD284" s="586">
        <f>9.8</f>
        <v>9.8000000000000007</v>
      </c>
      <c r="AE284" s="586">
        <f>51.7</f>
        <v>51.7</v>
      </c>
      <c r="AF284" s="586"/>
      <c r="AG284" s="586"/>
      <c r="AH284" s="586"/>
      <c r="AI284" s="586"/>
      <c r="AJ284" s="587"/>
      <c r="AK284" s="585"/>
      <c r="AL284" s="587">
        <f>24.1</f>
        <v>24.1</v>
      </c>
      <c r="AM284" s="586"/>
      <c r="AN284" s="586">
        <f>11.8</f>
        <v>11.8</v>
      </c>
      <c r="AO284" s="586">
        <f>24.6</f>
        <v>24.6</v>
      </c>
      <c r="AP284" s="586"/>
      <c r="AQ284" s="586"/>
      <c r="AR284" s="586"/>
      <c r="AS284" s="586"/>
      <c r="AT284" s="586"/>
      <c r="AU284" s="587"/>
      <c r="AV284" s="586"/>
      <c r="AW284" s="586"/>
      <c r="AX284" s="586"/>
      <c r="AY284" s="586"/>
      <c r="AZ284" s="586"/>
      <c r="BA284" s="587"/>
      <c r="BB284" s="586"/>
      <c r="BC284" s="586"/>
      <c r="BD284" s="586"/>
      <c r="BE284" s="586"/>
      <c r="BF284" s="586"/>
      <c r="BG284" s="586"/>
      <c r="BH284" s="585"/>
      <c r="BI284" s="586">
        <f>22</f>
        <v>22</v>
      </c>
      <c r="BJ284" s="586">
        <f>13.5</f>
        <v>13.5</v>
      </c>
      <c r="BK284" s="586">
        <f>13.8</f>
        <v>13.8</v>
      </c>
      <c r="BL284" s="586"/>
      <c r="BM284" s="587"/>
      <c r="BN284" s="585"/>
      <c r="BO284" s="586"/>
      <c r="BP284" s="586">
        <f>2.3</f>
        <v>2.2999999999999998</v>
      </c>
      <c r="BQ284" s="586">
        <f>47.5</f>
        <v>47.5</v>
      </c>
      <c r="BR284" s="586">
        <f>12.6</f>
        <v>12.6</v>
      </c>
      <c r="BS284" s="586">
        <f>9.6</f>
        <v>9.6</v>
      </c>
      <c r="BT284" s="586"/>
      <c r="BU284" s="586"/>
      <c r="BV284" s="587"/>
      <c r="BW284" s="585"/>
      <c r="BX284" s="586"/>
      <c r="BY284" s="586"/>
      <c r="BZ284" s="586"/>
      <c r="CA284" s="586"/>
      <c r="CB284" s="586"/>
      <c r="CC284" s="586"/>
      <c r="CD284" s="586"/>
      <c r="CE284" s="587"/>
      <c r="CF284" s="585"/>
      <c r="CG284" s="586"/>
      <c r="CH284" s="586"/>
      <c r="CI284" s="586"/>
      <c r="CJ284" s="586"/>
      <c r="CK284" s="587"/>
      <c r="CL284" s="585"/>
      <c r="CM284" s="586"/>
      <c r="CN284" s="586"/>
      <c r="CO284" s="586"/>
      <c r="CP284" s="586"/>
      <c r="CQ284" s="587"/>
      <c r="CR284" s="585"/>
      <c r="CS284" s="586" t="str">
        <f t="shared" si="183"/>
        <v/>
      </c>
      <c r="CT284" s="586" t="str">
        <f t="shared" si="183"/>
        <v/>
      </c>
      <c r="CU284" s="586" t="str">
        <f t="shared" si="183"/>
        <v/>
      </c>
      <c r="CV284" s="586" t="str">
        <f t="shared" si="183"/>
        <v/>
      </c>
      <c r="CW284" s="587" t="str">
        <f t="shared" si="183"/>
        <v/>
      </c>
      <c r="CX284" s="587">
        <f>24.1</f>
        <v>24.1</v>
      </c>
      <c r="CZ284" s="589"/>
      <c r="DB284" s="581">
        <f t="shared" si="142"/>
        <v>0</v>
      </c>
      <c r="DC284" s="581">
        <f t="shared" si="141"/>
        <v>0</v>
      </c>
    </row>
    <row r="285" spans="2:107" x14ac:dyDescent="0.25">
      <c r="B285" s="37"/>
      <c r="D285" s="45"/>
      <c r="G285" s="40"/>
      <c r="Q285" s="47"/>
      <c r="S285" s="298"/>
      <c r="T285" s="169"/>
      <c r="U285" s="169"/>
      <c r="V285" s="169"/>
      <c r="W285" s="169"/>
      <c r="X285" s="169"/>
      <c r="Y285" s="169"/>
      <c r="Z285" s="169"/>
      <c r="AA285" s="299"/>
      <c r="AB285" s="169"/>
      <c r="AC285" s="169"/>
      <c r="AD285" s="169"/>
      <c r="AE285" s="169"/>
      <c r="AF285" s="169"/>
      <c r="AG285" s="169"/>
      <c r="AH285" s="169"/>
      <c r="AI285" s="169"/>
      <c r="AJ285" s="299"/>
      <c r="AK285" s="298"/>
      <c r="AL285" s="299" t="str">
        <f t="shared" ref="AL285:AL301" si="184">IF($P285=AL$159,$DC285,"")</f>
        <v/>
      </c>
      <c r="AM285" s="169"/>
      <c r="AN285" s="169"/>
      <c r="AO285" s="169"/>
      <c r="AP285" s="169"/>
      <c r="AQ285" s="169"/>
      <c r="AR285" s="169"/>
      <c r="AS285" s="169"/>
      <c r="AT285" s="169"/>
      <c r="AU285" s="299"/>
      <c r="AV285" s="169"/>
      <c r="AW285" s="169"/>
      <c r="AX285" s="169"/>
      <c r="AY285" s="169"/>
      <c r="AZ285" s="169"/>
      <c r="BA285" s="299"/>
      <c r="BB285" s="169"/>
      <c r="BC285" s="169"/>
      <c r="BD285" s="169"/>
      <c r="BE285" s="169"/>
      <c r="BF285" s="169"/>
      <c r="BG285" s="169"/>
      <c r="BH285" s="298"/>
      <c r="BI285" s="169"/>
      <c r="BJ285" s="169"/>
      <c r="BK285" s="169"/>
      <c r="BL285" s="169"/>
      <c r="BM285" s="299"/>
      <c r="BN285" s="298"/>
      <c r="BO285" s="169"/>
      <c r="BP285" s="169"/>
      <c r="BQ285" s="169"/>
      <c r="BR285" s="169"/>
      <c r="BS285" s="169"/>
      <c r="BT285" s="169"/>
      <c r="BU285" s="169"/>
      <c r="BV285" s="299"/>
      <c r="BW285" s="298"/>
      <c r="BX285" s="169"/>
      <c r="BY285" s="169"/>
      <c r="BZ285" s="169"/>
      <c r="CA285" s="169"/>
      <c r="CB285" s="169"/>
      <c r="CC285" s="169"/>
      <c r="CD285" s="169"/>
      <c r="CE285" s="299"/>
      <c r="CF285" s="298"/>
      <c r="CG285" s="169"/>
      <c r="CH285" s="169"/>
      <c r="CI285" s="169"/>
      <c r="CJ285" s="169"/>
      <c r="CK285" s="299"/>
      <c r="CL285" s="298"/>
      <c r="CM285" s="169"/>
      <c r="CN285" s="169"/>
      <c r="CO285" s="169"/>
      <c r="CP285" s="169"/>
      <c r="CQ285" s="299"/>
      <c r="CR285" s="298"/>
      <c r="CS285" s="169" t="str">
        <f t="shared" si="183"/>
        <v/>
      </c>
      <c r="CT285" s="169" t="str">
        <f t="shared" si="183"/>
        <v/>
      </c>
      <c r="CU285" s="169" t="str">
        <f t="shared" si="183"/>
        <v/>
      </c>
      <c r="CV285" s="169" t="str">
        <f t="shared" si="183"/>
        <v/>
      </c>
      <c r="CW285" s="299" t="str">
        <f t="shared" si="183"/>
        <v/>
      </c>
      <c r="CX285" s="299" t="str">
        <f t="shared" ref="CX285:CX293" si="185">IF($P285=CX$159,$DC285,"")</f>
        <v/>
      </c>
      <c r="CZ285" s="11"/>
      <c r="DB285" s="10">
        <f t="shared" si="142"/>
        <v>0</v>
      </c>
      <c r="DC285" s="10">
        <f t="shared" si="141"/>
        <v>0</v>
      </c>
    </row>
    <row r="286" spans="2:107" x14ac:dyDescent="0.25">
      <c r="B286" s="44" t="s">
        <v>126</v>
      </c>
      <c r="D286" s="45"/>
      <c r="G286" s="40"/>
      <c r="Q286" s="47"/>
      <c r="S286" s="298"/>
      <c r="T286" s="169"/>
      <c r="U286" s="169"/>
      <c r="V286" s="169"/>
      <c r="W286" s="169"/>
      <c r="X286" s="169"/>
      <c r="Y286" s="169"/>
      <c r="Z286" s="169"/>
      <c r="AA286" s="299"/>
      <c r="AB286" s="169"/>
      <c r="AC286" s="169"/>
      <c r="AD286" s="169"/>
      <c r="AE286" s="169"/>
      <c r="AF286" s="169"/>
      <c r="AG286" s="169"/>
      <c r="AH286" s="169"/>
      <c r="AI286" s="169"/>
      <c r="AJ286" s="299"/>
      <c r="AK286" s="298"/>
      <c r="AL286" s="299" t="str">
        <f t="shared" si="184"/>
        <v/>
      </c>
      <c r="AM286" s="169"/>
      <c r="AN286" s="169"/>
      <c r="AO286" s="169"/>
      <c r="AP286" s="169"/>
      <c r="AQ286" s="169"/>
      <c r="AR286" s="169"/>
      <c r="AS286" s="169"/>
      <c r="AT286" s="169"/>
      <c r="AU286" s="299"/>
      <c r="AV286" s="169"/>
      <c r="AW286" s="169"/>
      <c r="AX286" s="169"/>
      <c r="AY286" s="169"/>
      <c r="AZ286" s="169"/>
      <c r="BA286" s="299"/>
      <c r="BB286" s="169"/>
      <c r="BC286" s="169"/>
      <c r="BD286" s="169"/>
      <c r="BE286" s="169"/>
      <c r="BF286" s="169"/>
      <c r="BG286" s="169"/>
      <c r="BH286" s="298"/>
      <c r="BI286" s="169"/>
      <c r="BJ286" s="169"/>
      <c r="BK286" s="169"/>
      <c r="BL286" s="169"/>
      <c r="BM286" s="299"/>
      <c r="BN286" s="298"/>
      <c r="BO286" s="169"/>
      <c r="BP286" s="169"/>
      <c r="BQ286" s="169"/>
      <c r="BR286" s="169"/>
      <c r="BS286" s="169"/>
      <c r="BT286" s="169"/>
      <c r="BU286" s="169"/>
      <c r="BV286" s="299"/>
      <c r="BW286" s="298"/>
      <c r="BX286" s="169"/>
      <c r="BY286" s="169"/>
      <c r="BZ286" s="169"/>
      <c r="CA286" s="169"/>
      <c r="CB286" s="169"/>
      <c r="CC286" s="169"/>
      <c r="CD286" s="169"/>
      <c r="CE286" s="299"/>
      <c r="CF286" s="298"/>
      <c r="CG286" s="169"/>
      <c r="CH286" s="169"/>
      <c r="CI286" s="169"/>
      <c r="CJ286" s="169"/>
      <c r="CK286" s="299"/>
      <c r="CL286" s="298"/>
      <c r="CM286" s="169"/>
      <c r="CN286" s="169"/>
      <c r="CO286" s="169"/>
      <c r="CP286" s="169"/>
      <c r="CQ286" s="299"/>
      <c r="CR286" s="298"/>
      <c r="CS286" s="169" t="str">
        <f t="shared" si="183"/>
        <v/>
      </c>
      <c r="CT286" s="169" t="str">
        <f t="shared" si="183"/>
        <v/>
      </c>
      <c r="CU286" s="169" t="str">
        <f t="shared" si="183"/>
        <v/>
      </c>
      <c r="CV286" s="169" t="str">
        <f t="shared" si="183"/>
        <v/>
      </c>
      <c r="CW286" s="299" t="str">
        <f t="shared" si="183"/>
        <v/>
      </c>
      <c r="CX286" s="299" t="str">
        <f t="shared" si="185"/>
        <v/>
      </c>
      <c r="CZ286" s="11"/>
      <c r="DB286" s="10">
        <f t="shared" si="142"/>
        <v>0</v>
      </c>
      <c r="DC286" s="10">
        <f t="shared" si="141"/>
        <v>0</v>
      </c>
    </row>
    <row r="287" spans="2:107" x14ac:dyDescent="0.25">
      <c r="B287" s="127"/>
      <c r="C287" s="15" t="s">
        <v>801</v>
      </c>
      <c r="D287" s="45"/>
      <c r="G287" s="40"/>
      <c r="Q287" s="47"/>
      <c r="S287" s="298"/>
      <c r="T287" s="169"/>
      <c r="U287" s="169"/>
      <c r="V287" s="169"/>
      <c r="W287" s="169"/>
      <c r="X287" s="169"/>
      <c r="Y287" s="169"/>
      <c r="Z287" s="169"/>
      <c r="AA287" s="299"/>
      <c r="AB287" s="169"/>
      <c r="AC287" s="169"/>
      <c r="AD287" s="169"/>
      <c r="AE287" s="169"/>
      <c r="AF287" s="169"/>
      <c r="AG287" s="169"/>
      <c r="AH287" s="169"/>
      <c r="AI287" s="169"/>
      <c r="AJ287" s="299"/>
      <c r="AK287" s="298"/>
      <c r="AL287" s="299" t="str">
        <f t="shared" si="184"/>
        <v/>
      </c>
      <c r="AM287" s="169"/>
      <c r="AN287" s="169"/>
      <c r="AO287" s="169"/>
      <c r="AP287" s="169"/>
      <c r="AQ287" s="169"/>
      <c r="AR287" s="169"/>
      <c r="AS287" s="169"/>
      <c r="AT287" s="169"/>
      <c r="AU287" s="299"/>
      <c r="AV287" s="169"/>
      <c r="AW287" s="169"/>
      <c r="AX287" s="169"/>
      <c r="AY287" s="169"/>
      <c r="AZ287" s="169"/>
      <c r="BA287" s="299"/>
      <c r="BB287" s="169"/>
      <c r="BC287" s="169"/>
      <c r="BD287" s="169"/>
      <c r="BE287" s="169"/>
      <c r="BF287" s="169"/>
      <c r="BG287" s="169"/>
      <c r="BH287" s="298"/>
      <c r="BI287" s="169"/>
      <c r="BJ287" s="169"/>
      <c r="BK287" s="169"/>
      <c r="BL287" s="169"/>
      <c r="BM287" s="299"/>
      <c r="BN287" s="298"/>
      <c r="BO287" s="169"/>
      <c r="BP287" s="169"/>
      <c r="BQ287" s="169"/>
      <c r="BR287" s="169"/>
      <c r="BS287" s="169">
        <v>16</v>
      </c>
      <c r="BT287" s="169"/>
      <c r="BU287" s="169"/>
      <c r="BV287" s="299"/>
      <c r="BW287" s="298"/>
      <c r="BX287" s="169"/>
      <c r="BY287" s="169"/>
      <c r="BZ287" s="169"/>
      <c r="CA287" s="169"/>
      <c r="CB287" s="169"/>
      <c r="CC287" s="169"/>
      <c r="CD287" s="169"/>
      <c r="CE287" s="299"/>
      <c r="CF287" s="298"/>
      <c r="CG287" s="169"/>
      <c r="CH287" s="169"/>
      <c r="CI287" s="169"/>
      <c r="CJ287" s="169"/>
      <c r="CK287" s="299"/>
      <c r="CL287" s="298"/>
      <c r="CM287" s="169"/>
      <c r="CN287" s="169"/>
      <c r="CO287" s="169"/>
      <c r="CP287" s="169"/>
      <c r="CQ287" s="299"/>
      <c r="CR287" s="298"/>
      <c r="CS287" s="169" t="str">
        <f t="shared" si="183"/>
        <v/>
      </c>
      <c r="CT287" s="169" t="str">
        <f t="shared" si="183"/>
        <v/>
      </c>
      <c r="CU287" s="169" t="str">
        <f t="shared" si="183"/>
        <v/>
      </c>
      <c r="CV287" s="169" t="str">
        <f t="shared" si="183"/>
        <v/>
      </c>
      <c r="CW287" s="299" t="str">
        <f t="shared" si="183"/>
        <v/>
      </c>
      <c r="CX287" s="299" t="str">
        <f t="shared" si="185"/>
        <v/>
      </c>
      <c r="CZ287" s="11"/>
      <c r="DB287" s="10">
        <f t="shared" si="142"/>
        <v>0</v>
      </c>
      <c r="DC287" s="10">
        <f t="shared" si="141"/>
        <v>0</v>
      </c>
    </row>
    <row r="288" spans="2:107" x14ac:dyDescent="0.25">
      <c r="B288" s="224"/>
      <c r="C288" s="15" t="s">
        <v>802</v>
      </c>
      <c r="D288" s="45"/>
      <c r="G288" s="40"/>
      <c r="Q288" s="47"/>
      <c r="S288" s="298"/>
      <c r="T288" s="169"/>
      <c r="U288" s="169"/>
      <c r="V288" s="169"/>
      <c r="W288" s="169"/>
      <c r="X288" s="169"/>
      <c r="Y288" s="169"/>
      <c r="Z288" s="169"/>
      <c r="AA288" s="299"/>
      <c r="AB288" s="169"/>
      <c r="AC288" s="169"/>
      <c r="AD288" s="169"/>
      <c r="AE288" s="169"/>
      <c r="AF288" s="169"/>
      <c r="AG288" s="169"/>
      <c r="AH288" s="169"/>
      <c r="AI288" s="169"/>
      <c r="AJ288" s="299"/>
      <c r="AK288" s="298"/>
      <c r="AL288" s="299" t="str">
        <f t="shared" si="184"/>
        <v/>
      </c>
      <c r="AM288" s="169"/>
      <c r="AN288" s="169"/>
      <c r="AO288" s="169"/>
      <c r="AP288" s="169"/>
      <c r="AQ288" s="169"/>
      <c r="AR288" s="169"/>
      <c r="AS288" s="169"/>
      <c r="AT288" s="169"/>
      <c r="AU288" s="299"/>
      <c r="AV288" s="169"/>
      <c r="AW288" s="169"/>
      <c r="AX288" s="169"/>
      <c r="AY288" s="169"/>
      <c r="AZ288" s="169"/>
      <c r="BA288" s="299"/>
      <c r="BB288" s="169"/>
      <c r="BC288" s="169"/>
      <c r="BD288" s="169"/>
      <c r="BE288" s="169"/>
      <c r="BF288" s="169"/>
      <c r="BG288" s="169"/>
      <c r="BH288" s="298"/>
      <c r="BI288" s="169"/>
      <c r="BJ288" s="169"/>
      <c r="BK288" s="169">
        <v>16</v>
      </c>
      <c r="BL288" s="169"/>
      <c r="BM288" s="299"/>
      <c r="BN288" s="298"/>
      <c r="BO288" s="169"/>
      <c r="BP288" s="169"/>
      <c r="BQ288" s="169"/>
      <c r="BR288" s="169"/>
      <c r="BS288" s="169"/>
      <c r="BT288" s="169"/>
      <c r="BU288" s="169"/>
      <c r="BV288" s="299"/>
      <c r="BW288" s="298"/>
      <c r="BX288" s="169"/>
      <c r="BY288" s="169"/>
      <c r="BZ288" s="169"/>
      <c r="CA288" s="169"/>
      <c r="CB288" s="169"/>
      <c r="CC288" s="169"/>
      <c r="CD288" s="169"/>
      <c r="CE288" s="299"/>
      <c r="CF288" s="298"/>
      <c r="CG288" s="169"/>
      <c r="CH288" s="169"/>
      <c r="CI288" s="169"/>
      <c r="CJ288" s="169"/>
      <c r="CK288" s="299"/>
      <c r="CL288" s="298"/>
      <c r="CM288" s="169"/>
      <c r="CN288" s="169"/>
      <c r="CO288" s="169"/>
      <c r="CP288" s="169"/>
      <c r="CQ288" s="299"/>
      <c r="CR288" s="298"/>
      <c r="CS288" s="169" t="str">
        <f t="shared" si="183"/>
        <v/>
      </c>
      <c r="CT288" s="169" t="str">
        <f t="shared" si="183"/>
        <v/>
      </c>
      <c r="CU288" s="169" t="str">
        <f t="shared" si="183"/>
        <v/>
      </c>
      <c r="CV288" s="169" t="str">
        <f t="shared" si="183"/>
        <v/>
      </c>
      <c r="CW288" s="299" t="str">
        <f t="shared" si="183"/>
        <v/>
      </c>
      <c r="CX288" s="299" t="str">
        <f t="shared" si="185"/>
        <v/>
      </c>
      <c r="CZ288" s="11"/>
      <c r="DB288" s="10">
        <f t="shared" si="142"/>
        <v>0</v>
      </c>
      <c r="DC288" s="10">
        <f t="shared" si="141"/>
        <v>0</v>
      </c>
    </row>
    <row r="289" spans="2:107" x14ac:dyDescent="0.25">
      <c r="B289" s="224"/>
      <c r="C289" s="15" t="s">
        <v>803</v>
      </c>
      <c r="D289" s="45"/>
      <c r="G289" s="40"/>
      <c r="Q289" s="47"/>
      <c r="S289" s="298"/>
      <c r="T289" s="169"/>
      <c r="U289" s="169"/>
      <c r="V289" s="169"/>
      <c r="W289" s="169"/>
      <c r="X289" s="169">
        <f>10*2</f>
        <v>20</v>
      </c>
      <c r="Y289" s="169"/>
      <c r="Z289" s="169"/>
      <c r="AA289" s="299"/>
      <c r="AB289" s="169"/>
      <c r="AC289" s="169"/>
      <c r="AD289" s="169"/>
      <c r="AE289" s="169">
        <f>10*4</f>
        <v>40</v>
      </c>
      <c r="AF289" s="169"/>
      <c r="AG289" s="169"/>
      <c r="AH289" s="169"/>
      <c r="AI289" s="169"/>
      <c r="AJ289" s="299"/>
      <c r="AK289" s="298"/>
      <c r="AL289" s="299" t="str">
        <f t="shared" si="184"/>
        <v/>
      </c>
      <c r="AM289" s="169"/>
      <c r="AN289" s="169"/>
      <c r="AO289" s="169"/>
      <c r="AP289" s="169"/>
      <c r="AQ289" s="169"/>
      <c r="AR289" s="169"/>
      <c r="AS289" s="169"/>
      <c r="AT289" s="169"/>
      <c r="AU289" s="299"/>
      <c r="AV289" s="169"/>
      <c r="AW289" s="169"/>
      <c r="AX289" s="169"/>
      <c r="AY289" s="169"/>
      <c r="AZ289" s="169"/>
      <c r="BA289" s="299"/>
      <c r="BB289" s="169"/>
      <c r="BC289" s="169"/>
      <c r="BD289" s="169"/>
      <c r="BE289" s="169"/>
      <c r="BF289" s="169"/>
      <c r="BG289" s="169"/>
      <c r="BH289" s="298"/>
      <c r="BI289" s="169"/>
      <c r="BJ289" s="169"/>
      <c r="BK289" s="169"/>
      <c r="BL289" s="169"/>
      <c r="BM289" s="299"/>
      <c r="BN289" s="298"/>
      <c r="BO289" s="169"/>
      <c r="BP289" s="169"/>
      <c r="BQ289" s="169"/>
      <c r="BR289" s="169"/>
      <c r="BS289" s="169"/>
      <c r="BT289" s="169"/>
      <c r="BU289" s="169"/>
      <c r="BV289" s="299"/>
      <c r="BW289" s="298"/>
      <c r="BX289" s="169"/>
      <c r="BY289" s="169"/>
      <c r="BZ289" s="169"/>
      <c r="CA289" s="169"/>
      <c r="CB289" s="169"/>
      <c r="CC289" s="169"/>
      <c r="CD289" s="169"/>
      <c r="CE289" s="299"/>
      <c r="CF289" s="298"/>
      <c r="CG289" s="169"/>
      <c r="CH289" s="169"/>
      <c r="CI289" s="169"/>
      <c r="CJ289" s="169"/>
      <c r="CK289" s="299"/>
      <c r="CL289" s="298"/>
      <c r="CM289" s="169"/>
      <c r="CN289" s="169"/>
      <c r="CO289" s="169"/>
      <c r="CP289" s="169"/>
      <c r="CQ289" s="299"/>
      <c r="CR289" s="298"/>
      <c r="CS289" s="169" t="str">
        <f t="shared" si="183"/>
        <v/>
      </c>
      <c r="CT289" s="169" t="str">
        <f t="shared" si="183"/>
        <v/>
      </c>
      <c r="CU289" s="169" t="str">
        <f t="shared" si="183"/>
        <v/>
      </c>
      <c r="CV289" s="169" t="str">
        <f t="shared" si="183"/>
        <v/>
      </c>
      <c r="CW289" s="299" t="str">
        <f t="shared" si="183"/>
        <v/>
      </c>
      <c r="CX289" s="299" t="str">
        <f t="shared" si="185"/>
        <v/>
      </c>
      <c r="CZ289" s="11"/>
      <c r="DB289" s="10">
        <f t="shared" si="142"/>
        <v>0</v>
      </c>
      <c r="DC289" s="10">
        <f t="shared" si="141"/>
        <v>0</v>
      </c>
    </row>
    <row r="290" spans="2:107" x14ac:dyDescent="0.25">
      <c r="B290" s="294" t="s">
        <v>172</v>
      </c>
      <c r="C290" s="15"/>
      <c r="D290" s="45"/>
      <c r="G290" s="40"/>
      <c r="Q290" s="47"/>
      <c r="S290" s="298"/>
      <c r="T290" s="169"/>
      <c r="U290" s="169"/>
      <c r="V290" s="169"/>
      <c r="W290" s="169"/>
      <c r="X290" s="169"/>
      <c r="Y290" s="169"/>
      <c r="Z290" s="169"/>
      <c r="AA290" s="299"/>
      <c r="AB290" s="169"/>
      <c r="AC290" s="169"/>
      <c r="AD290" s="169"/>
      <c r="AE290" s="169"/>
      <c r="AF290" s="169"/>
      <c r="AG290" s="169"/>
      <c r="AH290" s="169"/>
      <c r="AI290" s="169"/>
      <c r="AJ290" s="299"/>
      <c r="AK290" s="298"/>
      <c r="AL290" s="299" t="str">
        <f t="shared" si="184"/>
        <v/>
      </c>
      <c r="AM290" s="169"/>
      <c r="AN290" s="169"/>
      <c r="AO290" s="169"/>
      <c r="AP290" s="169"/>
      <c r="AQ290" s="169"/>
      <c r="AR290" s="169"/>
      <c r="AS290" s="169"/>
      <c r="AT290" s="169"/>
      <c r="AU290" s="299"/>
      <c r="AV290" s="169"/>
      <c r="AW290" s="169"/>
      <c r="AX290" s="169"/>
      <c r="AY290" s="169"/>
      <c r="AZ290" s="169"/>
      <c r="BA290" s="299"/>
      <c r="BB290" s="169"/>
      <c r="BC290" s="169"/>
      <c r="BD290" s="169"/>
      <c r="BE290" s="169"/>
      <c r="BF290" s="169"/>
      <c r="BG290" s="169"/>
      <c r="BH290" s="298"/>
      <c r="BI290" s="169"/>
      <c r="BJ290" s="169"/>
      <c r="BK290" s="169"/>
      <c r="BL290" s="169"/>
      <c r="BM290" s="299"/>
      <c r="BN290" s="298"/>
      <c r="BO290" s="169"/>
      <c r="BP290" s="169"/>
      <c r="BQ290" s="169"/>
      <c r="BR290" s="169"/>
      <c r="BS290" s="169"/>
      <c r="BT290" s="169"/>
      <c r="BU290" s="169"/>
      <c r="BV290" s="299"/>
      <c r="BW290" s="298"/>
      <c r="BX290" s="169"/>
      <c r="BY290" s="169"/>
      <c r="BZ290" s="169"/>
      <c r="CA290" s="169"/>
      <c r="CB290" s="169"/>
      <c r="CC290" s="169"/>
      <c r="CD290" s="169"/>
      <c r="CE290" s="299"/>
      <c r="CF290" s="298"/>
      <c r="CG290" s="169"/>
      <c r="CH290" s="169"/>
      <c r="CI290" s="169"/>
      <c r="CJ290" s="169"/>
      <c r="CK290" s="299"/>
      <c r="CL290" s="298"/>
      <c r="CM290" s="169"/>
      <c r="CN290" s="169"/>
      <c r="CO290" s="169"/>
      <c r="CP290" s="169"/>
      <c r="CQ290" s="299"/>
      <c r="CR290" s="298"/>
      <c r="CS290" s="169" t="str">
        <f t="shared" si="183"/>
        <v/>
      </c>
      <c r="CT290" s="169" t="str">
        <f t="shared" si="183"/>
        <v/>
      </c>
      <c r="CU290" s="169" t="str">
        <f t="shared" si="183"/>
        <v/>
      </c>
      <c r="CV290" s="169" t="str">
        <f t="shared" si="183"/>
        <v/>
      </c>
      <c r="CW290" s="299" t="str">
        <f t="shared" si="183"/>
        <v/>
      </c>
      <c r="CX290" s="299" t="str">
        <f t="shared" si="185"/>
        <v/>
      </c>
      <c r="CZ290" s="11"/>
      <c r="DB290" s="145"/>
    </row>
    <row r="291" spans="2:107" x14ac:dyDescent="0.25">
      <c r="B291" s="224"/>
      <c r="C291" s="15" t="s">
        <v>804</v>
      </c>
      <c r="D291" s="45">
        <v>4</v>
      </c>
      <c r="G291" s="40"/>
      <c r="Q291" s="47"/>
      <c r="S291" s="298"/>
      <c r="T291" s="169"/>
      <c r="U291" s="169"/>
      <c r="V291" s="169"/>
      <c r="W291" s="169"/>
      <c r="X291" s="169"/>
      <c r="Y291" s="169"/>
      <c r="Z291" s="169"/>
      <c r="AA291" s="299"/>
      <c r="AB291" s="169"/>
      <c r="AC291" s="169"/>
      <c r="AD291" s="169"/>
      <c r="AE291" s="169"/>
      <c r="AF291" s="169"/>
      <c r="AG291" s="169"/>
      <c r="AH291" s="169"/>
      <c r="AI291" s="169"/>
      <c r="AJ291" s="299"/>
      <c r="AK291" s="298"/>
      <c r="AL291" s="299" t="str">
        <f t="shared" si="184"/>
        <v/>
      </c>
      <c r="AM291" s="169"/>
      <c r="AN291" s="169"/>
      <c r="AO291" s="169"/>
      <c r="AP291" s="169"/>
      <c r="AQ291" s="169"/>
      <c r="AR291" s="169"/>
      <c r="AS291" s="169"/>
      <c r="AT291" s="169"/>
      <c r="AU291" s="299"/>
      <c r="AV291" s="169"/>
      <c r="AW291" s="169"/>
      <c r="AX291" s="169"/>
      <c r="AY291" s="169"/>
      <c r="AZ291" s="169"/>
      <c r="BA291" s="299"/>
      <c r="BB291" s="169"/>
      <c r="BC291" s="169"/>
      <c r="BD291" s="169"/>
      <c r="BE291" s="169"/>
      <c r="BF291" s="169"/>
      <c r="BG291" s="169"/>
      <c r="BH291" s="298">
        <f>10*D291</f>
        <v>40</v>
      </c>
      <c r="BI291" s="169"/>
      <c r="BJ291" s="169"/>
      <c r="BK291" s="169"/>
      <c r="BL291" s="169"/>
      <c r="BM291" s="299"/>
      <c r="BN291" s="298"/>
      <c r="BO291" s="169"/>
      <c r="BP291" s="169"/>
      <c r="BQ291" s="169"/>
      <c r="BR291" s="169"/>
      <c r="BS291" s="169"/>
      <c r="BT291" s="169"/>
      <c r="BU291" s="169"/>
      <c r="BV291" s="299"/>
      <c r="BW291" s="298"/>
      <c r="BX291" s="169"/>
      <c r="BY291" s="169"/>
      <c r="BZ291" s="169"/>
      <c r="CA291" s="169"/>
      <c r="CB291" s="169"/>
      <c r="CC291" s="169"/>
      <c r="CD291" s="169"/>
      <c r="CE291" s="299"/>
      <c r="CF291" s="298"/>
      <c r="CG291" s="169"/>
      <c r="CH291" s="169"/>
      <c r="CI291" s="169"/>
      <c r="CJ291" s="169"/>
      <c r="CK291" s="299"/>
      <c r="CL291" s="298"/>
      <c r="CM291" s="169"/>
      <c r="CN291" s="169"/>
      <c r="CO291" s="169"/>
      <c r="CP291" s="169"/>
      <c r="CQ291" s="299"/>
      <c r="CR291" s="298"/>
      <c r="CS291" s="169" t="str">
        <f t="shared" si="183"/>
        <v/>
      </c>
      <c r="CT291" s="169" t="str">
        <f t="shared" si="183"/>
        <v/>
      </c>
      <c r="CU291" s="169" t="str">
        <f t="shared" si="183"/>
        <v/>
      </c>
      <c r="CV291" s="169" t="str">
        <f t="shared" si="183"/>
        <v/>
      </c>
      <c r="CW291" s="299" t="str">
        <f t="shared" si="183"/>
        <v/>
      </c>
      <c r="CX291" s="299" t="str">
        <f t="shared" si="185"/>
        <v/>
      </c>
      <c r="CZ291" s="11"/>
      <c r="DB291" s="145"/>
    </row>
    <row r="292" spans="2:107" x14ac:dyDescent="0.25">
      <c r="B292" s="224"/>
      <c r="C292" s="15" t="s">
        <v>805</v>
      </c>
      <c r="D292" s="45">
        <v>2</v>
      </c>
      <c r="G292" s="40"/>
      <c r="Q292" s="47"/>
      <c r="S292" s="298"/>
      <c r="T292" s="169"/>
      <c r="U292" s="169"/>
      <c r="V292" s="169"/>
      <c r="W292" s="169"/>
      <c r="X292" s="169"/>
      <c r="Y292" s="169"/>
      <c r="Z292" s="169"/>
      <c r="AA292" s="299"/>
      <c r="AB292" s="169"/>
      <c r="AC292" s="169"/>
      <c r="AD292" s="169"/>
      <c r="AE292" s="169"/>
      <c r="AF292" s="169"/>
      <c r="AG292" s="169"/>
      <c r="AH292" s="169"/>
      <c r="AI292" s="169"/>
      <c r="AJ292" s="299"/>
      <c r="AK292" s="298"/>
      <c r="AL292" s="299" t="str">
        <f t="shared" si="184"/>
        <v/>
      </c>
      <c r="AM292" s="169"/>
      <c r="AN292" s="169"/>
      <c r="AO292" s="169"/>
      <c r="AP292" s="169"/>
      <c r="AQ292" s="169"/>
      <c r="AR292" s="169"/>
      <c r="AS292" s="169"/>
      <c r="AT292" s="169"/>
      <c r="AU292" s="299"/>
      <c r="AV292" s="169"/>
      <c r="AW292" s="169"/>
      <c r="AX292" s="169"/>
      <c r="AY292" s="169"/>
      <c r="AZ292" s="169"/>
      <c r="BA292" s="299"/>
      <c r="BB292" s="169"/>
      <c r="BC292" s="169"/>
      <c r="BD292" s="169"/>
      <c r="BE292" s="169"/>
      <c r="BF292" s="169"/>
      <c r="BG292" s="169"/>
      <c r="BH292" s="298"/>
      <c r="BI292" s="169">
        <f>10*D292</f>
        <v>20</v>
      </c>
      <c r="BJ292" s="169"/>
      <c r="BK292" s="169"/>
      <c r="BL292" s="169"/>
      <c r="BM292" s="299"/>
      <c r="BN292" s="298"/>
      <c r="BO292" s="169"/>
      <c r="BP292" s="169"/>
      <c r="BQ292" s="169"/>
      <c r="BR292" s="169"/>
      <c r="BS292" s="169"/>
      <c r="BT292" s="169"/>
      <c r="BU292" s="169"/>
      <c r="BV292" s="299"/>
      <c r="BW292" s="298"/>
      <c r="BX292" s="169"/>
      <c r="BY292" s="169"/>
      <c r="BZ292" s="169"/>
      <c r="CA292" s="169"/>
      <c r="CB292" s="169"/>
      <c r="CC292" s="169"/>
      <c r="CD292" s="169"/>
      <c r="CE292" s="299"/>
      <c r="CF292" s="298"/>
      <c r="CG292" s="169"/>
      <c r="CH292" s="169"/>
      <c r="CI292" s="169"/>
      <c r="CJ292" s="169"/>
      <c r="CK292" s="299"/>
      <c r="CL292" s="298"/>
      <c r="CM292" s="169"/>
      <c r="CN292" s="169"/>
      <c r="CO292" s="169"/>
      <c r="CP292" s="169"/>
      <c r="CQ292" s="299"/>
      <c r="CR292" s="298"/>
      <c r="CS292" s="169" t="str">
        <f t="shared" ref="CS292:CW301" si="186">IF($P292=CS$159,$DC292,"")</f>
        <v/>
      </c>
      <c r="CT292" s="169" t="str">
        <f t="shared" si="186"/>
        <v/>
      </c>
      <c r="CU292" s="169" t="str">
        <f t="shared" si="186"/>
        <v/>
      </c>
      <c r="CV292" s="169" t="str">
        <f t="shared" si="186"/>
        <v/>
      </c>
      <c r="CW292" s="299" t="str">
        <f t="shared" si="186"/>
        <v/>
      </c>
      <c r="CX292" s="299" t="str">
        <f t="shared" si="185"/>
        <v/>
      </c>
      <c r="CZ292" s="11"/>
      <c r="DB292" s="145"/>
    </row>
    <row r="293" spans="2:107" x14ac:dyDescent="0.25">
      <c r="B293" s="224"/>
      <c r="C293" s="15" t="s">
        <v>806</v>
      </c>
      <c r="D293" s="45">
        <v>2</v>
      </c>
      <c r="G293" s="40"/>
      <c r="Q293" s="47"/>
      <c r="S293" s="298"/>
      <c r="T293" s="169"/>
      <c r="U293" s="169"/>
      <c r="V293" s="169"/>
      <c r="W293" s="169"/>
      <c r="X293" s="169"/>
      <c r="Y293" s="169"/>
      <c r="Z293" s="169"/>
      <c r="AA293" s="299"/>
      <c r="AB293" s="169"/>
      <c r="AC293" s="169"/>
      <c r="AD293" s="169"/>
      <c r="AE293" s="169"/>
      <c r="AF293" s="169"/>
      <c r="AG293" s="169"/>
      <c r="AH293" s="169"/>
      <c r="AI293" s="169"/>
      <c r="AJ293" s="299"/>
      <c r="AK293" s="298"/>
      <c r="AL293" s="299" t="str">
        <f t="shared" si="184"/>
        <v/>
      </c>
      <c r="AM293" s="169"/>
      <c r="AN293" s="169"/>
      <c r="AO293" s="169"/>
      <c r="AP293" s="169"/>
      <c r="AQ293" s="169"/>
      <c r="AR293" s="169"/>
      <c r="AS293" s="169"/>
      <c r="AT293" s="169"/>
      <c r="AU293" s="299"/>
      <c r="AV293" s="169"/>
      <c r="AW293" s="169"/>
      <c r="AX293" s="169"/>
      <c r="AY293" s="169"/>
      <c r="AZ293" s="169"/>
      <c r="BA293" s="299"/>
      <c r="BB293" s="169"/>
      <c r="BC293" s="169"/>
      <c r="BD293" s="169"/>
      <c r="BE293" s="169"/>
      <c r="BF293" s="169"/>
      <c r="BG293" s="169"/>
      <c r="BH293" s="298"/>
      <c r="BI293" s="169"/>
      <c r="BJ293" s="169">
        <f>10*D293</f>
        <v>20</v>
      </c>
      <c r="BK293" s="169"/>
      <c r="BL293" s="169"/>
      <c r="BM293" s="299"/>
      <c r="BN293" s="298"/>
      <c r="BO293" s="169"/>
      <c r="BP293" s="169"/>
      <c r="BQ293" s="169"/>
      <c r="BR293" s="169"/>
      <c r="BS293" s="169"/>
      <c r="BT293" s="169"/>
      <c r="BU293" s="169"/>
      <c r="BV293" s="299"/>
      <c r="BW293" s="298"/>
      <c r="BX293" s="169"/>
      <c r="BY293" s="169"/>
      <c r="BZ293" s="169"/>
      <c r="CA293" s="169"/>
      <c r="CB293" s="169"/>
      <c r="CC293" s="169"/>
      <c r="CD293" s="169"/>
      <c r="CE293" s="299"/>
      <c r="CF293" s="298"/>
      <c r="CG293" s="169"/>
      <c r="CH293" s="169"/>
      <c r="CI293" s="169"/>
      <c r="CJ293" s="169"/>
      <c r="CK293" s="299"/>
      <c r="CL293" s="298"/>
      <c r="CM293" s="169"/>
      <c r="CN293" s="169"/>
      <c r="CO293" s="169"/>
      <c r="CP293" s="169"/>
      <c r="CQ293" s="299"/>
      <c r="CR293" s="298"/>
      <c r="CS293" s="169" t="str">
        <f t="shared" si="186"/>
        <v/>
      </c>
      <c r="CT293" s="169" t="str">
        <f t="shared" si="186"/>
        <v/>
      </c>
      <c r="CU293" s="169" t="str">
        <f t="shared" si="186"/>
        <v/>
      </c>
      <c r="CV293" s="169" t="str">
        <f t="shared" si="186"/>
        <v/>
      </c>
      <c r="CW293" s="299" t="str">
        <f t="shared" si="186"/>
        <v/>
      </c>
      <c r="CX293" s="299" t="str">
        <f t="shared" si="185"/>
        <v/>
      </c>
      <c r="CZ293" s="11"/>
      <c r="DB293" s="145"/>
    </row>
    <row r="294" spans="2:107" x14ac:dyDescent="0.25">
      <c r="B294" s="224"/>
      <c r="C294" s="15" t="s">
        <v>826</v>
      </c>
      <c r="D294" s="45">
        <v>2</v>
      </c>
      <c r="G294" s="40"/>
      <c r="Q294" s="47"/>
      <c r="S294" s="298"/>
      <c r="T294" s="169"/>
      <c r="U294" s="169"/>
      <c r="V294" s="169"/>
      <c r="W294" s="169"/>
      <c r="X294" s="169"/>
      <c r="Y294" s="169"/>
      <c r="Z294" s="169"/>
      <c r="AA294" s="299"/>
      <c r="AB294" s="169"/>
      <c r="AC294" s="169"/>
      <c r="AD294" s="169"/>
      <c r="AE294" s="169"/>
      <c r="AF294" s="169"/>
      <c r="AG294" s="169"/>
      <c r="AH294" s="169"/>
      <c r="AI294" s="169"/>
      <c r="AJ294" s="299"/>
      <c r="AK294" s="298"/>
      <c r="AL294" s="299" t="str">
        <f t="shared" si="184"/>
        <v/>
      </c>
      <c r="AM294" s="169"/>
      <c r="AN294" s="169"/>
      <c r="AO294" s="169"/>
      <c r="AP294" s="169"/>
      <c r="AQ294" s="169"/>
      <c r="AR294" s="169"/>
      <c r="AS294" s="169"/>
      <c r="AT294" s="169"/>
      <c r="AU294" s="299"/>
      <c r="AV294" s="169"/>
      <c r="AW294" s="169"/>
      <c r="AX294" s="169"/>
      <c r="AY294" s="169"/>
      <c r="AZ294" s="169"/>
      <c r="BA294" s="299"/>
      <c r="BB294" s="169"/>
      <c r="BC294" s="169"/>
      <c r="BD294" s="169"/>
      <c r="BE294" s="169"/>
      <c r="BF294" s="169"/>
      <c r="BG294" s="169"/>
      <c r="BH294" s="298"/>
      <c r="BI294" s="169"/>
      <c r="BJ294" s="169"/>
      <c r="BK294" s="169"/>
      <c r="BL294" s="169"/>
      <c r="BM294" s="299"/>
      <c r="BN294" s="298"/>
      <c r="BO294" s="169"/>
      <c r="BP294" s="169"/>
      <c r="BQ294" s="169"/>
      <c r="BR294" s="169"/>
      <c r="BS294" s="169"/>
      <c r="BT294" s="169"/>
      <c r="BU294" s="169"/>
      <c r="BV294" s="299"/>
      <c r="BW294" s="298"/>
      <c r="BX294" s="169"/>
      <c r="BY294" s="169"/>
      <c r="BZ294" s="169"/>
      <c r="CA294" s="169"/>
      <c r="CB294" s="169"/>
      <c r="CC294" s="169"/>
      <c r="CD294" s="169"/>
      <c r="CE294" s="299"/>
      <c r="CF294" s="298"/>
      <c r="CG294" s="169"/>
      <c r="CH294" s="169"/>
      <c r="CI294" s="169"/>
      <c r="CJ294" s="169"/>
      <c r="CK294" s="299"/>
      <c r="CL294" s="298"/>
      <c r="CM294" s="169"/>
      <c r="CN294" s="169"/>
      <c r="CO294" s="169"/>
      <c r="CP294" s="169"/>
      <c r="CQ294" s="299"/>
      <c r="CR294" s="298"/>
      <c r="CS294" s="169" t="str">
        <f t="shared" si="186"/>
        <v/>
      </c>
      <c r="CT294" s="169" t="str">
        <f t="shared" si="186"/>
        <v/>
      </c>
      <c r="CU294" s="169" t="str">
        <f t="shared" si="186"/>
        <v/>
      </c>
      <c r="CV294" s="169" t="str">
        <f t="shared" si="186"/>
        <v/>
      </c>
      <c r="CW294" s="299" t="str">
        <f t="shared" si="186"/>
        <v/>
      </c>
      <c r="CX294" s="299">
        <f>18*D294</f>
        <v>36</v>
      </c>
      <c r="CZ294" s="11"/>
      <c r="DB294" s="145"/>
    </row>
    <row r="295" spans="2:107" x14ac:dyDescent="0.25">
      <c r="B295" s="224"/>
      <c r="C295" s="15" t="s">
        <v>862</v>
      </c>
      <c r="D295" s="45"/>
      <c r="G295" s="40"/>
      <c r="Q295" s="47"/>
      <c r="S295" s="298">
        <v>11</v>
      </c>
      <c r="T295" s="169"/>
      <c r="U295" s="169"/>
      <c r="V295" s="169"/>
      <c r="W295" s="169"/>
      <c r="X295" s="169"/>
      <c r="Y295" s="169"/>
      <c r="Z295" s="169"/>
      <c r="AA295" s="299"/>
      <c r="AB295" s="169">
        <v>11</v>
      </c>
      <c r="AC295" s="169"/>
      <c r="AD295" s="169"/>
      <c r="AE295" s="169"/>
      <c r="AF295" s="169"/>
      <c r="AG295" s="169"/>
      <c r="AH295" s="169"/>
      <c r="AI295" s="169"/>
      <c r="AJ295" s="299"/>
      <c r="AK295" s="298"/>
      <c r="AL295" s="299" t="str">
        <f t="shared" si="184"/>
        <v/>
      </c>
      <c r="AM295" s="169"/>
      <c r="AN295" s="169"/>
      <c r="AO295" s="169"/>
      <c r="AP295" s="169"/>
      <c r="AQ295" s="169"/>
      <c r="AR295" s="169"/>
      <c r="AS295" s="169"/>
      <c r="AT295" s="169"/>
      <c r="AU295" s="299"/>
      <c r="AV295" s="169"/>
      <c r="AW295" s="169"/>
      <c r="AX295" s="169"/>
      <c r="AY295" s="169"/>
      <c r="AZ295" s="169"/>
      <c r="BA295" s="299"/>
      <c r="BB295" s="169"/>
      <c r="BC295" s="169"/>
      <c r="BD295" s="169"/>
      <c r="BE295" s="169"/>
      <c r="BF295" s="169"/>
      <c r="BG295" s="169"/>
      <c r="BH295" s="298"/>
      <c r="BI295" s="169"/>
      <c r="BJ295" s="169"/>
      <c r="BK295" s="169"/>
      <c r="BL295" s="169"/>
      <c r="BM295" s="299"/>
      <c r="BN295" s="298"/>
      <c r="BO295" s="169"/>
      <c r="BP295" s="169"/>
      <c r="BQ295" s="169"/>
      <c r="BR295" s="169"/>
      <c r="BS295" s="169"/>
      <c r="BT295" s="169"/>
      <c r="BU295" s="169"/>
      <c r="BV295" s="299"/>
      <c r="BW295" s="298"/>
      <c r="BX295" s="169"/>
      <c r="BY295" s="169"/>
      <c r="BZ295" s="169"/>
      <c r="CA295" s="169"/>
      <c r="CB295" s="169"/>
      <c r="CC295" s="169"/>
      <c r="CD295" s="169"/>
      <c r="CE295" s="299"/>
      <c r="CF295" s="298"/>
      <c r="CG295" s="169"/>
      <c r="CH295" s="169"/>
      <c r="CI295" s="169"/>
      <c r="CJ295" s="169"/>
      <c r="CK295" s="299"/>
      <c r="CL295" s="298"/>
      <c r="CM295" s="169"/>
      <c r="CN295" s="169"/>
      <c r="CO295" s="169"/>
      <c r="CP295" s="169"/>
      <c r="CQ295" s="299"/>
      <c r="CR295" s="298"/>
      <c r="CS295" s="169" t="str">
        <f t="shared" si="186"/>
        <v/>
      </c>
      <c r="CT295" s="169" t="str">
        <f t="shared" si="186"/>
        <v/>
      </c>
      <c r="CU295" s="169" t="str">
        <f t="shared" si="186"/>
        <v/>
      </c>
      <c r="CV295" s="169" t="str">
        <f t="shared" si="186"/>
        <v/>
      </c>
      <c r="CW295" s="299" t="str">
        <f t="shared" si="186"/>
        <v/>
      </c>
      <c r="CX295" s="299" t="str">
        <f t="shared" ref="CX295:CX301" si="187">IF($P295=CX$159,$DC295,"")</f>
        <v/>
      </c>
      <c r="CZ295" s="11"/>
      <c r="DB295" s="145"/>
    </row>
    <row r="296" spans="2:107" x14ac:dyDescent="0.25">
      <c r="B296" s="224"/>
      <c r="C296" s="10"/>
      <c r="D296" s="45"/>
      <c r="G296" s="40"/>
      <c r="Q296" s="47"/>
      <c r="S296" s="298"/>
      <c r="T296" s="169"/>
      <c r="U296" s="169"/>
      <c r="V296" s="169"/>
      <c r="W296" s="169"/>
      <c r="X296" s="169"/>
      <c r="Y296" s="169"/>
      <c r="Z296" s="169"/>
      <c r="AA296" s="299"/>
      <c r="AB296" s="169"/>
      <c r="AC296" s="169"/>
      <c r="AD296" s="169"/>
      <c r="AE296" s="169"/>
      <c r="AF296" s="169"/>
      <c r="AG296" s="169"/>
      <c r="AH296" s="169"/>
      <c r="AI296" s="169"/>
      <c r="AJ296" s="299"/>
      <c r="AK296" s="298"/>
      <c r="AL296" s="299" t="str">
        <f t="shared" si="184"/>
        <v/>
      </c>
      <c r="AM296" s="169"/>
      <c r="AN296" s="169"/>
      <c r="AO296" s="169"/>
      <c r="AP296" s="169"/>
      <c r="AQ296" s="169"/>
      <c r="AR296" s="169"/>
      <c r="AS296" s="169"/>
      <c r="AT296" s="169"/>
      <c r="AU296" s="299"/>
      <c r="AV296" s="169"/>
      <c r="AW296" s="169"/>
      <c r="AX296" s="169"/>
      <c r="AY296" s="169"/>
      <c r="AZ296" s="169"/>
      <c r="BA296" s="299"/>
      <c r="BB296" s="169"/>
      <c r="BC296" s="169"/>
      <c r="BD296" s="169"/>
      <c r="BE296" s="169"/>
      <c r="BF296" s="169"/>
      <c r="BG296" s="169"/>
      <c r="BH296" s="298"/>
      <c r="BI296" s="169"/>
      <c r="BJ296" s="169"/>
      <c r="BK296" s="169"/>
      <c r="BL296" s="169"/>
      <c r="BM296" s="299"/>
      <c r="BN296" s="298"/>
      <c r="BO296" s="169"/>
      <c r="BP296" s="169"/>
      <c r="BQ296" s="169"/>
      <c r="BR296" s="169"/>
      <c r="BS296" s="169"/>
      <c r="BT296" s="169"/>
      <c r="BU296" s="169"/>
      <c r="BV296" s="299"/>
      <c r="BW296" s="298"/>
      <c r="BX296" s="169"/>
      <c r="BY296" s="169"/>
      <c r="BZ296" s="169"/>
      <c r="CA296" s="169"/>
      <c r="CB296" s="169"/>
      <c r="CC296" s="169"/>
      <c r="CD296" s="169"/>
      <c r="CE296" s="299"/>
      <c r="CF296" s="298"/>
      <c r="CG296" s="169"/>
      <c r="CH296" s="169"/>
      <c r="CI296" s="169"/>
      <c r="CJ296" s="169"/>
      <c r="CK296" s="299"/>
      <c r="CL296" s="298"/>
      <c r="CM296" s="169"/>
      <c r="CN296" s="169"/>
      <c r="CO296" s="169"/>
      <c r="CP296" s="169"/>
      <c r="CQ296" s="299"/>
      <c r="CR296" s="298"/>
      <c r="CS296" s="169" t="str">
        <f t="shared" si="186"/>
        <v/>
      </c>
      <c r="CT296" s="169" t="str">
        <f t="shared" si="186"/>
        <v/>
      </c>
      <c r="CU296" s="169" t="str">
        <f t="shared" si="186"/>
        <v/>
      </c>
      <c r="CV296" s="169" t="str">
        <f t="shared" si="186"/>
        <v/>
      </c>
      <c r="CW296" s="299" t="str">
        <f t="shared" si="186"/>
        <v/>
      </c>
      <c r="CX296" s="299" t="str">
        <f t="shared" si="187"/>
        <v/>
      </c>
      <c r="CZ296" s="11"/>
      <c r="DB296" s="145"/>
    </row>
    <row r="297" spans="2:107" x14ac:dyDescent="0.25">
      <c r="B297" s="224"/>
      <c r="C297" s="10"/>
      <c r="D297" s="45"/>
      <c r="G297" s="40"/>
      <c r="Q297" s="47"/>
      <c r="S297" s="298"/>
      <c r="T297" s="169"/>
      <c r="U297" s="169"/>
      <c r="V297" s="169"/>
      <c r="W297" s="169"/>
      <c r="X297" s="169"/>
      <c r="Y297" s="169"/>
      <c r="Z297" s="169"/>
      <c r="AA297" s="299"/>
      <c r="AB297" s="169"/>
      <c r="AC297" s="169"/>
      <c r="AD297" s="169"/>
      <c r="AE297" s="169"/>
      <c r="AF297" s="169"/>
      <c r="AG297" s="169"/>
      <c r="AH297" s="169"/>
      <c r="AI297" s="169"/>
      <c r="AJ297" s="299"/>
      <c r="AK297" s="298"/>
      <c r="AL297" s="299" t="str">
        <f t="shared" si="184"/>
        <v/>
      </c>
      <c r="AM297" s="169"/>
      <c r="AN297" s="169"/>
      <c r="AO297" s="169"/>
      <c r="AP297" s="169"/>
      <c r="AQ297" s="169"/>
      <c r="AR297" s="169"/>
      <c r="AS297" s="169"/>
      <c r="AT297" s="169"/>
      <c r="AU297" s="299"/>
      <c r="AV297" s="169"/>
      <c r="AW297" s="169"/>
      <c r="AX297" s="169"/>
      <c r="AY297" s="169"/>
      <c r="AZ297" s="169"/>
      <c r="BA297" s="299"/>
      <c r="BB297" s="169"/>
      <c r="BC297" s="169"/>
      <c r="BD297" s="169"/>
      <c r="BE297" s="169"/>
      <c r="BF297" s="169"/>
      <c r="BG297" s="169"/>
      <c r="BH297" s="298"/>
      <c r="BI297" s="169"/>
      <c r="BJ297" s="169"/>
      <c r="BK297" s="169"/>
      <c r="BL297" s="169"/>
      <c r="BM297" s="299"/>
      <c r="BN297" s="298"/>
      <c r="BO297" s="169"/>
      <c r="BP297" s="169"/>
      <c r="BQ297" s="169"/>
      <c r="BR297" s="169"/>
      <c r="BS297" s="169"/>
      <c r="BT297" s="169"/>
      <c r="BU297" s="169"/>
      <c r="BV297" s="299"/>
      <c r="BW297" s="298"/>
      <c r="BX297" s="169"/>
      <c r="BY297" s="169"/>
      <c r="BZ297" s="169"/>
      <c r="CA297" s="169"/>
      <c r="CB297" s="169"/>
      <c r="CC297" s="169"/>
      <c r="CD297" s="169"/>
      <c r="CE297" s="299"/>
      <c r="CF297" s="298"/>
      <c r="CG297" s="169"/>
      <c r="CH297" s="169"/>
      <c r="CI297" s="169"/>
      <c r="CJ297" s="169"/>
      <c r="CK297" s="299"/>
      <c r="CL297" s="298"/>
      <c r="CM297" s="169"/>
      <c r="CN297" s="169"/>
      <c r="CO297" s="169"/>
      <c r="CP297" s="169"/>
      <c r="CQ297" s="299"/>
      <c r="CR297" s="298"/>
      <c r="CS297" s="169" t="str">
        <f t="shared" si="186"/>
        <v/>
      </c>
      <c r="CT297" s="169" t="str">
        <f t="shared" si="186"/>
        <v/>
      </c>
      <c r="CU297" s="169" t="str">
        <f t="shared" si="186"/>
        <v/>
      </c>
      <c r="CV297" s="169" t="str">
        <f t="shared" si="186"/>
        <v/>
      </c>
      <c r="CW297" s="299" t="str">
        <f t="shared" si="186"/>
        <v/>
      </c>
      <c r="CX297" s="299" t="str">
        <f t="shared" si="187"/>
        <v/>
      </c>
      <c r="CZ297" s="11"/>
      <c r="DB297" s="145"/>
    </row>
    <row r="298" spans="2:107" x14ac:dyDescent="0.25">
      <c r="B298" s="224"/>
      <c r="C298" s="10"/>
      <c r="D298" s="45"/>
      <c r="G298" s="40"/>
      <c r="Q298" s="47"/>
      <c r="S298" s="298"/>
      <c r="T298" s="169"/>
      <c r="U298" s="169"/>
      <c r="V298" s="169"/>
      <c r="W298" s="169"/>
      <c r="X298" s="169"/>
      <c r="Y298" s="169"/>
      <c r="Z298" s="169"/>
      <c r="AA298" s="299"/>
      <c r="AB298" s="169"/>
      <c r="AC298" s="169"/>
      <c r="AD298" s="169"/>
      <c r="AE298" s="169"/>
      <c r="AF298" s="169"/>
      <c r="AG298" s="169"/>
      <c r="AH298" s="169"/>
      <c r="AI298" s="169"/>
      <c r="AJ298" s="299"/>
      <c r="AK298" s="298"/>
      <c r="AL298" s="299" t="str">
        <f t="shared" si="184"/>
        <v/>
      </c>
      <c r="AM298" s="169"/>
      <c r="AN298" s="169"/>
      <c r="AO298" s="169"/>
      <c r="AP298" s="169"/>
      <c r="AQ298" s="169"/>
      <c r="AR298" s="169"/>
      <c r="AS298" s="169"/>
      <c r="AT298" s="169"/>
      <c r="AU298" s="299"/>
      <c r="AV298" s="169"/>
      <c r="AW298" s="169"/>
      <c r="AX298" s="169"/>
      <c r="AY298" s="169"/>
      <c r="AZ298" s="169"/>
      <c r="BA298" s="299"/>
      <c r="BB298" s="169"/>
      <c r="BC298" s="169"/>
      <c r="BD298" s="169"/>
      <c r="BE298" s="169"/>
      <c r="BF298" s="169"/>
      <c r="BG298" s="169"/>
      <c r="BH298" s="298"/>
      <c r="BI298" s="169"/>
      <c r="BJ298" s="169" t="s">
        <v>145</v>
      </c>
      <c r="BK298" s="169"/>
      <c r="BL298" s="169"/>
      <c r="BM298" s="299"/>
      <c r="BN298" s="298"/>
      <c r="BO298" s="169"/>
      <c r="BP298" s="169"/>
      <c r="BQ298" s="169"/>
      <c r="BR298" s="169"/>
      <c r="BS298" s="169"/>
      <c r="BT298" s="169"/>
      <c r="BU298" s="169"/>
      <c r="BV298" s="299"/>
      <c r="BW298" s="298"/>
      <c r="BX298" s="169"/>
      <c r="BY298" s="169"/>
      <c r="BZ298" s="169"/>
      <c r="CA298" s="169"/>
      <c r="CB298" s="169"/>
      <c r="CC298" s="169"/>
      <c r="CD298" s="169"/>
      <c r="CE298" s="299"/>
      <c r="CF298" s="298"/>
      <c r="CG298" s="169"/>
      <c r="CH298" s="169"/>
      <c r="CI298" s="169"/>
      <c r="CJ298" s="169"/>
      <c r="CK298" s="299"/>
      <c r="CL298" s="298"/>
      <c r="CM298" s="169"/>
      <c r="CN298" s="169"/>
      <c r="CO298" s="169"/>
      <c r="CP298" s="169"/>
      <c r="CQ298" s="299"/>
      <c r="CR298" s="298"/>
      <c r="CS298" s="169" t="str">
        <f t="shared" si="186"/>
        <v/>
      </c>
      <c r="CT298" s="169" t="str">
        <f t="shared" si="186"/>
        <v/>
      </c>
      <c r="CU298" s="169" t="str">
        <f t="shared" si="186"/>
        <v/>
      </c>
      <c r="CV298" s="169" t="str">
        <f t="shared" si="186"/>
        <v/>
      </c>
      <c r="CW298" s="299" t="str">
        <f t="shared" si="186"/>
        <v/>
      </c>
      <c r="CX298" s="299" t="str">
        <f t="shared" si="187"/>
        <v/>
      </c>
      <c r="CZ298" s="11"/>
      <c r="DB298" s="145"/>
    </row>
    <row r="299" spans="2:107" x14ac:dyDescent="0.25">
      <c r="B299" s="224"/>
      <c r="C299" s="10"/>
      <c r="D299" s="45"/>
      <c r="G299" s="40"/>
      <c r="Q299" s="47"/>
      <c r="S299" s="298"/>
      <c r="T299" s="169"/>
      <c r="U299" s="169"/>
      <c r="V299" s="169"/>
      <c r="W299" s="169"/>
      <c r="X299" s="169"/>
      <c r="Y299" s="169"/>
      <c r="Z299" s="169"/>
      <c r="AA299" s="299"/>
      <c r="AB299" s="169"/>
      <c r="AC299" s="169"/>
      <c r="AD299" s="169"/>
      <c r="AE299" s="169"/>
      <c r="AF299" s="169"/>
      <c r="AG299" s="169"/>
      <c r="AH299" s="169"/>
      <c r="AI299" s="169"/>
      <c r="AJ299" s="299"/>
      <c r="AK299" s="298"/>
      <c r="AL299" s="299" t="str">
        <f t="shared" si="184"/>
        <v/>
      </c>
      <c r="AM299" s="169"/>
      <c r="AN299" s="169"/>
      <c r="AO299" s="169"/>
      <c r="AP299" s="169"/>
      <c r="AQ299" s="169"/>
      <c r="AR299" s="169"/>
      <c r="AS299" s="169"/>
      <c r="AT299" s="169"/>
      <c r="AU299" s="299"/>
      <c r="AV299" s="169"/>
      <c r="AW299" s="169"/>
      <c r="AX299" s="169"/>
      <c r="AY299" s="169"/>
      <c r="AZ299" s="169"/>
      <c r="BA299" s="299"/>
      <c r="BB299" s="169"/>
      <c r="BC299" s="169"/>
      <c r="BD299" s="169"/>
      <c r="BE299" s="169"/>
      <c r="BF299" s="169"/>
      <c r="BG299" s="169"/>
      <c r="BH299" s="298"/>
      <c r="BI299" s="169"/>
      <c r="BJ299" s="169"/>
      <c r="BK299" s="169"/>
      <c r="BL299" s="169"/>
      <c r="BM299" s="299"/>
      <c r="BN299" s="298"/>
      <c r="BO299" s="169"/>
      <c r="BP299" s="169"/>
      <c r="BQ299" s="169"/>
      <c r="BR299" s="169"/>
      <c r="BS299" s="169"/>
      <c r="BT299" s="169"/>
      <c r="BU299" s="169"/>
      <c r="BV299" s="299"/>
      <c r="BW299" s="298"/>
      <c r="BX299" s="169"/>
      <c r="BY299" s="169"/>
      <c r="BZ299" s="169"/>
      <c r="CA299" s="169"/>
      <c r="CB299" s="169"/>
      <c r="CC299" s="169"/>
      <c r="CD299" s="169"/>
      <c r="CE299" s="299"/>
      <c r="CF299" s="298"/>
      <c r="CG299" s="169"/>
      <c r="CH299" s="169"/>
      <c r="CI299" s="169"/>
      <c r="CJ299" s="169"/>
      <c r="CK299" s="299"/>
      <c r="CL299" s="298"/>
      <c r="CM299" s="169"/>
      <c r="CN299" s="169"/>
      <c r="CO299" s="169"/>
      <c r="CP299" s="169"/>
      <c r="CQ299" s="299"/>
      <c r="CR299" s="298"/>
      <c r="CS299" s="169" t="str">
        <f t="shared" si="186"/>
        <v/>
      </c>
      <c r="CT299" s="169" t="str">
        <f t="shared" si="186"/>
        <v/>
      </c>
      <c r="CU299" s="169" t="str">
        <f t="shared" si="186"/>
        <v/>
      </c>
      <c r="CV299" s="169" t="str">
        <f t="shared" si="186"/>
        <v/>
      </c>
      <c r="CW299" s="299" t="str">
        <f t="shared" si="186"/>
        <v/>
      </c>
      <c r="CX299" s="299" t="str">
        <f t="shared" si="187"/>
        <v/>
      </c>
      <c r="CZ299" s="11"/>
      <c r="DB299" s="145"/>
    </row>
    <row r="300" spans="2:107" x14ac:dyDescent="0.25">
      <c r="B300" s="224"/>
      <c r="C300" s="10"/>
      <c r="D300" s="45"/>
      <c r="G300" s="40"/>
      <c r="Q300" s="47"/>
      <c r="S300" s="298"/>
      <c r="T300" s="169"/>
      <c r="U300" s="169"/>
      <c r="V300" s="169"/>
      <c r="W300" s="169"/>
      <c r="X300" s="169"/>
      <c r="Y300" s="169"/>
      <c r="Z300" s="169"/>
      <c r="AA300" s="299"/>
      <c r="AB300" s="169"/>
      <c r="AC300" s="169"/>
      <c r="AD300" s="169"/>
      <c r="AE300" s="169"/>
      <c r="AF300" s="169"/>
      <c r="AG300" s="169"/>
      <c r="AH300" s="169"/>
      <c r="AI300" s="169"/>
      <c r="AJ300" s="299"/>
      <c r="AK300" s="298"/>
      <c r="AL300" s="299" t="str">
        <f t="shared" si="184"/>
        <v/>
      </c>
      <c r="AM300" s="169"/>
      <c r="AN300" s="169"/>
      <c r="AO300" s="169"/>
      <c r="AP300" s="169"/>
      <c r="AQ300" s="169"/>
      <c r="AR300" s="169"/>
      <c r="AS300" s="169"/>
      <c r="AT300" s="169"/>
      <c r="AU300" s="299"/>
      <c r="AV300" s="169"/>
      <c r="AW300" s="169"/>
      <c r="AX300" s="169"/>
      <c r="AY300" s="169"/>
      <c r="AZ300" s="169"/>
      <c r="BA300" s="299"/>
      <c r="BB300" s="169"/>
      <c r="BC300" s="169"/>
      <c r="BD300" s="169"/>
      <c r="BE300" s="169"/>
      <c r="BF300" s="169"/>
      <c r="BG300" s="169"/>
      <c r="BH300" s="298"/>
      <c r="BI300" s="169"/>
      <c r="BJ300" s="169"/>
      <c r="BK300" s="169"/>
      <c r="BL300" s="169"/>
      <c r="BM300" s="299"/>
      <c r="BN300" s="298"/>
      <c r="BO300" s="169"/>
      <c r="BP300" s="169"/>
      <c r="BQ300" s="169"/>
      <c r="BR300" s="169"/>
      <c r="BS300" s="169"/>
      <c r="BT300" s="169"/>
      <c r="BU300" s="169"/>
      <c r="BV300" s="299"/>
      <c r="BW300" s="298"/>
      <c r="BX300" s="169"/>
      <c r="BY300" s="169"/>
      <c r="BZ300" s="169"/>
      <c r="CA300" s="169"/>
      <c r="CB300" s="169"/>
      <c r="CC300" s="169"/>
      <c r="CD300" s="169"/>
      <c r="CE300" s="299"/>
      <c r="CF300" s="298"/>
      <c r="CG300" s="169"/>
      <c r="CH300" s="169"/>
      <c r="CI300" s="169"/>
      <c r="CJ300" s="169"/>
      <c r="CK300" s="299"/>
      <c r="CL300" s="298"/>
      <c r="CM300" s="169"/>
      <c r="CN300" s="169"/>
      <c r="CO300" s="169"/>
      <c r="CP300" s="169"/>
      <c r="CQ300" s="299"/>
      <c r="CR300" s="298"/>
      <c r="CS300" s="169" t="str">
        <f t="shared" si="186"/>
        <v/>
      </c>
      <c r="CT300" s="169" t="str">
        <f t="shared" si="186"/>
        <v/>
      </c>
      <c r="CU300" s="169" t="str">
        <f t="shared" si="186"/>
        <v/>
      </c>
      <c r="CV300" s="169" t="str">
        <f t="shared" si="186"/>
        <v/>
      </c>
      <c r="CW300" s="299" t="str">
        <f t="shared" si="186"/>
        <v/>
      </c>
      <c r="CX300" s="299" t="str">
        <f t="shared" si="187"/>
        <v/>
      </c>
      <c r="CZ300" s="11"/>
      <c r="DB300" s="145"/>
    </row>
    <row r="301" spans="2:107" x14ac:dyDescent="0.25">
      <c r="B301" s="48"/>
      <c r="D301" s="45"/>
      <c r="G301" s="40"/>
      <c r="O301" s="107"/>
      <c r="P301" s="107"/>
      <c r="Q301" s="47"/>
      <c r="S301" s="298"/>
      <c r="T301" s="169"/>
      <c r="U301" s="169"/>
      <c r="V301" s="169"/>
      <c r="W301" s="169"/>
      <c r="X301" s="169"/>
      <c r="Y301" s="169"/>
      <c r="Z301" s="169"/>
      <c r="AA301" s="299"/>
      <c r="AB301" s="169"/>
      <c r="AC301" s="169"/>
      <c r="AD301" s="169"/>
      <c r="AE301" s="169"/>
      <c r="AF301" s="169"/>
      <c r="AG301" s="169"/>
      <c r="AH301" s="169"/>
      <c r="AI301" s="169"/>
      <c r="AJ301" s="299"/>
      <c r="AK301" s="298"/>
      <c r="AL301" s="299" t="str">
        <f t="shared" si="184"/>
        <v/>
      </c>
      <c r="AM301" s="169"/>
      <c r="AN301" s="169"/>
      <c r="AO301" s="169"/>
      <c r="AP301" s="169"/>
      <c r="AQ301" s="169"/>
      <c r="AR301" s="169"/>
      <c r="AS301" s="169"/>
      <c r="AT301" s="169"/>
      <c r="AU301" s="299"/>
      <c r="AV301" s="169"/>
      <c r="AW301" s="169"/>
      <c r="AX301" s="169"/>
      <c r="AY301" s="169"/>
      <c r="AZ301" s="169"/>
      <c r="BA301" s="299"/>
      <c r="BB301" s="169"/>
      <c r="BC301" s="169"/>
      <c r="BD301" s="169"/>
      <c r="BE301" s="169"/>
      <c r="BF301" s="169"/>
      <c r="BG301" s="169"/>
      <c r="BH301" s="298"/>
      <c r="BI301" s="169"/>
      <c r="BJ301" s="169"/>
      <c r="BK301" s="169"/>
      <c r="BL301" s="169"/>
      <c r="BM301" s="299"/>
      <c r="BN301" s="298"/>
      <c r="BO301" s="169"/>
      <c r="BP301" s="169"/>
      <c r="BQ301" s="169"/>
      <c r="BR301" s="169"/>
      <c r="BS301" s="169"/>
      <c r="BT301" s="169"/>
      <c r="BU301" s="169"/>
      <c r="BV301" s="299"/>
      <c r="BW301" s="298"/>
      <c r="BX301" s="169"/>
      <c r="BY301" s="169"/>
      <c r="BZ301" s="169"/>
      <c r="CA301" s="169"/>
      <c r="CB301" s="169"/>
      <c r="CC301" s="169"/>
      <c r="CD301" s="169"/>
      <c r="CE301" s="299"/>
      <c r="CF301" s="298"/>
      <c r="CG301" s="169"/>
      <c r="CH301" s="169"/>
      <c r="CI301" s="169"/>
      <c r="CJ301" s="169"/>
      <c r="CK301" s="299"/>
      <c r="CL301" s="298"/>
      <c r="CM301" s="169"/>
      <c r="CN301" s="169"/>
      <c r="CO301" s="169"/>
      <c r="CP301" s="169"/>
      <c r="CQ301" s="299"/>
      <c r="CR301" s="298"/>
      <c r="CS301" s="169" t="str">
        <f t="shared" si="186"/>
        <v/>
      </c>
      <c r="CT301" s="169" t="str">
        <f t="shared" si="186"/>
        <v/>
      </c>
      <c r="CU301" s="169" t="str">
        <f t="shared" si="186"/>
        <v/>
      </c>
      <c r="CV301" s="169" t="str">
        <f t="shared" si="186"/>
        <v/>
      </c>
      <c r="CW301" s="299" t="str">
        <f t="shared" si="186"/>
        <v/>
      </c>
      <c r="CX301" s="299" t="str">
        <f t="shared" si="187"/>
        <v/>
      </c>
      <c r="CZ301" s="10"/>
      <c r="DB301" s="145"/>
    </row>
    <row r="302" spans="2:107" x14ac:dyDescent="0.25">
      <c r="B302" s="35" t="s">
        <v>37</v>
      </c>
      <c r="C302" s="39"/>
      <c r="D302" s="36"/>
      <c r="G302" s="351"/>
      <c r="H302" s="352"/>
      <c r="I302" s="352"/>
      <c r="J302" s="352"/>
      <c r="K302" s="352"/>
      <c r="L302" s="352"/>
      <c r="M302" s="352"/>
      <c r="N302" s="352"/>
      <c r="O302" s="352"/>
      <c r="P302" s="352"/>
      <c r="Q302" s="353"/>
      <c r="S302" s="128">
        <f t="shared" ref="S302:AX302" si="188">SUM(S162:S301)</f>
        <v>165</v>
      </c>
      <c r="T302" s="128">
        <f t="shared" si="188"/>
        <v>65.3</v>
      </c>
      <c r="U302" s="128">
        <f t="shared" si="188"/>
        <v>55.1</v>
      </c>
      <c r="V302" s="128">
        <f t="shared" si="188"/>
        <v>12</v>
      </c>
      <c r="W302" s="128">
        <f t="shared" si="188"/>
        <v>24.3</v>
      </c>
      <c r="X302" s="128">
        <f t="shared" si="188"/>
        <v>40.9</v>
      </c>
      <c r="Y302" s="128">
        <f t="shared" si="188"/>
        <v>0</v>
      </c>
      <c r="Z302" s="128">
        <f t="shared" si="188"/>
        <v>0</v>
      </c>
      <c r="AA302" s="128">
        <f t="shared" si="188"/>
        <v>0</v>
      </c>
      <c r="AB302" s="128">
        <f t="shared" si="188"/>
        <v>121</v>
      </c>
      <c r="AC302" s="128">
        <f t="shared" si="188"/>
        <v>35.6</v>
      </c>
      <c r="AD302" s="128">
        <f t="shared" si="188"/>
        <v>20.8</v>
      </c>
      <c r="AE302" s="128">
        <f t="shared" si="188"/>
        <v>91.7</v>
      </c>
      <c r="AF302" s="128">
        <f t="shared" si="188"/>
        <v>0</v>
      </c>
      <c r="AG302" s="128">
        <f t="shared" si="188"/>
        <v>0</v>
      </c>
      <c r="AH302" s="128">
        <f t="shared" si="188"/>
        <v>0</v>
      </c>
      <c r="AI302" s="128">
        <f t="shared" si="188"/>
        <v>0</v>
      </c>
      <c r="AJ302" s="128">
        <f t="shared" si="188"/>
        <v>0</v>
      </c>
      <c r="AK302" s="128">
        <f t="shared" si="188"/>
        <v>11</v>
      </c>
      <c r="AL302" s="128">
        <f t="shared" si="188"/>
        <v>35.1</v>
      </c>
      <c r="AM302" s="128">
        <f t="shared" si="188"/>
        <v>110</v>
      </c>
      <c r="AN302" s="128">
        <f t="shared" si="188"/>
        <v>44.8</v>
      </c>
      <c r="AO302" s="128">
        <f t="shared" si="188"/>
        <v>24.6</v>
      </c>
      <c r="AP302" s="128">
        <f t="shared" si="188"/>
        <v>0</v>
      </c>
      <c r="AQ302" s="128">
        <f t="shared" si="188"/>
        <v>0</v>
      </c>
      <c r="AR302" s="128">
        <f t="shared" si="188"/>
        <v>0</v>
      </c>
      <c r="AS302" s="128">
        <f t="shared" si="188"/>
        <v>0</v>
      </c>
      <c r="AT302" s="128">
        <f t="shared" si="188"/>
        <v>0</v>
      </c>
      <c r="AU302" s="128">
        <f t="shared" si="188"/>
        <v>0</v>
      </c>
      <c r="AV302" s="128">
        <f t="shared" si="188"/>
        <v>0</v>
      </c>
      <c r="AW302" s="128">
        <f t="shared" si="188"/>
        <v>0</v>
      </c>
      <c r="AX302" s="128">
        <f t="shared" si="188"/>
        <v>0</v>
      </c>
      <c r="AY302" s="128">
        <f t="shared" ref="AY302:CD302" si="189">SUM(AY162:AY301)</f>
        <v>0</v>
      </c>
      <c r="AZ302" s="128">
        <f t="shared" si="189"/>
        <v>0</v>
      </c>
      <c r="BA302" s="128">
        <f t="shared" si="189"/>
        <v>0</v>
      </c>
      <c r="BB302" s="534">
        <f t="shared" si="189"/>
        <v>0</v>
      </c>
      <c r="BC302" s="128">
        <f t="shared" si="189"/>
        <v>9</v>
      </c>
      <c r="BD302" s="128">
        <f t="shared" si="189"/>
        <v>3</v>
      </c>
      <c r="BE302" s="128">
        <f t="shared" si="189"/>
        <v>0</v>
      </c>
      <c r="BF302" s="128">
        <f t="shared" si="189"/>
        <v>0</v>
      </c>
      <c r="BG302" s="128">
        <f t="shared" si="189"/>
        <v>0</v>
      </c>
      <c r="BH302" s="128">
        <f t="shared" si="189"/>
        <v>40</v>
      </c>
      <c r="BI302" s="128">
        <f t="shared" si="189"/>
        <v>42</v>
      </c>
      <c r="BJ302" s="128">
        <f t="shared" si="189"/>
        <v>33.5</v>
      </c>
      <c r="BK302" s="128">
        <f t="shared" si="189"/>
        <v>29.8</v>
      </c>
      <c r="BL302" s="128">
        <f t="shared" si="189"/>
        <v>0</v>
      </c>
      <c r="BM302" s="128">
        <f t="shared" si="189"/>
        <v>0</v>
      </c>
      <c r="BN302" s="128">
        <f t="shared" si="189"/>
        <v>0</v>
      </c>
      <c r="BO302" s="128">
        <f t="shared" si="189"/>
        <v>0</v>
      </c>
      <c r="BP302" s="128">
        <f t="shared" si="189"/>
        <v>2.2999999999999998</v>
      </c>
      <c r="BQ302" s="128">
        <f t="shared" si="189"/>
        <v>47.5</v>
      </c>
      <c r="BR302" s="128">
        <f t="shared" si="189"/>
        <v>12.6</v>
      </c>
      <c r="BS302" s="128">
        <f t="shared" si="189"/>
        <v>25.6</v>
      </c>
      <c r="BT302" s="128">
        <f t="shared" si="189"/>
        <v>0</v>
      </c>
      <c r="BU302" s="128">
        <f t="shared" si="189"/>
        <v>0</v>
      </c>
      <c r="BV302" s="128">
        <f t="shared" si="189"/>
        <v>0</v>
      </c>
      <c r="BW302" s="128">
        <f t="shared" si="189"/>
        <v>0</v>
      </c>
      <c r="BX302" s="128">
        <f t="shared" si="189"/>
        <v>0</v>
      </c>
      <c r="BY302" s="128">
        <f t="shared" si="189"/>
        <v>0</v>
      </c>
      <c r="BZ302" s="128">
        <f t="shared" si="189"/>
        <v>0</v>
      </c>
      <c r="CA302" s="128">
        <f t="shared" si="189"/>
        <v>0</v>
      </c>
      <c r="CB302" s="128">
        <f t="shared" si="189"/>
        <v>0</v>
      </c>
      <c r="CC302" s="128">
        <f t="shared" si="189"/>
        <v>0</v>
      </c>
      <c r="CD302" s="128">
        <f t="shared" si="189"/>
        <v>0</v>
      </c>
      <c r="CE302" s="128">
        <f t="shared" ref="CE302:CX302" si="190">SUM(CE162:CE301)</f>
        <v>0</v>
      </c>
      <c r="CF302" s="128">
        <f t="shared" si="190"/>
        <v>0</v>
      </c>
      <c r="CG302" s="128">
        <f t="shared" si="190"/>
        <v>0</v>
      </c>
      <c r="CH302" s="128">
        <f t="shared" si="190"/>
        <v>0</v>
      </c>
      <c r="CI302" s="128">
        <f t="shared" si="190"/>
        <v>0</v>
      </c>
      <c r="CJ302" s="128">
        <f t="shared" si="190"/>
        <v>0</v>
      </c>
      <c r="CK302" s="128">
        <f t="shared" si="190"/>
        <v>0</v>
      </c>
      <c r="CL302" s="128">
        <f t="shared" si="190"/>
        <v>40</v>
      </c>
      <c r="CM302" s="128">
        <f t="shared" si="190"/>
        <v>8</v>
      </c>
      <c r="CN302" s="128">
        <f t="shared" si="190"/>
        <v>24</v>
      </c>
      <c r="CO302" s="128">
        <f t="shared" si="190"/>
        <v>8</v>
      </c>
      <c r="CP302" s="128">
        <f t="shared" si="190"/>
        <v>0</v>
      </c>
      <c r="CQ302" s="128">
        <f t="shared" si="190"/>
        <v>0</v>
      </c>
      <c r="CR302" s="128">
        <f t="shared" si="190"/>
        <v>0</v>
      </c>
      <c r="CS302" s="128">
        <f t="shared" si="190"/>
        <v>0</v>
      </c>
      <c r="CT302" s="128">
        <f t="shared" si="190"/>
        <v>0</v>
      </c>
      <c r="CU302" s="128">
        <f t="shared" si="190"/>
        <v>0</v>
      </c>
      <c r="CV302" s="128">
        <f t="shared" si="190"/>
        <v>50</v>
      </c>
      <c r="CW302" s="128">
        <f t="shared" si="190"/>
        <v>0</v>
      </c>
      <c r="CX302" s="128">
        <f t="shared" si="190"/>
        <v>60.1</v>
      </c>
      <c r="CZ302" s="289"/>
      <c r="DB302" s="145"/>
    </row>
    <row r="303" spans="2:107" x14ac:dyDescent="0.25">
      <c r="B303" s="37"/>
      <c r="C303" s="10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  <c r="AH303" s="129"/>
      <c r="AI303" s="129"/>
      <c r="AJ303" s="129"/>
      <c r="AK303" s="129"/>
      <c r="AL303" s="129"/>
      <c r="AM303" s="129"/>
      <c r="AN303" s="129"/>
      <c r="AO303" s="129"/>
      <c r="AP303" s="129"/>
      <c r="AQ303" s="129"/>
      <c r="AR303" s="129"/>
      <c r="AS303" s="129"/>
      <c r="AT303" s="129"/>
      <c r="AU303" s="129"/>
      <c r="AV303" s="129"/>
      <c r="AW303" s="129"/>
      <c r="AX303" s="129"/>
      <c r="AY303" s="129"/>
      <c r="AZ303" s="129"/>
      <c r="BA303" s="129"/>
      <c r="BB303" s="129"/>
      <c r="BC303" s="129"/>
      <c r="BD303" s="129"/>
      <c r="BE303" s="129"/>
      <c r="BF303" s="129"/>
      <c r="BG303" s="129"/>
      <c r="BH303" s="129"/>
      <c r="BI303" s="129"/>
      <c r="BJ303" s="129"/>
      <c r="BK303" s="129"/>
      <c r="BL303" s="129"/>
      <c r="BM303" s="129"/>
      <c r="BN303" s="129"/>
      <c r="BO303" s="129"/>
      <c r="BP303" s="129"/>
      <c r="BQ303" s="129"/>
      <c r="BR303" s="129"/>
      <c r="BS303" s="129"/>
      <c r="BT303" s="129"/>
      <c r="BU303" s="129"/>
      <c r="BV303" s="129"/>
      <c r="BW303" s="129"/>
      <c r="BX303" s="129"/>
      <c r="BY303" s="129"/>
      <c r="BZ303" s="129"/>
      <c r="CA303" s="129"/>
      <c r="CB303" s="129"/>
      <c r="CC303" s="129"/>
      <c r="CD303" s="129"/>
      <c r="CE303" s="129"/>
      <c r="CF303" s="129"/>
      <c r="CG303" s="129"/>
      <c r="CH303" s="129"/>
      <c r="CI303" s="129"/>
      <c r="CJ303" s="129"/>
      <c r="CK303" s="129"/>
      <c r="CL303" s="129"/>
      <c r="CM303" s="129"/>
      <c r="CN303" s="129"/>
      <c r="CO303" s="129"/>
      <c r="CP303" s="129"/>
      <c r="CQ303" s="129"/>
      <c r="CR303" s="129"/>
      <c r="CS303" s="129"/>
      <c r="CT303" s="129"/>
      <c r="CU303" s="129"/>
      <c r="CV303" s="129"/>
      <c r="CW303" s="129"/>
      <c r="CX303" s="129"/>
      <c r="CZ303" s="129"/>
      <c r="DB303" s="145"/>
    </row>
    <row r="304" spans="2:107" s="42" customFormat="1" ht="24" customHeight="1" x14ac:dyDescent="0.25">
      <c r="B304" s="89">
        <v>1.1000000000000001</v>
      </c>
      <c r="C304" s="90"/>
      <c r="D304" s="90"/>
      <c r="G304" s="350"/>
      <c r="H304" s="350"/>
      <c r="I304" s="350"/>
      <c r="J304" s="350"/>
      <c r="K304" s="350"/>
      <c r="L304" s="350"/>
      <c r="M304" s="350"/>
      <c r="N304" s="350"/>
      <c r="O304" s="350"/>
      <c r="P304" s="350"/>
      <c r="Q304" s="350"/>
      <c r="S304" s="130">
        <f>S302*$B$304</f>
        <v>181.50000000000003</v>
      </c>
      <c r="T304" s="130">
        <f>T302*$B$304</f>
        <v>71.83</v>
      </c>
      <c r="U304" s="130">
        <f t="shared" ref="U304:BV304" si="191">U302*$B$304</f>
        <v>60.610000000000007</v>
      </c>
      <c r="V304" s="130">
        <f t="shared" si="191"/>
        <v>13.200000000000001</v>
      </c>
      <c r="W304" s="130">
        <f t="shared" si="191"/>
        <v>26.730000000000004</v>
      </c>
      <c r="X304" s="130">
        <f t="shared" si="191"/>
        <v>44.99</v>
      </c>
      <c r="Y304" s="130">
        <f t="shared" si="191"/>
        <v>0</v>
      </c>
      <c r="Z304" s="130">
        <f t="shared" si="191"/>
        <v>0</v>
      </c>
      <c r="AA304" s="130">
        <f t="shared" si="191"/>
        <v>0</v>
      </c>
      <c r="AB304" s="130">
        <f t="shared" si="191"/>
        <v>133.10000000000002</v>
      </c>
      <c r="AC304" s="130">
        <f t="shared" si="191"/>
        <v>39.160000000000004</v>
      </c>
      <c r="AD304" s="130">
        <f t="shared" si="191"/>
        <v>22.880000000000003</v>
      </c>
      <c r="AE304" s="130">
        <f t="shared" si="191"/>
        <v>100.87</v>
      </c>
      <c r="AF304" s="130">
        <f t="shared" si="191"/>
        <v>0</v>
      </c>
      <c r="AG304" s="130">
        <f t="shared" si="191"/>
        <v>0</v>
      </c>
      <c r="AH304" s="130">
        <f t="shared" si="191"/>
        <v>0</v>
      </c>
      <c r="AI304" s="130">
        <f t="shared" si="191"/>
        <v>0</v>
      </c>
      <c r="AJ304" s="130">
        <f t="shared" si="191"/>
        <v>0</v>
      </c>
      <c r="AK304" s="130">
        <f t="shared" ref="AK304:AL304" si="192">AK302*$B$304</f>
        <v>12.100000000000001</v>
      </c>
      <c r="AL304" s="130">
        <f t="shared" si="192"/>
        <v>38.610000000000007</v>
      </c>
      <c r="AM304" s="130">
        <f>AM302*$B$304</f>
        <v>121.00000000000001</v>
      </c>
      <c r="AN304" s="130">
        <f t="shared" ref="AN304:AU304" si="193">AN302*$B$304</f>
        <v>49.28</v>
      </c>
      <c r="AO304" s="130">
        <f t="shared" si="193"/>
        <v>27.060000000000002</v>
      </c>
      <c r="AP304" s="130">
        <f t="shared" si="193"/>
        <v>0</v>
      </c>
      <c r="AQ304" s="130">
        <f t="shared" si="193"/>
        <v>0</v>
      </c>
      <c r="AR304" s="130">
        <f t="shared" si="193"/>
        <v>0</v>
      </c>
      <c r="AS304" s="130">
        <f t="shared" si="193"/>
        <v>0</v>
      </c>
      <c r="AT304" s="130">
        <f t="shared" si="193"/>
        <v>0</v>
      </c>
      <c r="AU304" s="130">
        <f t="shared" si="193"/>
        <v>0</v>
      </c>
      <c r="AV304" s="130">
        <f t="shared" si="191"/>
        <v>0</v>
      </c>
      <c r="AW304" s="130">
        <f t="shared" si="191"/>
        <v>0</v>
      </c>
      <c r="AX304" s="130">
        <f t="shared" si="191"/>
        <v>0</v>
      </c>
      <c r="AY304" s="130">
        <f t="shared" si="191"/>
        <v>0</v>
      </c>
      <c r="AZ304" s="130">
        <f t="shared" si="191"/>
        <v>0</v>
      </c>
      <c r="BA304" s="130">
        <f t="shared" si="191"/>
        <v>0</v>
      </c>
      <c r="BB304" s="130">
        <f t="shared" ref="BB304:BG304" si="194">BB302*$B$304</f>
        <v>0</v>
      </c>
      <c r="BC304" s="130">
        <f t="shared" si="194"/>
        <v>9.9</v>
      </c>
      <c r="BD304" s="130">
        <f t="shared" si="194"/>
        <v>3.3000000000000003</v>
      </c>
      <c r="BE304" s="130">
        <f t="shared" si="194"/>
        <v>0</v>
      </c>
      <c r="BF304" s="130">
        <f t="shared" si="194"/>
        <v>0</v>
      </c>
      <c r="BG304" s="130">
        <f t="shared" si="194"/>
        <v>0</v>
      </c>
      <c r="BH304" s="130">
        <f t="shared" si="191"/>
        <v>44</v>
      </c>
      <c r="BI304" s="130">
        <f t="shared" si="191"/>
        <v>46.2</v>
      </c>
      <c r="BJ304" s="130">
        <f t="shared" si="191"/>
        <v>36.85</v>
      </c>
      <c r="BK304" s="130">
        <f t="shared" si="191"/>
        <v>32.78</v>
      </c>
      <c r="BL304" s="130">
        <f t="shared" si="191"/>
        <v>0</v>
      </c>
      <c r="BM304" s="130">
        <f t="shared" si="191"/>
        <v>0</v>
      </c>
      <c r="BN304" s="130">
        <f t="shared" si="191"/>
        <v>0</v>
      </c>
      <c r="BO304" s="130">
        <f t="shared" si="191"/>
        <v>0</v>
      </c>
      <c r="BP304" s="130">
        <f t="shared" si="191"/>
        <v>2.5299999999999998</v>
      </c>
      <c r="BQ304" s="130">
        <f t="shared" ref="BQ304" si="195">BQ302*$B$304</f>
        <v>52.250000000000007</v>
      </c>
      <c r="BR304" s="130">
        <f t="shared" si="191"/>
        <v>13.860000000000001</v>
      </c>
      <c r="BS304" s="130">
        <f t="shared" si="191"/>
        <v>28.160000000000004</v>
      </c>
      <c r="BT304" s="130">
        <f t="shared" si="191"/>
        <v>0</v>
      </c>
      <c r="BU304" s="130">
        <f t="shared" si="191"/>
        <v>0</v>
      </c>
      <c r="BV304" s="130">
        <f t="shared" si="191"/>
        <v>0</v>
      </c>
      <c r="BW304" s="130">
        <f t="shared" ref="BW304:CE304" si="196">BW302*$B$304</f>
        <v>0</v>
      </c>
      <c r="BX304" s="130">
        <f t="shared" si="196"/>
        <v>0</v>
      </c>
      <c r="BY304" s="130">
        <f t="shared" si="196"/>
        <v>0</v>
      </c>
      <c r="BZ304" s="130">
        <f t="shared" si="196"/>
        <v>0</v>
      </c>
      <c r="CA304" s="130">
        <f t="shared" si="196"/>
        <v>0</v>
      </c>
      <c r="CB304" s="130">
        <f t="shared" si="196"/>
        <v>0</v>
      </c>
      <c r="CC304" s="130">
        <f t="shared" si="196"/>
        <v>0</v>
      </c>
      <c r="CD304" s="130">
        <f t="shared" si="196"/>
        <v>0</v>
      </c>
      <c r="CE304" s="130">
        <f t="shared" si="196"/>
        <v>0</v>
      </c>
      <c r="CF304" s="130">
        <f t="shared" ref="CF304:CK304" si="197">CF302*$B$304</f>
        <v>0</v>
      </c>
      <c r="CG304" s="130">
        <f t="shared" si="197"/>
        <v>0</v>
      </c>
      <c r="CH304" s="130">
        <f t="shared" si="197"/>
        <v>0</v>
      </c>
      <c r="CI304" s="130">
        <f t="shared" si="197"/>
        <v>0</v>
      </c>
      <c r="CJ304" s="130">
        <f t="shared" si="197"/>
        <v>0</v>
      </c>
      <c r="CK304" s="130">
        <f t="shared" si="197"/>
        <v>0</v>
      </c>
      <c r="CL304" s="130">
        <f t="shared" ref="CL304:CQ304" si="198">CL302*$B$304</f>
        <v>44</v>
      </c>
      <c r="CM304" s="130">
        <f t="shared" si="198"/>
        <v>8.8000000000000007</v>
      </c>
      <c r="CN304" s="130">
        <f t="shared" si="198"/>
        <v>26.400000000000002</v>
      </c>
      <c r="CO304" s="130">
        <f t="shared" si="198"/>
        <v>8.8000000000000007</v>
      </c>
      <c r="CP304" s="130">
        <f t="shared" si="198"/>
        <v>0</v>
      </c>
      <c r="CQ304" s="130">
        <f t="shared" si="198"/>
        <v>0</v>
      </c>
      <c r="CR304" s="130">
        <f t="shared" ref="CR304:CX304" si="199">CR302*$B$304</f>
        <v>0</v>
      </c>
      <c r="CS304" s="130">
        <f t="shared" si="199"/>
        <v>0</v>
      </c>
      <c r="CT304" s="130">
        <f t="shared" si="199"/>
        <v>0</v>
      </c>
      <c r="CU304" s="130">
        <f t="shared" si="199"/>
        <v>0</v>
      </c>
      <c r="CV304" s="130">
        <f t="shared" si="199"/>
        <v>55.000000000000007</v>
      </c>
      <c r="CW304" s="130">
        <f t="shared" si="199"/>
        <v>0</v>
      </c>
      <c r="CX304" s="130">
        <f t="shared" si="199"/>
        <v>66.110000000000014</v>
      </c>
      <c r="CZ304" s="289"/>
      <c r="DB304" s="219"/>
    </row>
    <row r="305" spans="2:93" x14ac:dyDescent="0.25">
      <c r="B305" s="10"/>
      <c r="C305" s="10"/>
      <c r="S305" s="11"/>
      <c r="T305" s="11"/>
      <c r="U305" s="11"/>
      <c r="V305" s="11"/>
      <c r="W305" s="11"/>
      <c r="X305" s="11"/>
      <c r="Y305" s="11"/>
      <c r="Z305" s="11"/>
      <c r="AE305"/>
      <c r="AP305"/>
      <c r="BU305" s="10"/>
      <c r="BV305" s="10"/>
      <c r="CD305" s="10"/>
      <c r="CE305" s="10"/>
      <c r="CF305" s="10"/>
      <c r="CG305" s="10"/>
      <c r="CH305" s="10"/>
      <c r="CI305" s="10"/>
      <c r="CL305" s="10"/>
      <c r="CM305" s="10"/>
      <c r="CN305" s="10"/>
      <c r="CO305" s="10"/>
    </row>
    <row r="306" spans="2:93" x14ac:dyDescent="0.25">
      <c r="BU306" s="10"/>
      <c r="BV306" s="10"/>
      <c r="CD306" s="10"/>
      <c r="CE306" s="10"/>
      <c r="CF306" s="10"/>
      <c r="CG306" s="10"/>
      <c r="CH306" s="10"/>
      <c r="CI306" s="10"/>
      <c r="CL306" s="10"/>
      <c r="CM306" s="10"/>
      <c r="CN306" s="10"/>
      <c r="CO306" s="10"/>
    </row>
    <row r="308" spans="2:93" x14ac:dyDescent="0.25">
      <c r="B308" s="360" t="s">
        <v>367</v>
      </c>
    </row>
    <row r="309" spans="2:93" x14ac:dyDescent="0.25">
      <c r="B309" s="12" t="s">
        <v>352</v>
      </c>
    </row>
    <row r="310" spans="2:93" x14ac:dyDescent="0.25">
      <c r="B310" s="112" t="s">
        <v>356</v>
      </c>
    </row>
    <row r="311" spans="2:93" x14ac:dyDescent="0.25">
      <c r="B311" s="112" t="s">
        <v>150</v>
      </c>
    </row>
    <row r="312" spans="2:93" x14ac:dyDescent="0.25">
      <c r="B312" s="112" t="s">
        <v>389</v>
      </c>
    </row>
    <row r="313" spans="2:93" x14ac:dyDescent="0.25">
      <c r="B313" s="112" t="s">
        <v>166</v>
      </c>
    </row>
    <row r="314" spans="2:93" x14ac:dyDescent="0.25">
      <c r="B314" s="112" t="s">
        <v>165</v>
      </c>
    </row>
    <row r="315" spans="2:93" x14ac:dyDescent="0.25">
      <c r="B315" s="112" t="s">
        <v>179</v>
      </c>
    </row>
    <row r="316" spans="2:93" x14ac:dyDescent="0.25">
      <c r="B316" s="112" t="s">
        <v>181</v>
      </c>
    </row>
    <row r="317" spans="2:93" x14ac:dyDescent="0.25">
      <c r="B317" s="112" t="s">
        <v>596</v>
      </c>
    </row>
    <row r="318" spans="2:93" x14ac:dyDescent="0.25">
      <c r="B318" s="112" t="s">
        <v>153</v>
      </c>
    </row>
    <row r="319" spans="2:93" x14ac:dyDescent="0.25">
      <c r="B319" s="484" t="s">
        <v>521</v>
      </c>
    </row>
    <row r="320" spans="2:93" x14ac:dyDescent="0.25">
      <c r="B320" s="484" t="s">
        <v>523</v>
      </c>
    </row>
    <row r="321" spans="2:2" x14ac:dyDescent="0.25">
      <c r="B321" s="112" t="s">
        <v>98</v>
      </c>
    </row>
    <row r="322" spans="2:2" x14ac:dyDescent="0.25">
      <c r="B322" s="484" t="s">
        <v>528</v>
      </c>
    </row>
    <row r="323" spans="2:2" x14ac:dyDescent="0.25">
      <c r="B323" s="484" t="s">
        <v>526</v>
      </c>
    </row>
    <row r="324" spans="2:2" x14ac:dyDescent="0.25">
      <c r="B324" s="112" t="s">
        <v>156</v>
      </c>
    </row>
    <row r="325" spans="2:2" x14ac:dyDescent="0.25">
      <c r="B325" s="484" t="s">
        <v>525</v>
      </c>
    </row>
    <row r="326" spans="2:2" x14ac:dyDescent="0.25">
      <c r="B326" s="112" t="s">
        <v>358</v>
      </c>
    </row>
    <row r="327" spans="2:2" x14ac:dyDescent="0.25">
      <c r="B327" s="112" t="s">
        <v>157</v>
      </c>
    </row>
    <row r="328" spans="2:2" x14ac:dyDescent="0.25">
      <c r="B328" s="112" t="s">
        <v>363</v>
      </c>
    </row>
    <row r="329" spans="2:2" x14ac:dyDescent="0.25">
      <c r="B329" s="112" t="s">
        <v>177</v>
      </c>
    </row>
    <row r="330" spans="2:2" x14ac:dyDescent="0.25">
      <c r="B330" s="112" t="s">
        <v>361</v>
      </c>
    </row>
    <row r="331" spans="2:2" x14ac:dyDescent="0.25">
      <c r="B331" s="112" t="s">
        <v>178</v>
      </c>
    </row>
    <row r="332" spans="2:2" x14ac:dyDescent="0.25">
      <c r="B332" s="112" t="s">
        <v>360</v>
      </c>
    </row>
    <row r="333" spans="2:2" x14ac:dyDescent="0.25">
      <c r="B333" s="112" t="s">
        <v>354</v>
      </c>
    </row>
    <row r="334" spans="2:2" x14ac:dyDescent="0.25">
      <c r="B334" s="112" t="s">
        <v>359</v>
      </c>
    </row>
    <row r="335" spans="2:2" x14ac:dyDescent="0.25">
      <c r="B335" s="112" t="s">
        <v>355</v>
      </c>
    </row>
    <row r="336" spans="2:2" x14ac:dyDescent="0.25">
      <c r="B336" s="112" t="s">
        <v>430</v>
      </c>
    </row>
    <row r="337" spans="2:2" x14ac:dyDescent="0.25">
      <c r="B337" s="112"/>
    </row>
    <row r="338" spans="2:2" x14ac:dyDescent="0.25">
      <c r="B338" s="112"/>
    </row>
    <row r="339" spans="2:2" x14ac:dyDescent="0.25">
      <c r="B339" s="112"/>
    </row>
    <row r="341" spans="2:2" x14ac:dyDescent="0.25">
      <c r="B341" s="12" t="s">
        <v>353</v>
      </c>
    </row>
    <row r="342" spans="2:2" x14ac:dyDescent="0.25">
      <c r="B342" s="112" t="s">
        <v>159</v>
      </c>
    </row>
    <row r="343" spans="2:2" x14ac:dyDescent="0.25">
      <c r="B343" s="112" t="s">
        <v>160</v>
      </c>
    </row>
    <row r="344" spans="2:2" x14ac:dyDescent="0.25">
      <c r="B344" s="112" t="s">
        <v>161</v>
      </c>
    </row>
    <row r="345" spans="2:2" x14ac:dyDescent="0.25">
      <c r="B345" s="112" t="s">
        <v>162</v>
      </c>
    </row>
    <row r="346" spans="2:2" x14ac:dyDescent="0.25">
      <c r="B346" s="112" t="s">
        <v>163</v>
      </c>
    </row>
    <row r="347" spans="2:2" x14ac:dyDescent="0.25">
      <c r="B347" s="112" t="s">
        <v>174</v>
      </c>
    </row>
    <row r="348" spans="2:2" x14ac:dyDescent="0.25">
      <c r="B348" s="112" t="s">
        <v>341</v>
      </c>
    </row>
    <row r="349" spans="2:2" x14ac:dyDescent="0.25">
      <c r="B349" s="112"/>
    </row>
  </sheetData>
  <dataConsolidate/>
  <mergeCells count="12">
    <mergeCell ref="AK158:AL158"/>
    <mergeCell ref="CR158:CW158"/>
    <mergeCell ref="CL158:CQ158"/>
    <mergeCell ref="CF158:CK158"/>
    <mergeCell ref="S158:AA158"/>
    <mergeCell ref="AB158:AJ158"/>
    <mergeCell ref="AV158:BA158"/>
    <mergeCell ref="BH158:BM158"/>
    <mergeCell ref="BN158:BV158"/>
    <mergeCell ref="AM158:AU158"/>
    <mergeCell ref="BB158:BG158"/>
    <mergeCell ref="BW158:CE158"/>
  </mergeCells>
  <dataValidations count="11">
    <dataValidation type="list" allowBlank="1" showInputMessage="1" showErrorMessage="1" sqref="K282:K301 J162:J301" xr:uid="{00000000-0002-0000-0700-000000000000}">
      <formula1>$AV$159:$BA$159</formula1>
    </dataValidation>
    <dataValidation type="list" allowBlank="1" showInputMessage="1" showErrorMessage="1" sqref="I282:I301 H162:H301" xr:uid="{00000000-0002-0000-0700-000001000000}">
      <formula1>$AB$159:$AJ$159</formula1>
    </dataValidation>
    <dataValidation type="list" allowBlank="1" showInputMessage="1" showErrorMessage="1" sqref="N282:N301 M162:M301" xr:uid="{00000000-0002-0000-0700-000002000000}">
      <formula1>$BN$159:$BV$159</formula1>
    </dataValidation>
    <dataValidation type="list" allowBlank="1" showInputMessage="1" showErrorMessage="1" sqref="P282:Q301 O162:O301" xr:uid="{00000000-0002-0000-0700-000003000000}">
      <formula1>$CF$159:$CK$159</formula1>
    </dataValidation>
    <dataValidation type="list" allowBlank="1" showInputMessage="1" showErrorMessage="1" sqref="L162:L301" xr:uid="{00000000-0002-0000-0700-000004000000}">
      <formula1>$BH$159:$BM$159</formula1>
    </dataValidation>
    <dataValidation type="list" allowBlank="1" showInputMessage="1" showErrorMessage="1" promptTitle="1/2&quot;," sqref="G162:G301" xr:uid="{00000000-0002-0000-0700-000005000000}">
      <formula1>$S$159:$AA$159</formula1>
    </dataValidation>
    <dataValidation type="list" allowBlank="1" showInputMessage="1" showErrorMessage="1" sqref="I162:I281" xr:uid="{00000000-0002-0000-0700-000006000000}">
      <formula1>$AM$159:$AU$159</formula1>
    </dataValidation>
    <dataValidation type="list" allowBlank="1" showInputMessage="1" showErrorMessage="1" sqref="K162:K281" xr:uid="{00000000-0002-0000-0700-000007000000}">
      <formula1>$BB$159:$BG$159</formula1>
    </dataValidation>
    <dataValidation type="list" allowBlank="1" showInputMessage="1" showErrorMessage="1" sqref="N162:N281" xr:uid="{00000000-0002-0000-0700-000008000000}">
      <formula1>$BW$159:$CE$159</formula1>
    </dataValidation>
    <dataValidation type="list" allowBlank="1" showInputMessage="1" showErrorMessage="1" sqref="P162:P281" xr:uid="{00000000-0002-0000-0700-000009000000}">
      <formula1>$CL$159:$CQ$159</formula1>
    </dataValidation>
    <dataValidation type="list" allowBlank="1" showInputMessage="1" showErrorMessage="1" sqref="Q162:Q281" xr:uid="{00000000-0002-0000-0700-00000A000000}">
      <formula1>$CR$159:$CW$159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E70"/>
  <sheetViews>
    <sheetView zoomScaleNormal="100" workbookViewId="0">
      <selection activeCell="B23" sqref="B23"/>
    </sheetView>
  </sheetViews>
  <sheetFormatPr defaultRowHeight="15" x14ac:dyDescent="0.25"/>
  <cols>
    <col min="1" max="1" width="48" customWidth="1"/>
    <col min="2" max="2" width="25.7109375" customWidth="1"/>
    <col min="3" max="3" width="33.7109375" customWidth="1"/>
    <col min="4" max="4" width="42.28515625" customWidth="1"/>
    <col min="5" max="5" width="33.7109375" style="10" customWidth="1"/>
  </cols>
  <sheetData>
    <row r="1" spans="1:5" ht="16.5" x14ac:dyDescent="0.3">
      <c r="A1" s="118" t="s">
        <v>888</v>
      </c>
      <c r="B1" s="637"/>
      <c r="C1" s="637"/>
      <c r="D1" s="119"/>
      <c r="E1" s="120"/>
    </row>
    <row r="2" spans="1:5" ht="16.5" x14ac:dyDescent="0.3">
      <c r="A2" s="118" t="s">
        <v>889</v>
      </c>
      <c r="B2" s="121"/>
      <c r="C2" s="120"/>
      <c r="D2" s="119"/>
      <c r="E2" s="120"/>
    </row>
    <row r="3" spans="1:5" ht="16.5" x14ac:dyDescent="0.3">
      <c r="A3" s="118"/>
      <c r="B3" s="121"/>
      <c r="C3" s="120"/>
      <c r="D3" s="119"/>
      <c r="E3" s="120"/>
    </row>
    <row r="4" spans="1:5" ht="16.5" x14ac:dyDescent="0.3">
      <c r="A4" s="312"/>
      <c r="B4" s="121"/>
      <c r="C4" s="120"/>
      <c r="D4" s="119"/>
      <c r="E4" s="120"/>
    </row>
    <row r="5" spans="1:5" ht="16.5" x14ac:dyDescent="0.3">
      <c r="A5" s="119"/>
      <c r="B5" s="120"/>
      <c r="C5" s="120"/>
      <c r="D5" s="119"/>
      <c r="E5" s="120"/>
    </row>
    <row r="6" spans="1:5" ht="16.5" x14ac:dyDescent="0.3">
      <c r="A6" s="124" t="str">
        <f>'[1]Fixture+Pipe Pricing'!B82</f>
        <v>Water Closet (22558)</v>
      </c>
      <c r="B6" s="598"/>
      <c r="C6" s="599">
        <v>1</v>
      </c>
      <c r="D6" s="600" t="s">
        <v>688</v>
      </c>
      <c r="E6" s="599">
        <f>B6*C6</f>
        <v>0</v>
      </c>
    </row>
    <row r="7" spans="1:5" ht="16.5" x14ac:dyDescent="0.3">
      <c r="A7" s="119"/>
      <c r="B7" s="599"/>
      <c r="C7" s="599">
        <v>1</v>
      </c>
      <c r="D7" s="600" t="s">
        <v>689</v>
      </c>
      <c r="E7" s="599">
        <f>B7*C7</f>
        <v>0</v>
      </c>
    </row>
    <row r="8" spans="1:5" ht="16.5" x14ac:dyDescent="0.3">
      <c r="A8" s="119"/>
      <c r="B8" s="120"/>
      <c r="C8" s="120"/>
      <c r="D8" s="119"/>
      <c r="E8" s="123">
        <f>SUM(E6:E7)</f>
        <v>0</v>
      </c>
    </row>
    <row r="9" spans="1:5" ht="16.5" x14ac:dyDescent="0.3">
      <c r="A9" s="119"/>
      <c r="B9" s="120"/>
      <c r="C9" s="120"/>
      <c r="D9" s="119"/>
      <c r="E9"/>
    </row>
    <row r="10" spans="1:5" ht="16.5" x14ac:dyDescent="0.3">
      <c r="A10" s="124" t="str">
        <f>'[1]Fixture+Pipe Pricing'!B88</f>
        <v>Sink Restroom (10116)</v>
      </c>
      <c r="B10" s="599"/>
      <c r="C10" s="599">
        <v>1</v>
      </c>
      <c r="D10" s="600" t="s">
        <v>697</v>
      </c>
      <c r="E10" s="599">
        <f>B10*C10</f>
        <v>0</v>
      </c>
    </row>
    <row r="11" spans="1:5" ht="16.5" x14ac:dyDescent="0.3">
      <c r="A11" s="119"/>
      <c r="B11" s="599"/>
      <c r="C11" s="599">
        <v>1</v>
      </c>
      <c r="D11" s="600" t="s">
        <v>698</v>
      </c>
      <c r="E11" s="599">
        <f>B11*C11</f>
        <v>0</v>
      </c>
    </row>
    <row r="12" spans="1:5" ht="16.5" x14ac:dyDescent="0.3">
      <c r="A12" s="119"/>
      <c r="B12" s="599"/>
      <c r="C12" s="599">
        <v>2</v>
      </c>
      <c r="D12" s="600" t="s">
        <v>699</v>
      </c>
      <c r="E12" s="601">
        <f>B12*C12</f>
        <v>0</v>
      </c>
    </row>
    <row r="13" spans="1:5" ht="16.5" x14ac:dyDescent="0.3">
      <c r="A13" s="119"/>
      <c r="B13" s="599"/>
      <c r="C13" s="599">
        <v>2</v>
      </c>
      <c r="D13" s="600" t="s">
        <v>700</v>
      </c>
      <c r="E13" s="601">
        <f>B13*C13</f>
        <v>0</v>
      </c>
    </row>
    <row r="14" spans="1:5" ht="16.5" x14ac:dyDescent="0.3">
      <c r="A14" s="119"/>
      <c r="B14" s="599"/>
      <c r="C14" s="599">
        <v>2</v>
      </c>
      <c r="D14" s="602" t="s">
        <v>701</v>
      </c>
      <c r="E14" s="601">
        <f>B14*C14</f>
        <v>0</v>
      </c>
    </row>
    <row r="15" spans="1:5" ht="16.5" x14ac:dyDescent="0.3">
      <c r="A15" s="119"/>
      <c r="B15" s="120"/>
      <c r="C15" s="120"/>
      <c r="D15" s="119"/>
      <c r="E15" s="569">
        <f>SUM(E10:E14)</f>
        <v>0</v>
      </c>
    </row>
    <row r="16" spans="1:5" ht="16.5" x14ac:dyDescent="0.3">
      <c r="A16" s="119"/>
      <c r="B16" s="120"/>
      <c r="C16" s="120"/>
      <c r="D16" s="119"/>
      <c r="E16" s="120"/>
    </row>
    <row r="17" spans="1:5" ht="16.5" x14ac:dyDescent="0.3">
      <c r="A17" s="124" t="str">
        <f>'[1]Fixture+Pipe Pricing'!B90</f>
        <v>Sink Rinse Drop In (10549)</v>
      </c>
      <c r="B17" s="599"/>
      <c r="C17" s="599">
        <v>2</v>
      </c>
      <c r="D17" s="600" t="s">
        <v>699</v>
      </c>
      <c r="E17" s="601">
        <f>B17*C17</f>
        <v>0</v>
      </c>
    </row>
    <row r="18" spans="1:5" ht="16.5" x14ac:dyDescent="0.3">
      <c r="A18" s="119"/>
      <c r="B18" s="599"/>
      <c r="C18" s="599">
        <v>2</v>
      </c>
      <c r="D18" s="600" t="s">
        <v>702</v>
      </c>
      <c r="E18" s="601">
        <f>B18*C18</f>
        <v>0</v>
      </c>
    </row>
    <row r="19" spans="1:5" ht="16.5" x14ac:dyDescent="0.3">
      <c r="A19" s="119"/>
      <c r="B19" s="599"/>
      <c r="C19" s="599">
        <v>2</v>
      </c>
      <c r="D19" s="602" t="s">
        <v>701</v>
      </c>
      <c r="E19" s="601">
        <f>B19*C19</f>
        <v>0</v>
      </c>
    </row>
    <row r="20" spans="1:5" ht="16.5" x14ac:dyDescent="0.3">
      <c r="A20" s="119"/>
      <c r="B20" s="599"/>
      <c r="C20" s="599"/>
      <c r="D20" s="600"/>
      <c r="E20" s="569">
        <f>SUM(E17:E19)</f>
        <v>0</v>
      </c>
    </row>
    <row r="21" spans="1:5" ht="16.5" x14ac:dyDescent="0.3">
      <c r="A21" s="119"/>
      <c r="B21" s="120"/>
      <c r="C21" s="120"/>
      <c r="D21" s="119"/>
      <c r="E21" s="120"/>
    </row>
    <row r="22" spans="1:5" ht="16.5" x14ac:dyDescent="0.3">
      <c r="A22" s="119"/>
      <c r="B22" s="120"/>
      <c r="C22" s="120"/>
      <c r="D22" s="119"/>
    </row>
    <row r="23" spans="1:5" ht="16.5" x14ac:dyDescent="0.3">
      <c r="A23" s="124" t="str">
        <f>'[1]Fixture+Pipe Pricing'!B96</f>
        <v>Sink 3 Comp (13264)</v>
      </c>
      <c r="B23" s="599"/>
      <c r="C23" s="599">
        <v>2</v>
      </c>
      <c r="D23" s="600" t="s">
        <v>699</v>
      </c>
      <c r="E23" s="601">
        <f>B23*C23</f>
        <v>0</v>
      </c>
    </row>
    <row r="24" spans="1:5" ht="16.5" x14ac:dyDescent="0.3">
      <c r="A24" s="119"/>
      <c r="B24" s="599"/>
      <c r="C24" s="599">
        <v>2</v>
      </c>
      <c r="D24" s="600" t="s">
        <v>702</v>
      </c>
      <c r="E24" s="601">
        <f>B24*C24</f>
        <v>0</v>
      </c>
    </row>
    <row r="25" spans="1:5" ht="16.5" x14ac:dyDescent="0.3">
      <c r="A25" s="119"/>
      <c r="B25" s="599"/>
      <c r="C25" s="599">
        <v>2</v>
      </c>
      <c r="D25" s="602" t="s">
        <v>701</v>
      </c>
      <c r="E25" s="601">
        <f>B25*C25</f>
        <v>0</v>
      </c>
    </row>
    <row r="26" spans="1:5" ht="16.5" x14ac:dyDescent="0.3">
      <c r="A26" s="119"/>
      <c r="B26" s="120"/>
      <c r="C26" s="120"/>
      <c r="D26" s="119"/>
      <c r="E26" s="569">
        <f>SUM(E23:E25)</f>
        <v>0</v>
      </c>
    </row>
    <row r="27" spans="1:5" ht="16.5" x14ac:dyDescent="0.3">
      <c r="A27" s="119"/>
      <c r="B27" s="120"/>
      <c r="C27" s="120"/>
      <c r="D27" s="119"/>
      <c r="E27"/>
    </row>
    <row r="28" spans="1:5" ht="16.5" x14ac:dyDescent="0.3">
      <c r="A28" s="124" t="str">
        <f>'[1]Fixture+Pipe Pricing'!B101</f>
        <v>Sink Hand (14688)</v>
      </c>
      <c r="B28" s="599"/>
      <c r="C28" s="599">
        <v>1</v>
      </c>
      <c r="D28" s="600" t="s">
        <v>697</v>
      </c>
      <c r="E28" s="599">
        <f>B28*C28</f>
        <v>0</v>
      </c>
    </row>
    <row r="29" spans="1:5" ht="16.5" x14ac:dyDescent="0.3">
      <c r="A29" s="119"/>
      <c r="B29" s="599"/>
      <c r="C29" s="599">
        <v>1</v>
      </c>
      <c r="D29" s="600" t="s">
        <v>698</v>
      </c>
      <c r="E29" s="599">
        <f>B29*C29</f>
        <v>0</v>
      </c>
    </row>
    <row r="30" spans="1:5" ht="16.5" x14ac:dyDescent="0.3">
      <c r="A30" s="119"/>
      <c r="B30" s="599"/>
      <c r="C30" s="599">
        <v>2</v>
      </c>
      <c r="D30" s="600" t="s">
        <v>699</v>
      </c>
      <c r="E30" s="601">
        <f>B30*C30</f>
        <v>0</v>
      </c>
    </row>
    <row r="31" spans="1:5" ht="16.5" x14ac:dyDescent="0.3">
      <c r="A31" s="119"/>
      <c r="B31" s="599"/>
      <c r="C31" s="599">
        <v>2</v>
      </c>
      <c r="D31" s="600" t="s">
        <v>702</v>
      </c>
      <c r="E31" s="601">
        <f>B31*C31</f>
        <v>0</v>
      </c>
    </row>
    <row r="32" spans="1:5" ht="16.5" x14ac:dyDescent="0.3">
      <c r="A32" s="119"/>
      <c r="B32" s="599"/>
      <c r="C32" s="599">
        <v>2</v>
      </c>
      <c r="D32" s="602" t="s">
        <v>701</v>
      </c>
      <c r="E32" s="601">
        <f>B32*C32</f>
        <v>0</v>
      </c>
    </row>
    <row r="33" spans="1:5" ht="16.5" x14ac:dyDescent="0.3">
      <c r="A33" s="119"/>
      <c r="B33" s="119"/>
      <c r="C33" s="120"/>
      <c r="D33" s="119"/>
      <c r="E33" s="569">
        <f>SUM(E28:E32)</f>
        <v>0</v>
      </c>
    </row>
    <row r="34" spans="1:5" ht="16.5" x14ac:dyDescent="0.3">
      <c r="A34" s="119"/>
      <c r="B34" s="120"/>
      <c r="C34" s="120"/>
      <c r="D34" s="119"/>
    </row>
    <row r="35" spans="1:5" ht="16.5" x14ac:dyDescent="0.3">
      <c r="A35" s="124" t="str">
        <f>'[1]Fixture+Pipe Pricing'!B105</f>
        <v>Sink Water Filling Station (18743)</v>
      </c>
      <c r="B35" s="599"/>
      <c r="C35" s="599">
        <v>2</v>
      </c>
      <c r="D35" s="600" t="s">
        <v>699</v>
      </c>
      <c r="E35" s="601">
        <f>B35*C35</f>
        <v>0</v>
      </c>
    </row>
    <row r="36" spans="1:5" ht="16.5" x14ac:dyDescent="0.3">
      <c r="A36" s="119"/>
      <c r="B36" s="599"/>
      <c r="C36" s="599">
        <v>2</v>
      </c>
      <c r="D36" s="600" t="s">
        <v>702</v>
      </c>
      <c r="E36" s="601">
        <f>B36*C36</f>
        <v>0</v>
      </c>
    </row>
    <row r="37" spans="1:5" ht="16.5" x14ac:dyDescent="0.3">
      <c r="A37" s="119"/>
      <c r="B37" s="599"/>
      <c r="C37" s="599">
        <v>2</v>
      </c>
      <c r="D37" s="602" t="s">
        <v>701</v>
      </c>
      <c r="E37" s="601">
        <f>B37*C37</f>
        <v>0</v>
      </c>
    </row>
    <row r="38" spans="1:5" ht="16.5" x14ac:dyDescent="0.3">
      <c r="A38" s="119"/>
      <c r="B38" s="120"/>
      <c r="C38" s="120"/>
      <c r="D38" s="119"/>
      <c r="E38" s="569">
        <f>SUM(E35:E37)</f>
        <v>0</v>
      </c>
    </row>
    <row r="39" spans="1:5" ht="16.5" x14ac:dyDescent="0.3">
      <c r="A39" s="119"/>
      <c r="B39" s="120"/>
      <c r="C39" s="120"/>
      <c r="D39" s="119"/>
    </row>
    <row r="40" spans="1:5" ht="16.5" x14ac:dyDescent="0.3">
      <c r="A40" s="124" t="str">
        <f>'[1]Fixture+Pipe Pricing'!B107</f>
        <v>Sink Rinse Drop In (22630)</v>
      </c>
      <c r="B40" s="599"/>
      <c r="C40" s="599">
        <v>2</v>
      </c>
      <c r="D40" s="600" t="s">
        <v>699</v>
      </c>
      <c r="E40" s="601">
        <f>B40*C40</f>
        <v>0</v>
      </c>
    </row>
    <row r="41" spans="1:5" ht="16.5" x14ac:dyDescent="0.3">
      <c r="A41" s="119"/>
      <c r="B41" s="599"/>
      <c r="C41" s="599">
        <v>2</v>
      </c>
      <c r="D41" s="600" t="s">
        <v>702</v>
      </c>
      <c r="E41" s="601">
        <f>B41*C41</f>
        <v>0</v>
      </c>
    </row>
    <row r="42" spans="1:5" ht="16.5" x14ac:dyDescent="0.3">
      <c r="A42" s="119"/>
      <c r="B42" s="599"/>
      <c r="C42" s="599">
        <v>2</v>
      </c>
      <c r="D42" s="602" t="s">
        <v>701</v>
      </c>
      <c r="E42" s="601">
        <f>B42*C42</f>
        <v>0</v>
      </c>
    </row>
    <row r="43" spans="1:5" ht="16.5" x14ac:dyDescent="0.3">
      <c r="A43" s="119"/>
      <c r="B43" s="120"/>
      <c r="C43" s="120"/>
      <c r="D43" s="119"/>
      <c r="E43" s="569">
        <f>SUM(E40:E42)</f>
        <v>0</v>
      </c>
    </row>
    <row r="44" spans="1:5" ht="16.5" x14ac:dyDescent="0.3">
      <c r="A44" s="119"/>
      <c r="B44" s="120"/>
      <c r="C44" s="120"/>
      <c r="D44" s="119"/>
    </row>
    <row r="45" spans="1:5" ht="16.5" x14ac:dyDescent="0.3">
      <c r="A45" s="124" t="str">
        <f>'[1]Fixture+Pipe Pricing'!B109</f>
        <v>Sink Countertop Rinser (22768)</v>
      </c>
      <c r="B45" s="599"/>
      <c r="C45" s="599">
        <v>2</v>
      </c>
      <c r="D45" s="600" t="s">
        <v>699</v>
      </c>
      <c r="E45" s="601">
        <f>B45*C45</f>
        <v>0</v>
      </c>
    </row>
    <row r="46" spans="1:5" ht="16.5" x14ac:dyDescent="0.3">
      <c r="A46" s="119"/>
      <c r="B46" s="599"/>
      <c r="C46" s="599">
        <v>2</v>
      </c>
      <c r="D46" s="600" t="s">
        <v>702</v>
      </c>
      <c r="E46" s="601">
        <f>B46*C46</f>
        <v>0</v>
      </c>
    </row>
    <row r="47" spans="1:5" ht="16.5" x14ac:dyDescent="0.3">
      <c r="A47" s="119"/>
      <c r="B47" s="599"/>
      <c r="C47" s="599">
        <v>2</v>
      </c>
      <c r="D47" s="602" t="s">
        <v>701</v>
      </c>
      <c r="E47" s="601">
        <f>B47*C47</f>
        <v>0</v>
      </c>
    </row>
    <row r="48" spans="1:5" ht="16.5" x14ac:dyDescent="0.3">
      <c r="A48" s="119"/>
      <c r="B48" s="120"/>
      <c r="C48" s="120"/>
      <c r="D48" s="119"/>
      <c r="E48" s="569">
        <f>SUM(E45:E47)</f>
        <v>0</v>
      </c>
    </row>
    <row r="49" spans="1:5" ht="16.5" x14ac:dyDescent="0.3">
      <c r="A49" s="119"/>
      <c r="B49" s="120"/>
      <c r="C49" s="120"/>
      <c r="D49" s="119"/>
    </row>
    <row r="50" spans="1:5" ht="16.5" x14ac:dyDescent="0.3">
      <c r="A50" s="124" t="str">
        <f>'[1]Fixture+Pipe Pricing'!B38</f>
        <v>Espresso Machine (19742)</v>
      </c>
      <c r="B50" s="599"/>
      <c r="C50" s="599"/>
      <c r="D50" s="600"/>
      <c r="E50" s="601"/>
    </row>
    <row r="51" spans="1:5" ht="16.5" x14ac:dyDescent="0.3">
      <c r="A51" s="119"/>
      <c r="B51" s="599"/>
      <c r="C51" s="599">
        <v>2</v>
      </c>
      <c r="D51" s="600" t="s">
        <v>702</v>
      </c>
      <c r="E51" s="601">
        <f>B51*C51</f>
        <v>0</v>
      </c>
    </row>
    <row r="52" spans="1:5" ht="16.5" x14ac:dyDescent="0.3">
      <c r="A52" s="119"/>
      <c r="B52" s="599"/>
      <c r="C52" s="599">
        <v>2</v>
      </c>
      <c r="D52" s="602" t="s">
        <v>701</v>
      </c>
      <c r="E52" s="601">
        <f>B52*C52</f>
        <v>0</v>
      </c>
    </row>
    <row r="53" spans="1:5" ht="16.5" x14ac:dyDescent="0.3">
      <c r="A53" s="119"/>
      <c r="B53" s="120"/>
      <c r="C53" s="120"/>
      <c r="D53" s="119"/>
      <c r="E53" s="569">
        <f>SUM(E50:E52)</f>
        <v>0</v>
      </c>
    </row>
    <row r="54" spans="1:5" ht="16.5" x14ac:dyDescent="0.3">
      <c r="A54" s="119"/>
      <c r="B54" s="120"/>
      <c r="C54" s="120"/>
      <c r="D54" s="119"/>
    </row>
    <row r="55" spans="1:5" ht="16.5" x14ac:dyDescent="0.3">
      <c r="A55" s="124" t="str">
        <f>'[1]Fixture+Pipe Pricing'!B43</f>
        <v>Brewer (22885)</v>
      </c>
      <c r="B55" s="599"/>
      <c r="C55" s="599"/>
      <c r="D55" s="600"/>
      <c r="E55" s="601"/>
    </row>
    <row r="56" spans="1:5" ht="16.5" x14ac:dyDescent="0.3">
      <c r="A56" s="119"/>
      <c r="B56" s="599"/>
      <c r="C56" s="599">
        <v>1</v>
      </c>
      <c r="D56" s="600" t="s">
        <v>702</v>
      </c>
      <c r="E56" s="601">
        <f>B56*C56</f>
        <v>0</v>
      </c>
    </row>
    <row r="57" spans="1:5" ht="16.5" x14ac:dyDescent="0.3">
      <c r="A57" s="119"/>
      <c r="B57" s="599"/>
      <c r="C57" s="599">
        <v>1</v>
      </c>
      <c r="D57" s="602" t="s">
        <v>701</v>
      </c>
      <c r="E57" s="601">
        <f>B57*C57</f>
        <v>0</v>
      </c>
    </row>
    <row r="58" spans="1:5" ht="16.5" x14ac:dyDescent="0.3">
      <c r="A58" s="119"/>
      <c r="B58" s="120"/>
      <c r="C58" s="120"/>
      <c r="D58" s="119"/>
      <c r="E58" s="569">
        <f>SUM(E55:E57)</f>
        <v>0</v>
      </c>
    </row>
    <row r="59" spans="1:5" ht="16.5" x14ac:dyDescent="0.3">
      <c r="A59" s="119"/>
      <c r="B59" s="120"/>
      <c r="C59" s="120"/>
      <c r="D59" s="119"/>
    </row>
    <row r="60" spans="1:5" ht="16.5" x14ac:dyDescent="0.3">
      <c r="A60" s="124" t="str">
        <f>'[1]Fixture+Pipe Pricing'!B49</f>
        <v>Ice Maker (23186)</v>
      </c>
      <c r="B60" s="599"/>
      <c r="C60" s="599"/>
      <c r="D60" s="600"/>
      <c r="E60" s="601"/>
    </row>
    <row r="61" spans="1:5" ht="16.5" x14ac:dyDescent="0.3">
      <c r="A61" s="119"/>
      <c r="B61" s="599"/>
      <c r="C61" s="599">
        <v>1</v>
      </c>
      <c r="D61" s="600" t="s">
        <v>702</v>
      </c>
      <c r="E61" s="601">
        <f>B61*C61</f>
        <v>0</v>
      </c>
    </row>
    <row r="62" spans="1:5" ht="16.5" x14ac:dyDescent="0.3">
      <c r="A62" s="119"/>
      <c r="B62" s="599"/>
      <c r="C62" s="599">
        <v>1</v>
      </c>
      <c r="D62" s="602" t="s">
        <v>701</v>
      </c>
      <c r="E62" s="601">
        <f>B62*C62</f>
        <v>0</v>
      </c>
    </row>
    <row r="63" spans="1:5" ht="16.5" x14ac:dyDescent="0.3">
      <c r="A63" s="119"/>
      <c r="B63" s="120"/>
      <c r="C63" s="120"/>
      <c r="D63" s="119"/>
      <c r="E63" s="569">
        <f>SUM(E60:E62)</f>
        <v>0</v>
      </c>
    </row>
    <row r="64" spans="1:5" ht="16.5" x14ac:dyDescent="0.3">
      <c r="A64" s="119"/>
      <c r="B64" s="120"/>
      <c r="C64" s="120"/>
      <c r="D64" s="119"/>
    </row>
    <row r="65" spans="1:5" ht="16.5" x14ac:dyDescent="0.3">
      <c r="A65" s="124" t="str">
        <f>'[1]Fixture+Pipe Pricing'!B51</f>
        <v>Dishwasher (24007)</v>
      </c>
      <c r="B65" s="599"/>
      <c r="C65" s="599"/>
      <c r="D65" s="600"/>
      <c r="E65" s="601"/>
    </row>
    <row r="66" spans="1:5" ht="16.5" x14ac:dyDescent="0.3">
      <c r="A66" s="119"/>
      <c r="B66" s="599"/>
      <c r="C66" s="599">
        <v>1</v>
      </c>
      <c r="D66" s="600" t="s">
        <v>702</v>
      </c>
      <c r="E66" s="601">
        <f>B66*C66</f>
        <v>0</v>
      </c>
    </row>
    <row r="67" spans="1:5" ht="16.5" x14ac:dyDescent="0.3">
      <c r="A67" s="119"/>
      <c r="B67" s="599"/>
      <c r="C67" s="599">
        <v>1</v>
      </c>
      <c r="D67" s="602" t="s">
        <v>701</v>
      </c>
      <c r="E67" s="601">
        <f>B67*C67</f>
        <v>0</v>
      </c>
    </row>
    <row r="68" spans="1:5" ht="16.5" x14ac:dyDescent="0.3">
      <c r="A68" s="119"/>
      <c r="B68" s="120"/>
      <c r="C68" s="120"/>
      <c r="D68" s="119"/>
      <c r="E68" s="569">
        <f>SUM(E65:E67)</f>
        <v>0</v>
      </c>
    </row>
    <row r="69" spans="1:5" ht="16.5" x14ac:dyDescent="0.3">
      <c r="A69" s="119"/>
      <c r="B69" s="119"/>
      <c r="C69" s="120"/>
      <c r="D69" s="119"/>
      <c r="E69"/>
    </row>
    <row r="70" spans="1:5" ht="16.5" x14ac:dyDescent="0.3">
      <c r="A70" s="119"/>
      <c r="B70" s="120"/>
      <c r="C70" s="120"/>
      <c r="D70" s="119"/>
      <c r="E70"/>
    </row>
  </sheetData>
  <mergeCells count="1">
    <mergeCell ref="B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V269"/>
  <sheetViews>
    <sheetView zoomScale="70" zoomScaleNormal="70" workbookViewId="0">
      <selection activeCell="J229" sqref="J229"/>
    </sheetView>
  </sheetViews>
  <sheetFormatPr defaultColWidth="8.85546875" defaultRowHeight="16.5" x14ac:dyDescent="0.3"/>
  <cols>
    <col min="1" max="1" width="13.140625" style="119" customWidth="1"/>
    <col min="2" max="2" width="37.28515625" style="119" customWidth="1"/>
    <col min="3" max="3" width="12" style="119" customWidth="1"/>
    <col min="4" max="4" width="16" style="119" customWidth="1"/>
    <col min="5" max="5" width="19.42578125" style="119" customWidth="1"/>
    <col min="6" max="7" width="8.85546875" style="119" customWidth="1"/>
    <col min="8" max="8" width="51.42578125" style="119" customWidth="1"/>
    <col min="9" max="9" width="13" style="119" customWidth="1"/>
    <col min="10" max="10" width="34.42578125" style="119" customWidth="1"/>
    <col min="11" max="11" width="16.5703125" style="119" customWidth="1"/>
    <col min="12" max="12" width="15" style="119" customWidth="1"/>
    <col min="13" max="13" width="8.85546875" style="119"/>
    <col min="14" max="14" width="45.5703125" style="119" customWidth="1"/>
    <col min="15" max="15" width="17" style="119" customWidth="1"/>
    <col min="16" max="16" width="20.85546875" style="119" customWidth="1"/>
    <col min="17" max="17" width="17.28515625" style="119" customWidth="1"/>
    <col min="18" max="18" width="8.85546875" style="119"/>
    <col min="19" max="19" width="52.7109375" style="119" customWidth="1"/>
    <col min="20" max="20" width="34.28515625" style="119" customWidth="1"/>
    <col min="21" max="21" width="20.85546875" style="119" customWidth="1"/>
    <col min="22" max="22" width="17.28515625" style="119" customWidth="1"/>
    <col min="23" max="16384" width="8.85546875" style="119"/>
  </cols>
  <sheetData>
    <row r="1" spans="1:22" x14ac:dyDescent="0.3">
      <c r="H1"/>
      <c r="I1"/>
      <c r="J1"/>
      <c r="K1"/>
      <c r="L1"/>
    </row>
    <row r="2" spans="1:22" x14ac:dyDescent="0.3">
      <c r="H2"/>
      <c r="I2"/>
      <c r="J2"/>
      <c r="K2"/>
      <c r="L2"/>
    </row>
    <row r="3" spans="1:22" x14ac:dyDescent="0.3">
      <c r="B3" s="280" t="s">
        <v>146</v>
      </c>
      <c r="C3" s="281"/>
      <c r="D3" s="281"/>
      <c r="E3" s="282"/>
      <c r="H3" s="280" t="s">
        <v>321</v>
      </c>
      <c r="I3"/>
      <c r="J3"/>
      <c r="K3"/>
      <c r="L3"/>
    </row>
    <row r="4" spans="1:22" x14ac:dyDescent="0.3">
      <c r="B4" s="283" t="s">
        <v>147</v>
      </c>
      <c r="C4" s="284" t="s">
        <v>148</v>
      </c>
      <c r="D4" s="284" t="s">
        <v>190</v>
      </c>
      <c r="E4" s="285" t="s">
        <v>149</v>
      </c>
      <c r="H4" s="283" t="s">
        <v>147</v>
      </c>
      <c r="I4" s="284" t="s">
        <v>148</v>
      </c>
      <c r="J4" s="284" t="s">
        <v>5</v>
      </c>
      <c r="K4" s="284" t="s">
        <v>190</v>
      </c>
      <c r="L4" s="285" t="s">
        <v>149</v>
      </c>
      <c r="N4" s="327" t="s">
        <v>213</v>
      </c>
      <c r="O4" s="327" t="s">
        <v>249</v>
      </c>
      <c r="P4" s="327" t="s">
        <v>214</v>
      </c>
      <c r="Q4" s="327" t="s">
        <v>149</v>
      </c>
      <c r="S4" s="327" t="s">
        <v>83</v>
      </c>
      <c r="T4" s="327" t="s">
        <v>249</v>
      </c>
      <c r="U4" s="327" t="s">
        <v>214</v>
      </c>
      <c r="V4" s="327" t="s">
        <v>149</v>
      </c>
    </row>
    <row r="5" spans="1:22" ht="15" customHeight="1" x14ac:dyDescent="0.3">
      <c r="A5" s="122"/>
      <c r="B5" s="336" t="s">
        <v>304</v>
      </c>
      <c r="C5" s="287"/>
      <c r="D5" s="277"/>
      <c r="E5" s="278"/>
      <c r="H5" s="286"/>
      <c r="I5" s="287"/>
      <c r="J5" s="287"/>
      <c r="K5" s="287"/>
      <c r="L5" s="287"/>
      <c r="N5" s="333" t="s">
        <v>215</v>
      </c>
      <c r="O5" s="300"/>
      <c r="P5" s="277"/>
      <c r="Q5" s="300"/>
      <c r="S5" s="300"/>
      <c r="T5" s="300"/>
      <c r="U5" s="277"/>
      <c r="V5" s="300"/>
    </row>
    <row r="6" spans="1:22" ht="15" customHeight="1" x14ac:dyDescent="0.3">
      <c r="A6" s="122"/>
      <c r="B6" s="286" t="s">
        <v>356</v>
      </c>
      <c r="C6" s="287" t="s">
        <v>23</v>
      </c>
      <c r="D6" s="277">
        <v>3.2000000000000001E-2</v>
      </c>
      <c r="E6" s="556">
        <v>2.2031999999999998</v>
      </c>
      <c r="F6" s="555"/>
      <c r="G6" s="542"/>
      <c r="H6" s="345" t="s">
        <v>42</v>
      </c>
      <c r="I6" s="346"/>
      <c r="J6" s="346"/>
      <c r="K6" s="347"/>
      <c r="L6" s="347"/>
      <c r="N6" s="300" t="s">
        <v>236</v>
      </c>
      <c r="O6" s="300"/>
      <c r="P6" s="277">
        <v>2.1</v>
      </c>
      <c r="Q6" s="300"/>
      <c r="S6" s="329" t="s">
        <v>383</v>
      </c>
      <c r="T6" s="300"/>
      <c r="U6" s="330"/>
      <c r="V6" s="300"/>
    </row>
    <row r="7" spans="1:22" ht="15" customHeight="1" x14ac:dyDescent="0.3">
      <c r="A7" s="122"/>
      <c r="B7" s="286" t="s">
        <v>356</v>
      </c>
      <c r="C7" s="287" t="s">
        <v>24</v>
      </c>
      <c r="D7" s="277">
        <v>3.5000000000000003E-2</v>
      </c>
      <c r="E7" s="556">
        <v>3.4607999999999999</v>
      </c>
      <c r="F7" s="555"/>
      <c r="G7" s="542"/>
      <c r="H7" s="286" t="s">
        <v>191</v>
      </c>
      <c r="I7" s="335" t="s">
        <v>26</v>
      </c>
      <c r="J7" s="335"/>
      <c r="K7" s="334">
        <v>0.5</v>
      </c>
      <c r="L7" s="287"/>
      <c r="N7" s="300" t="s">
        <v>235</v>
      </c>
      <c r="O7" s="300"/>
      <c r="P7" s="277">
        <v>2.6</v>
      </c>
      <c r="Q7" s="300"/>
      <c r="S7" s="329" t="s">
        <v>381</v>
      </c>
      <c r="T7" s="300"/>
      <c r="U7" s="330">
        <v>36</v>
      </c>
      <c r="V7" s="300">
        <v>10662.7</v>
      </c>
    </row>
    <row r="8" spans="1:22" ht="15" customHeight="1" x14ac:dyDescent="0.3">
      <c r="A8" s="122"/>
      <c r="B8" s="286" t="s">
        <v>356</v>
      </c>
      <c r="C8" s="287" t="s">
        <v>25</v>
      </c>
      <c r="D8" s="277">
        <v>3.7999999999999999E-2</v>
      </c>
      <c r="E8" s="556">
        <v>5.2919999999999998</v>
      </c>
      <c r="F8" s="555"/>
      <c r="G8" s="542"/>
      <c r="H8" s="286" t="s">
        <v>191</v>
      </c>
      <c r="I8" s="335" t="s">
        <v>129</v>
      </c>
      <c r="J8" s="335"/>
      <c r="K8" s="334">
        <v>0.5</v>
      </c>
      <c r="L8" s="287"/>
      <c r="N8" s="300" t="s">
        <v>234</v>
      </c>
      <c r="O8" s="300"/>
      <c r="P8" s="277">
        <v>3.2</v>
      </c>
      <c r="Q8" s="300"/>
      <c r="S8" s="300" t="s">
        <v>382</v>
      </c>
      <c r="T8" s="363" t="s">
        <v>384</v>
      </c>
      <c r="U8" s="330"/>
      <c r="V8" s="300">
        <v>234.94</v>
      </c>
    </row>
    <row r="9" spans="1:22" ht="15" customHeight="1" x14ac:dyDescent="0.3">
      <c r="A9" s="122"/>
      <c r="B9" s="286" t="s">
        <v>356</v>
      </c>
      <c r="C9" s="287" t="s">
        <v>151</v>
      </c>
      <c r="D9" s="277">
        <v>4.2000000000000003E-2</v>
      </c>
      <c r="E9" s="556">
        <v>8.110199999999999</v>
      </c>
      <c r="F9" s="555"/>
      <c r="G9" s="542"/>
      <c r="H9" s="286" t="s">
        <v>191</v>
      </c>
      <c r="I9" s="335" t="s">
        <v>27</v>
      </c>
      <c r="J9" s="335"/>
      <c r="K9" s="334">
        <v>0.5</v>
      </c>
      <c r="L9" s="287"/>
      <c r="N9" s="300" t="s">
        <v>231</v>
      </c>
      <c r="O9" s="300"/>
      <c r="P9" s="277">
        <v>3.55</v>
      </c>
      <c r="Q9" s="300"/>
      <c r="S9" s="300"/>
      <c r="T9" s="300"/>
      <c r="U9" s="330"/>
      <c r="V9" s="300"/>
    </row>
    <row r="10" spans="1:22" ht="15" customHeight="1" x14ac:dyDescent="0.3">
      <c r="A10" s="122"/>
      <c r="B10" s="286" t="s">
        <v>356</v>
      </c>
      <c r="C10" s="287" t="s">
        <v>38</v>
      </c>
      <c r="D10" s="277">
        <v>4.5999999999999999E-2</v>
      </c>
      <c r="E10" s="556">
        <v>11.163600000000001</v>
      </c>
      <c r="F10" s="555"/>
      <c r="G10" s="542"/>
      <c r="H10" s="286"/>
      <c r="I10" s="335"/>
      <c r="J10" s="335"/>
      <c r="K10" s="334"/>
      <c r="L10" s="287"/>
      <c r="M10" s="559"/>
      <c r="N10" s="300" t="s">
        <v>233</v>
      </c>
      <c r="O10" s="300"/>
      <c r="P10" s="277">
        <v>3.8</v>
      </c>
      <c r="Q10" s="300"/>
      <c r="S10" s="300"/>
      <c r="T10" s="300"/>
      <c r="U10" s="330"/>
      <c r="V10" s="300"/>
    </row>
    <row r="11" spans="1:22" ht="15" customHeight="1" x14ac:dyDescent="0.3">
      <c r="A11" s="122"/>
      <c r="B11" s="286" t="s">
        <v>356</v>
      </c>
      <c r="C11" s="287" t="s">
        <v>26</v>
      </c>
      <c r="D11" s="277">
        <v>5.2999999999999999E-2</v>
      </c>
      <c r="E11" s="556">
        <v>17.169599999999999</v>
      </c>
      <c r="F11" s="555"/>
      <c r="G11" s="542"/>
      <c r="H11" s="286" t="s">
        <v>268</v>
      </c>
      <c r="I11" s="335" t="s">
        <v>26</v>
      </c>
      <c r="J11" s="335"/>
      <c r="K11" s="334">
        <v>0.35</v>
      </c>
      <c r="L11" s="287"/>
      <c r="M11" s="559"/>
      <c r="N11" s="300"/>
      <c r="O11" s="300"/>
      <c r="P11" s="277"/>
      <c r="Q11" s="300"/>
      <c r="S11" s="329" t="s">
        <v>390</v>
      </c>
      <c r="T11" s="300"/>
      <c r="U11" s="330"/>
      <c r="V11" s="300"/>
    </row>
    <row r="12" spans="1:22" ht="15" customHeight="1" x14ac:dyDescent="0.3">
      <c r="A12" s="122"/>
      <c r="B12" s="286" t="s">
        <v>356</v>
      </c>
      <c r="C12" s="287" t="s">
        <v>152</v>
      </c>
      <c r="D12" s="277">
        <v>0.06</v>
      </c>
      <c r="E12" s="556">
        <v>25.006799999999998</v>
      </c>
      <c r="F12" s="555"/>
      <c r="G12" s="542"/>
      <c r="H12" s="286" t="s">
        <v>268</v>
      </c>
      <c r="I12" s="335" t="s">
        <v>129</v>
      </c>
      <c r="J12" s="335"/>
      <c r="K12" s="334">
        <v>0.45</v>
      </c>
      <c r="L12" s="287"/>
      <c r="M12" s="559"/>
      <c r="N12" s="329" t="s">
        <v>216</v>
      </c>
      <c r="O12" s="300"/>
      <c r="P12" s="277"/>
      <c r="Q12" s="300"/>
      <c r="S12" s="300" t="s">
        <v>391</v>
      </c>
      <c r="T12" s="300" t="s">
        <v>394</v>
      </c>
      <c r="U12" s="330">
        <v>4</v>
      </c>
      <c r="V12" s="300"/>
    </row>
    <row r="13" spans="1:22" ht="15" customHeight="1" x14ac:dyDescent="0.3">
      <c r="A13" s="125"/>
      <c r="B13" s="286" t="s">
        <v>356</v>
      </c>
      <c r="C13" s="287" t="s">
        <v>129</v>
      </c>
      <c r="D13" s="277">
        <v>6.6000000000000003E-2</v>
      </c>
      <c r="E13" s="556">
        <v>33.196800000000003</v>
      </c>
      <c r="F13" s="555"/>
      <c r="G13" s="542"/>
      <c r="H13" s="286" t="s">
        <v>268</v>
      </c>
      <c r="I13" s="335" t="s">
        <v>27</v>
      </c>
      <c r="J13" s="335"/>
      <c r="K13" s="334">
        <v>0.5</v>
      </c>
      <c r="L13" s="287"/>
      <c r="M13" s="559"/>
      <c r="N13" s="300" t="s">
        <v>231</v>
      </c>
      <c r="O13" s="300"/>
      <c r="P13" s="277">
        <v>3.2</v>
      </c>
      <c r="Q13" s="300"/>
      <c r="S13" s="300" t="s">
        <v>397</v>
      </c>
      <c r="T13" s="300"/>
      <c r="U13" s="330">
        <v>3.5</v>
      </c>
      <c r="V13" s="300"/>
    </row>
    <row r="14" spans="1:22" ht="15" customHeight="1" x14ac:dyDescent="0.3">
      <c r="B14" s="286" t="s">
        <v>150</v>
      </c>
      <c r="C14" s="287" t="s">
        <v>23</v>
      </c>
      <c r="D14" s="277">
        <v>3.2000000000000001E-2</v>
      </c>
      <c r="E14" s="557">
        <v>3.5649999999999999</v>
      </c>
      <c r="F14" s="565"/>
      <c r="G14" s="542"/>
      <c r="H14" s="286" t="s">
        <v>268</v>
      </c>
      <c r="I14" s="335" t="s">
        <v>154</v>
      </c>
      <c r="J14" s="335"/>
      <c r="K14" s="334">
        <v>0.5</v>
      </c>
      <c r="L14" s="287"/>
      <c r="M14" s="559"/>
      <c r="N14" s="300" t="s">
        <v>232</v>
      </c>
      <c r="O14" s="300"/>
      <c r="P14" s="277">
        <v>5</v>
      </c>
      <c r="Q14" s="300"/>
      <c r="S14" s="300" t="s">
        <v>398</v>
      </c>
      <c r="T14" s="300"/>
      <c r="U14" s="330">
        <v>4</v>
      </c>
      <c r="V14" s="300"/>
    </row>
    <row r="15" spans="1:22" ht="15" customHeight="1" x14ac:dyDescent="0.3">
      <c r="B15" s="286" t="s">
        <v>150</v>
      </c>
      <c r="C15" s="287" t="s">
        <v>24</v>
      </c>
      <c r="D15" s="277">
        <v>3.5000000000000003E-2</v>
      </c>
      <c r="E15" s="558">
        <v>6.4284999999999997</v>
      </c>
      <c r="F15" s="565"/>
      <c r="G15" s="542"/>
      <c r="H15" s="286" t="s">
        <v>268</v>
      </c>
      <c r="I15" s="335" t="s">
        <v>155</v>
      </c>
      <c r="J15" s="335"/>
      <c r="K15" s="334">
        <v>0.55000000000000004</v>
      </c>
      <c r="L15" s="287"/>
      <c r="M15" s="559"/>
      <c r="N15" s="332" t="s">
        <v>218</v>
      </c>
      <c r="O15" s="300"/>
      <c r="P15" s="330">
        <v>0.6</v>
      </c>
      <c r="Q15" s="300"/>
      <c r="S15" s="300" t="s">
        <v>399</v>
      </c>
      <c r="T15" s="300"/>
      <c r="U15" s="330">
        <v>6</v>
      </c>
      <c r="V15" s="300"/>
    </row>
    <row r="16" spans="1:22" ht="15" customHeight="1" x14ac:dyDescent="0.3">
      <c r="B16" s="286" t="s">
        <v>150</v>
      </c>
      <c r="C16" s="287" t="s">
        <v>25</v>
      </c>
      <c r="D16" s="277">
        <v>3.7999999999999999E-2</v>
      </c>
      <c r="E16" s="558">
        <v>7.6829999999999998</v>
      </c>
      <c r="F16" s="565"/>
      <c r="G16" s="542"/>
      <c r="H16" s="286"/>
      <c r="I16" s="335"/>
      <c r="J16" s="335"/>
      <c r="K16" s="334"/>
      <c r="L16" s="287"/>
      <c r="M16" s="559"/>
      <c r="N16" s="332" t="s">
        <v>219</v>
      </c>
      <c r="O16" s="300"/>
      <c r="P16" s="330">
        <v>0.6</v>
      </c>
      <c r="Q16" s="300"/>
      <c r="S16" s="300" t="s">
        <v>402</v>
      </c>
      <c r="T16" s="300"/>
      <c r="U16" s="330">
        <v>4</v>
      </c>
      <c r="V16" s="300"/>
    </row>
    <row r="17" spans="2:22" ht="15" customHeight="1" x14ac:dyDescent="0.3">
      <c r="B17" s="286" t="s">
        <v>150</v>
      </c>
      <c r="C17" s="287" t="s">
        <v>151</v>
      </c>
      <c r="D17" s="277">
        <v>4.2000000000000003E-2</v>
      </c>
      <c r="E17" s="558">
        <v>13.246500000000001</v>
      </c>
      <c r="F17" s="565"/>
      <c r="G17" s="542"/>
      <c r="H17" s="286" t="s">
        <v>267</v>
      </c>
      <c r="I17" s="335" t="s">
        <v>26</v>
      </c>
      <c r="J17" s="335"/>
      <c r="K17" s="334">
        <v>0.35</v>
      </c>
      <c r="L17" s="287"/>
      <c r="M17" s="559"/>
      <c r="N17" s="300"/>
      <c r="O17" s="300"/>
      <c r="P17" s="330"/>
      <c r="Q17" s="300"/>
      <c r="S17" s="300" t="s">
        <v>403</v>
      </c>
      <c r="T17" s="300"/>
      <c r="U17" s="330">
        <v>4.25</v>
      </c>
      <c r="V17" s="300"/>
    </row>
    <row r="18" spans="2:22" ht="15" customHeight="1" x14ac:dyDescent="0.3">
      <c r="B18" s="286" t="s">
        <v>150</v>
      </c>
      <c r="C18" s="287" t="s">
        <v>38</v>
      </c>
      <c r="D18" s="277">
        <v>4.5999999999999999E-2</v>
      </c>
      <c r="E18" s="558">
        <v>22.390999999999998</v>
      </c>
      <c r="F18" s="565"/>
      <c r="G18" s="542"/>
      <c r="H18" s="286" t="s">
        <v>267</v>
      </c>
      <c r="I18" s="335" t="s">
        <v>129</v>
      </c>
      <c r="J18" s="335"/>
      <c r="K18" s="334">
        <v>0.35</v>
      </c>
      <c r="L18" s="287"/>
      <c r="M18" s="559"/>
      <c r="N18" s="329" t="s">
        <v>217</v>
      </c>
      <c r="O18" s="300"/>
      <c r="P18" s="330"/>
      <c r="Q18" s="300"/>
      <c r="S18" s="300" t="s">
        <v>404</v>
      </c>
      <c r="T18" s="300"/>
      <c r="U18" s="330">
        <v>4.5</v>
      </c>
      <c r="V18" s="300"/>
    </row>
    <row r="19" spans="2:22" ht="15" customHeight="1" x14ac:dyDescent="0.3">
      <c r="B19" s="286" t="s">
        <v>150</v>
      </c>
      <c r="C19" s="287" t="s">
        <v>26</v>
      </c>
      <c r="D19" s="277">
        <v>5.2999999999999999E-2</v>
      </c>
      <c r="E19" s="558">
        <v>22.891500000000001</v>
      </c>
      <c r="F19" s="565"/>
      <c r="G19" s="542"/>
      <c r="H19" s="286" t="s">
        <v>267</v>
      </c>
      <c r="I19" s="335" t="s">
        <v>27</v>
      </c>
      <c r="J19" s="335"/>
      <c r="K19" s="334">
        <v>0.4</v>
      </c>
      <c r="L19" s="287"/>
      <c r="M19" s="559"/>
      <c r="N19" s="300" t="s">
        <v>230</v>
      </c>
      <c r="O19" s="300"/>
      <c r="P19" s="330">
        <v>2.7</v>
      </c>
      <c r="Q19" s="300"/>
      <c r="S19" s="300" t="s">
        <v>405</v>
      </c>
      <c r="T19" s="300"/>
      <c r="U19" s="330">
        <v>4.75</v>
      </c>
      <c r="V19" s="300"/>
    </row>
    <row r="20" spans="2:22" x14ac:dyDescent="0.3">
      <c r="B20" s="286" t="s">
        <v>150</v>
      </c>
      <c r="C20" s="287" t="s">
        <v>152</v>
      </c>
      <c r="D20" s="277">
        <v>0.06</v>
      </c>
      <c r="E20" s="558">
        <v>28.627999999999997</v>
      </c>
      <c r="F20" s="565"/>
      <c r="G20" s="542"/>
      <c r="H20" s="286" t="s">
        <v>267</v>
      </c>
      <c r="I20" s="335" t="s">
        <v>154</v>
      </c>
      <c r="J20" s="335"/>
      <c r="K20" s="334">
        <v>0.4</v>
      </c>
      <c r="L20" s="287"/>
      <c r="M20" s="559"/>
      <c r="N20" s="300" t="s">
        <v>229</v>
      </c>
      <c r="O20" s="300"/>
      <c r="P20" s="330">
        <v>2</v>
      </c>
      <c r="Q20" s="300"/>
      <c r="S20" s="300" t="s">
        <v>400</v>
      </c>
      <c r="T20" s="300" t="s">
        <v>401</v>
      </c>
      <c r="U20" s="330">
        <v>2</v>
      </c>
      <c r="V20" s="300"/>
    </row>
    <row r="21" spans="2:22" x14ac:dyDescent="0.3">
      <c r="B21" s="286" t="s">
        <v>150</v>
      </c>
      <c r="C21" s="287" t="s">
        <v>129</v>
      </c>
      <c r="D21" s="277">
        <v>6.6000000000000003E-2</v>
      </c>
      <c r="E21" s="558">
        <v>44.551499999999997</v>
      </c>
      <c r="F21" s="565"/>
      <c r="G21" s="542"/>
      <c r="H21" s="286" t="s">
        <v>267</v>
      </c>
      <c r="I21" s="335" t="s">
        <v>155</v>
      </c>
      <c r="J21" s="335"/>
      <c r="K21" s="334">
        <v>0.55000000000000004</v>
      </c>
      <c r="L21" s="287"/>
      <c r="M21" s="559"/>
      <c r="N21" s="300" t="s">
        <v>228</v>
      </c>
      <c r="O21" s="300"/>
      <c r="P21" s="330">
        <v>2</v>
      </c>
      <c r="Q21" s="300"/>
      <c r="S21" s="300"/>
      <c r="T21" s="300"/>
      <c r="U21" s="330"/>
      <c r="V21" s="300"/>
    </row>
    <row r="22" spans="2:22" x14ac:dyDescent="0.3">
      <c r="B22" s="286" t="s">
        <v>150</v>
      </c>
      <c r="C22" s="287" t="s">
        <v>27</v>
      </c>
      <c r="D22" s="277">
        <v>0.08</v>
      </c>
      <c r="E22" s="558">
        <v>73.67949999999999</v>
      </c>
      <c r="F22" s="565"/>
      <c r="G22" s="542"/>
      <c r="H22" s="286"/>
      <c r="I22" s="335"/>
      <c r="J22" s="335"/>
      <c r="K22" s="334"/>
      <c r="L22" s="287"/>
      <c r="M22" s="559"/>
      <c r="N22" s="332" t="s">
        <v>220</v>
      </c>
      <c r="O22" s="300"/>
      <c r="P22" s="330">
        <v>-0.5</v>
      </c>
      <c r="Q22" s="300"/>
      <c r="S22" s="329" t="s">
        <v>416</v>
      </c>
      <c r="T22" s="300"/>
      <c r="U22" s="330"/>
      <c r="V22" s="300"/>
    </row>
    <row r="23" spans="2:22" x14ac:dyDescent="0.3">
      <c r="B23" s="286" t="s">
        <v>166</v>
      </c>
      <c r="C23" s="287" t="s">
        <v>23</v>
      </c>
      <c r="D23" s="277">
        <v>3.2000000000000001E-2</v>
      </c>
      <c r="E23" s="557">
        <v>7.57</v>
      </c>
      <c r="F23" s="565"/>
      <c r="G23" s="542"/>
      <c r="H23" s="286" t="s">
        <v>208</v>
      </c>
      <c r="I23" s="335"/>
      <c r="J23" s="335"/>
      <c r="K23" s="334">
        <v>1</v>
      </c>
      <c r="L23" s="287"/>
      <c r="M23" s="559"/>
      <c r="N23" s="332" t="s">
        <v>221</v>
      </c>
      <c r="O23" s="300"/>
      <c r="P23" s="330">
        <v>1</v>
      </c>
      <c r="Q23" s="300"/>
      <c r="S23" s="300" t="s">
        <v>417</v>
      </c>
      <c r="T23" s="300"/>
      <c r="U23" s="330">
        <v>4</v>
      </c>
      <c r="V23" s="300"/>
    </row>
    <row r="24" spans="2:22" x14ac:dyDescent="0.3">
      <c r="B24" s="286" t="s">
        <v>166</v>
      </c>
      <c r="C24" s="287" t="s">
        <v>24</v>
      </c>
      <c r="D24" s="277">
        <v>3.5000000000000003E-2</v>
      </c>
      <c r="E24" s="557">
        <v>14.2</v>
      </c>
      <c r="F24" s="565"/>
      <c r="G24" s="542"/>
      <c r="H24" s="286" t="s">
        <v>209</v>
      </c>
      <c r="I24" s="335"/>
      <c r="J24" s="335"/>
      <c r="K24" s="325">
        <v>1</v>
      </c>
      <c r="L24" s="287"/>
      <c r="M24" s="559"/>
      <c r="N24" s="332" t="s">
        <v>222</v>
      </c>
      <c r="O24" s="300"/>
      <c r="P24" s="330">
        <v>0.2</v>
      </c>
      <c r="Q24" s="300"/>
      <c r="S24" s="300" t="s">
        <v>418</v>
      </c>
      <c r="T24" s="300" t="s">
        <v>423</v>
      </c>
      <c r="U24" s="330">
        <v>4</v>
      </c>
      <c r="V24" s="300"/>
    </row>
    <row r="25" spans="2:22" x14ac:dyDescent="0.3">
      <c r="B25" s="286" t="s">
        <v>166</v>
      </c>
      <c r="C25" s="287" t="s">
        <v>25</v>
      </c>
      <c r="D25" s="277">
        <v>3.7999999999999999E-2</v>
      </c>
      <c r="E25" s="557">
        <v>18.55</v>
      </c>
      <c r="F25" s="565"/>
      <c r="G25" s="542"/>
      <c r="H25" s="286" t="s">
        <v>210</v>
      </c>
      <c r="I25" s="335"/>
      <c r="J25" s="335"/>
      <c r="K25" s="325">
        <v>1.1499999999999999</v>
      </c>
      <c r="L25" s="287"/>
      <c r="M25" s="559"/>
      <c r="N25" s="332" t="s">
        <v>223</v>
      </c>
      <c r="O25" s="300"/>
      <c r="P25" s="330">
        <v>0.35</v>
      </c>
      <c r="Q25" s="300"/>
      <c r="S25" s="300" t="s">
        <v>419</v>
      </c>
      <c r="T25" s="300" t="s">
        <v>423</v>
      </c>
      <c r="U25" s="330">
        <v>4.5</v>
      </c>
      <c r="V25" s="300"/>
    </row>
    <row r="26" spans="2:22" ht="16.5" customHeight="1" x14ac:dyDescent="0.3">
      <c r="B26" s="286" t="s">
        <v>166</v>
      </c>
      <c r="C26" s="287" t="s">
        <v>151</v>
      </c>
      <c r="D26" s="277">
        <v>4.2000000000000003E-2</v>
      </c>
      <c r="E26" s="557">
        <v>38.08</v>
      </c>
      <c r="F26" s="565"/>
      <c r="G26" s="542"/>
      <c r="H26" s="286" t="s">
        <v>211</v>
      </c>
      <c r="I26" s="335"/>
      <c r="J26" s="335"/>
      <c r="K26" s="325">
        <v>1.25</v>
      </c>
      <c r="L26" s="287"/>
      <c r="M26" s="559"/>
      <c r="N26" s="300"/>
      <c r="O26" s="300"/>
      <c r="P26" s="330"/>
      <c r="Q26" s="300"/>
      <c r="S26" s="300" t="s">
        <v>420</v>
      </c>
      <c r="T26" s="300" t="s">
        <v>423</v>
      </c>
      <c r="U26" s="330">
        <v>5</v>
      </c>
      <c r="V26" s="300"/>
    </row>
    <row r="27" spans="2:22" x14ac:dyDescent="0.3">
      <c r="B27" s="286" t="s">
        <v>166</v>
      </c>
      <c r="C27" s="287" t="s">
        <v>38</v>
      </c>
      <c r="D27" s="277">
        <v>4.5999999999999999E-2</v>
      </c>
      <c r="E27" s="557">
        <v>49.51</v>
      </c>
      <c r="F27" s="565"/>
      <c r="G27" s="542"/>
      <c r="H27" s="286" t="s">
        <v>212</v>
      </c>
      <c r="I27" s="335"/>
      <c r="J27" s="335"/>
      <c r="K27" s="325">
        <v>1.5</v>
      </c>
      <c r="L27" s="287"/>
      <c r="M27" s="559"/>
      <c r="N27" s="329" t="s">
        <v>224</v>
      </c>
      <c r="O27" s="300"/>
      <c r="P27" s="330"/>
      <c r="Q27" s="300"/>
      <c r="S27" s="300" t="s">
        <v>421</v>
      </c>
      <c r="T27" s="300" t="s">
        <v>422</v>
      </c>
      <c r="U27" s="330"/>
      <c r="V27" s="300"/>
    </row>
    <row r="28" spans="2:22" x14ac:dyDescent="0.3">
      <c r="B28" s="286" t="s">
        <v>166</v>
      </c>
      <c r="C28" s="287" t="s">
        <v>26</v>
      </c>
      <c r="D28" s="277">
        <v>5.2999999999999999E-2</v>
      </c>
      <c r="E28" s="557">
        <v>90.31</v>
      </c>
      <c r="F28" s="565"/>
      <c r="G28" s="542"/>
      <c r="H28" s="361"/>
      <c r="I28" s="362"/>
      <c r="J28" s="335"/>
      <c r="K28" s="325"/>
      <c r="L28" s="357"/>
      <c r="M28" s="559"/>
      <c r="N28" s="300" t="s">
        <v>225</v>
      </c>
      <c r="O28" s="300"/>
      <c r="P28" s="330">
        <v>2</v>
      </c>
      <c r="Q28" s="300"/>
      <c r="S28" s="300"/>
      <c r="T28" s="300"/>
      <c r="U28" s="330"/>
      <c r="V28" s="300"/>
    </row>
    <row r="29" spans="2:22" x14ac:dyDescent="0.3">
      <c r="B29" s="286" t="s">
        <v>166</v>
      </c>
      <c r="C29" s="287" t="s">
        <v>152</v>
      </c>
      <c r="D29" s="277">
        <v>0.06</v>
      </c>
      <c r="E29" s="557">
        <v>137.35</v>
      </c>
      <c r="F29" s="555"/>
      <c r="G29" s="542"/>
      <c r="H29" s="286" t="s">
        <v>379</v>
      </c>
      <c r="I29" s="335" t="s">
        <v>27</v>
      </c>
      <c r="J29" s="335" t="s">
        <v>380</v>
      </c>
      <c r="K29" s="325">
        <v>0.65</v>
      </c>
      <c r="L29" s="357">
        <v>678.71</v>
      </c>
      <c r="M29" s="559"/>
      <c r="N29" s="300" t="s">
        <v>226</v>
      </c>
      <c r="O29" s="300"/>
      <c r="P29" s="330">
        <v>2.15</v>
      </c>
      <c r="Q29" s="300"/>
      <c r="S29" s="329" t="s">
        <v>424</v>
      </c>
      <c r="T29" s="300"/>
      <c r="U29" s="330"/>
      <c r="V29" s="300"/>
    </row>
    <row r="30" spans="2:22" x14ac:dyDescent="0.3">
      <c r="B30" s="286" t="s">
        <v>166</v>
      </c>
      <c r="C30" s="287" t="s">
        <v>129</v>
      </c>
      <c r="D30" s="277">
        <v>6.6000000000000003E-2</v>
      </c>
      <c r="E30" s="557">
        <v>191.05</v>
      </c>
      <c r="F30" s="555"/>
      <c r="G30" s="542"/>
      <c r="H30" s="286" t="s">
        <v>379</v>
      </c>
      <c r="I30" s="335" t="s">
        <v>27</v>
      </c>
      <c r="J30" s="335" t="s">
        <v>442</v>
      </c>
      <c r="K30" s="325">
        <v>0.65</v>
      </c>
      <c r="L30" s="357">
        <v>252.75</v>
      </c>
      <c r="M30" s="559"/>
      <c r="N30" s="300" t="s">
        <v>227</v>
      </c>
      <c r="O30" s="300"/>
      <c r="P30" s="330">
        <v>2.6</v>
      </c>
      <c r="Q30" s="300"/>
      <c r="S30" s="300" t="s">
        <v>425</v>
      </c>
      <c r="T30" s="300" t="s">
        <v>426</v>
      </c>
      <c r="U30" s="330">
        <v>2</v>
      </c>
      <c r="V30" s="300"/>
    </row>
    <row r="31" spans="2:22" x14ac:dyDescent="0.3">
      <c r="B31" s="286" t="s">
        <v>165</v>
      </c>
      <c r="C31" s="287" t="s">
        <v>23</v>
      </c>
      <c r="D31" s="277">
        <v>3.2000000000000001E-2</v>
      </c>
      <c r="E31" s="558">
        <v>6.8122799999999994</v>
      </c>
      <c r="F31" s="555"/>
      <c r="G31" s="542"/>
      <c r="H31" s="286" t="s">
        <v>379</v>
      </c>
      <c r="I31" s="335" t="s">
        <v>154</v>
      </c>
      <c r="J31" s="335" t="s">
        <v>443</v>
      </c>
      <c r="K31" s="325">
        <v>0.65</v>
      </c>
      <c r="L31" s="373">
        <v>438</v>
      </c>
      <c r="M31" s="559"/>
      <c r="N31" s="332" t="s">
        <v>222</v>
      </c>
      <c r="O31" s="300"/>
      <c r="P31" s="330">
        <v>0.2</v>
      </c>
      <c r="Q31" s="300"/>
      <c r="S31" s="300" t="s">
        <v>129</v>
      </c>
      <c r="T31" s="300" t="s">
        <v>426</v>
      </c>
      <c r="U31" s="330">
        <v>2</v>
      </c>
      <c r="V31" s="300"/>
    </row>
    <row r="32" spans="2:22" x14ac:dyDescent="0.3">
      <c r="B32" s="286" t="s">
        <v>165</v>
      </c>
      <c r="C32" s="287" t="s">
        <v>24</v>
      </c>
      <c r="D32" s="277">
        <v>3.5000000000000003E-2</v>
      </c>
      <c r="E32" s="558">
        <v>12.435840000000001</v>
      </c>
      <c r="F32" s="555"/>
      <c r="G32" s="542"/>
      <c r="H32" s="361"/>
      <c r="I32" s="362"/>
      <c r="J32" s="335"/>
      <c r="K32" s="325"/>
      <c r="L32" s="357"/>
      <c r="M32" s="559"/>
      <c r="N32" s="332" t="s">
        <v>223</v>
      </c>
      <c r="O32" s="300"/>
      <c r="P32" s="330">
        <v>0.35</v>
      </c>
      <c r="Q32" s="300"/>
      <c r="S32" s="300" t="s">
        <v>27</v>
      </c>
      <c r="T32" s="300" t="s">
        <v>426</v>
      </c>
      <c r="U32" s="330">
        <v>2</v>
      </c>
      <c r="V32" s="300"/>
    </row>
    <row r="33" spans="2:22" x14ac:dyDescent="0.3">
      <c r="B33" s="286" t="s">
        <v>165</v>
      </c>
      <c r="C33" s="287" t="s">
        <v>25</v>
      </c>
      <c r="D33" s="277">
        <v>3.7999999999999999E-2</v>
      </c>
      <c r="E33" s="558">
        <v>16.169640000000001</v>
      </c>
      <c r="F33" s="555"/>
      <c r="G33" s="542"/>
      <c r="H33" s="361"/>
      <c r="I33" s="362"/>
      <c r="J33" s="335"/>
      <c r="K33" s="325"/>
      <c r="L33" s="357"/>
      <c r="M33" s="559"/>
      <c r="N33" s="332" t="s">
        <v>237</v>
      </c>
      <c r="O33" s="300" t="s">
        <v>145</v>
      </c>
      <c r="P33" s="330">
        <v>0.35</v>
      </c>
      <c r="Q33" s="300"/>
      <c r="S33" s="300" t="s">
        <v>154</v>
      </c>
      <c r="T33" s="300" t="s">
        <v>426</v>
      </c>
      <c r="U33" s="330">
        <v>2</v>
      </c>
      <c r="V33" s="300"/>
    </row>
    <row r="34" spans="2:22" x14ac:dyDescent="0.3">
      <c r="B34" s="286" t="s">
        <v>165</v>
      </c>
      <c r="C34" s="287" t="s">
        <v>151</v>
      </c>
      <c r="D34" s="277">
        <v>4.2000000000000003E-2</v>
      </c>
      <c r="E34" s="558">
        <v>20.299679999999999</v>
      </c>
      <c r="F34" s="555"/>
      <c r="G34" s="542"/>
      <c r="H34" s="361"/>
      <c r="I34" s="362"/>
      <c r="J34" s="335"/>
      <c r="K34" s="325"/>
      <c r="L34" s="357"/>
      <c r="M34" s="559"/>
      <c r="N34" s="332" t="s">
        <v>238</v>
      </c>
      <c r="O34" s="300"/>
      <c r="P34" s="330">
        <v>2</v>
      </c>
      <c r="Q34" s="300"/>
      <c r="S34" s="300"/>
      <c r="T34" s="300"/>
      <c r="U34" s="330"/>
      <c r="V34" s="300"/>
    </row>
    <row r="35" spans="2:22" x14ac:dyDescent="0.3">
      <c r="B35" s="286" t="s">
        <v>165</v>
      </c>
      <c r="C35" s="287" t="s">
        <v>38</v>
      </c>
      <c r="D35" s="277">
        <v>4.5999999999999999E-2</v>
      </c>
      <c r="E35" s="558">
        <v>26.776679999999999</v>
      </c>
      <c r="F35" s="555"/>
      <c r="G35" s="542"/>
      <c r="H35" s="286"/>
      <c r="I35" s="335"/>
      <c r="J35" s="335"/>
      <c r="K35" s="287"/>
      <c r="L35" s="287"/>
      <c r="M35" s="559"/>
      <c r="N35" s="300"/>
      <c r="O35" s="300"/>
      <c r="P35" s="330"/>
      <c r="Q35" s="300"/>
      <c r="S35" s="329" t="s">
        <v>392</v>
      </c>
      <c r="T35" s="300"/>
      <c r="U35" s="330"/>
      <c r="V35" s="300"/>
    </row>
    <row r="36" spans="2:22" ht="33" x14ac:dyDescent="0.3">
      <c r="B36" s="286" t="s">
        <v>165</v>
      </c>
      <c r="C36" s="287" t="s">
        <v>26</v>
      </c>
      <c r="D36" s="277">
        <v>5.2999999999999999E-2</v>
      </c>
      <c r="E36" s="558">
        <v>39.867839999999994</v>
      </c>
      <c r="F36" s="555"/>
      <c r="G36" s="542"/>
      <c r="H36" s="343" t="s">
        <v>164</v>
      </c>
      <c r="I36" s="344"/>
      <c r="J36" s="344"/>
      <c r="K36" s="324"/>
      <c r="L36" s="324"/>
      <c r="M36" s="559"/>
      <c r="N36" s="329" t="s">
        <v>243</v>
      </c>
      <c r="O36" s="300"/>
      <c r="P36" s="330"/>
      <c r="Q36" s="300"/>
      <c r="S36" s="365" t="s">
        <v>393</v>
      </c>
      <c r="T36" s="300"/>
      <c r="U36" s="330"/>
      <c r="V36" s="300"/>
    </row>
    <row r="37" spans="2:22" x14ac:dyDescent="0.3">
      <c r="B37" s="286" t="s">
        <v>165</v>
      </c>
      <c r="C37" s="287" t="s">
        <v>152</v>
      </c>
      <c r="D37" s="277">
        <v>0.06</v>
      </c>
      <c r="E37" s="558">
        <v>58.597800000000007</v>
      </c>
      <c r="F37" s="555"/>
      <c r="G37" s="542"/>
      <c r="H37" s="336" t="s">
        <v>269</v>
      </c>
      <c r="I37" s="335"/>
      <c r="J37" s="335"/>
      <c r="K37" s="287"/>
      <c r="L37" s="287"/>
      <c r="M37" s="559"/>
      <c r="N37" s="300" t="s">
        <v>239</v>
      </c>
      <c r="O37" s="300"/>
      <c r="P37" s="330">
        <v>2.25</v>
      </c>
      <c r="Q37" s="300"/>
      <c r="S37" s="300" t="s">
        <v>24</v>
      </c>
      <c r="T37" s="300"/>
      <c r="U37" s="330">
        <v>3</v>
      </c>
      <c r="V37" s="300"/>
    </row>
    <row r="38" spans="2:22" ht="16.5" customHeight="1" x14ac:dyDescent="0.3">
      <c r="B38" s="286" t="s">
        <v>165</v>
      </c>
      <c r="C38" s="287" t="s">
        <v>129</v>
      </c>
      <c r="D38" s="277">
        <v>6.6000000000000003E-2</v>
      </c>
      <c r="E38" s="558">
        <v>80.878679999999989</v>
      </c>
      <c r="F38" s="555"/>
      <c r="G38" s="542"/>
      <c r="H38" s="286" t="s">
        <v>534</v>
      </c>
      <c r="I38" s="335" t="s">
        <v>23</v>
      </c>
      <c r="J38" s="335" t="s">
        <v>270</v>
      </c>
      <c r="K38" s="287">
        <v>0.21</v>
      </c>
      <c r="L38" s="287">
        <v>22.011500000000002</v>
      </c>
      <c r="M38" s="559"/>
      <c r="N38" s="300"/>
      <c r="O38" s="300"/>
      <c r="P38" s="330"/>
      <c r="Q38" s="300"/>
      <c r="S38" s="300" t="s">
        <v>25</v>
      </c>
      <c r="T38" s="300"/>
      <c r="U38" s="330">
        <v>3</v>
      </c>
      <c r="V38" s="300"/>
    </row>
    <row r="39" spans="2:22" x14ac:dyDescent="0.3">
      <c r="B39" s="286" t="s">
        <v>165</v>
      </c>
      <c r="C39" s="287" t="s">
        <v>27</v>
      </c>
      <c r="D39" s="277">
        <v>0.08</v>
      </c>
      <c r="E39" s="557">
        <v>104.51591999999999</v>
      </c>
      <c r="F39" s="555"/>
      <c r="G39" s="542"/>
      <c r="H39" s="286" t="s">
        <v>534</v>
      </c>
      <c r="I39" s="335" t="s">
        <v>24</v>
      </c>
      <c r="J39" s="335" t="s">
        <v>270</v>
      </c>
      <c r="K39" s="287">
        <v>0.25</v>
      </c>
      <c r="L39" s="287">
        <v>28.448700000000002</v>
      </c>
      <c r="M39" s="559"/>
      <c r="N39" s="329" t="s">
        <v>240</v>
      </c>
      <c r="O39" s="300"/>
      <c r="P39" s="330"/>
      <c r="Q39" s="300"/>
      <c r="S39" s="300" t="s">
        <v>151</v>
      </c>
      <c r="T39" s="300"/>
      <c r="U39" s="330">
        <v>3.5</v>
      </c>
      <c r="V39" s="300"/>
    </row>
    <row r="40" spans="2:22" x14ac:dyDescent="0.3">
      <c r="B40" s="286" t="s">
        <v>389</v>
      </c>
      <c r="C40" s="287" t="s">
        <v>23</v>
      </c>
      <c r="D40" s="277">
        <v>3.2000000000000001E-2</v>
      </c>
      <c r="E40" s="278">
        <v>10.82</v>
      </c>
      <c r="G40" s="542"/>
      <c r="H40" s="286" t="s">
        <v>534</v>
      </c>
      <c r="I40" s="335" t="s">
        <v>25</v>
      </c>
      <c r="J40" s="335" t="s">
        <v>270</v>
      </c>
      <c r="K40" s="287">
        <v>0.3</v>
      </c>
      <c r="L40" s="287">
        <v>45.924900000000001</v>
      </c>
      <c r="M40" s="559"/>
      <c r="N40" s="300" t="s">
        <v>241</v>
      </c>
      <c r="O40" s="300"/>
      <c r="P40" s="330">
        <v>2.7</v>
      </c>
      <c r="Q40" s="300"/>
      <c r="S40" s="300" t="s">
        <v>38</v>
      </c>
      <c r="T40" s="300"/>
      <c r="U40" s="330">
        <v>3.75</v>
      </c>
      <c r="V40" s="300"/>
    </row>
    <row r="41" spans="2:22" x14ac:dyDescent="0.3">
      <c r="B41" s="286" t="s">
        <v>389</v>
      </c>
      <c r="C41" s="287" t="s">
        <v>24</v>
      </c>
      <c r="D41" s="277">
        <v>3.5000000000000003E-2</v>
      </c>
      <c r="E41" s="278">
        <v>17.21</v>
      </c>
      <c r="G41" s="542"/>
      <c r="H41" s="286" t="s">
        <v>534</v>
      </c>
      <c r="I41" s="335" t="s">
        <v>151</v>
      </c>
      <c r="J41" s="335" t="s">
        <v>270</v>
      </c>
      <c r="K41" s="287">
        <v>0.4</v>
      </c>
      <c r="L41" s="287">
        <v>87.487400000000008</v>
      </c>
      <c r="M41" s="559"/>
      <c r="N41" s="332" t="s">
        <v>242</v>
      </c>
      <c r="O41" s="300"/>
      <c r="P41" s="330">
        <v>0.1</v>
      </c>
      <c r="Q41" s="300"/>
      <c r="S41" s="300" t="s">
        <v>26</v>
      </c>
      <c r="T41" s="300"/>
      <c r="U41" s="330">
        <v>4</v>
      </c>
      <c r="V41" s="300"/>
    </row>
    <row r="42" spans="2:22" x14ac:dyDescent="0.3">
      <c r="B42" s="286" t="s">
        <v>389</v>
      </c>
      <c r="C42" s="287" t="s">
        <v>25</v>
      </c>
      <c r="D42" s="277">
        <v>3.7999999999999999E-2</v>
      </c>
      <c r="E42" s="278">
        <v>24.76</v>
      </c>
      <c r="G42" s="542"/>
      <c r="H42" s="286" t="s">
        <v>534</v>
      </c>
      <c r="I42" s="335" t="s">
        <v>38</v>
      </c>
      <c r="J42" s="335" t="s">
        <v>270</v>
      </c>
      <c r="K42" s="287">
        <v>0.45</v>
      </c>
      <c r="L42" s="287">
        <v>120.7906</v>
      </c>
      <c r="M42" s="559"/>
      <c r="N42" s="300"/>
      <c r="O42" s="300"/>
      <c r="P42" s="330"/>
      <c r="Q42" s="300"/>
      <c r="S42" s="300" t="s">
        <v>152</v>
      </c>
      <c r="T42" s="300"/>
      <c r="U42" s="330">
        <v>5</v>
      </c>
      <c r="V42" s="300"/>
    </row>
    <row r="43" spans="2:22" x14ac:dyDescent="0.3">
      <c r="B43" s="286" t="s">
        <v>389</v>
      </c>
      <c r="C43" s="287" t="s">
        <v>151</v>
      </c>
      <c r="D43" s="277">
        <v>4.2000000000000003E-2</v>
      </c>
      <c r="E43" s="563">
        <v>28.880000000000003</v>
      </c>
      <c r="G43" s="542"/>
      <c r="H43" s="286" t="s">
        <v>534</v>
      </c>
      <c r="I43" s="335" t="s">
        <v>26</v>
      </c>
      <c r="J43" s="335" t="s">
        <v>270</v>
      </c>
      <c r="K43" s="287">
        <v>0.5</v>
      </c>
      <c r="L43" s="287">
        <v>180.62730000000002</v>
      </c>
      <c r="M43" s="559"/>
      <c r="N43" s="329" t="s">
        <v>244</v>
      </c>
      <c r="O43" s="300"/>
      <c r="P43" s="330"/>
      <c r="Q43" s="300"/>
      <c r="S43" s="300" t="s">
        <v>129</v>
      </c>
      <c r="T43" s="300" t="s">
        <v>145</v>
      </c>
      <c r="U43" s="330">
        <v>6</v>
      </c>
      <c r="V43" s="300"/>
    </row>
    <row r="44" spans="2:22" x14ac:dyDescent="0.3">
      <c r="B44" s="286" t="s">
        <v>389</v>
      </c>
      <c r="C44" s="287" t="s">
        <v>38</v>
      </c>
      <c r="D44" s="277">
        <v>4.5999999999999999E-2</v>
      </c>
      <c r="E44" s="278">
        <v>33</v>
      </c>
      <c r="G44" s="542"/>
      <c r="H44" s="286" t="s">
        <v>318</v>
      </c>
      <c r="I44" s="287" t="s">
        <v>152</v>
      </c>
      <c r="J44" s="287"/>
      <c r="K44" s="287">
        <v>0.55000000000000004</v>
      </c>
      <c r="L44" s="287"/>
      <c r="M44" s="559"/>
      <c r="N44" s="300" t="s">
        <v>245</v>
      </c>
      <c r="O44" s="300"/>
      <c r="P44" s="330">
        <v>2.65</v>
      </c>
      <c r="Q44" s="300"/>
      <c r="S44" s="300" t="s">
        <v>27</v>
      </c>
      <c r="T44" s="300"/>
      <c r="U44" s="330">
        <v>7</v>
      </c>
      <c r="V44" s="300"/>
    </row>
    <row r="45" spans="2:22" x14ac:dyDescent="0.3">
      <c r="B45" s="286" t="s">
        <v>389</v>
      </c>
      <c r="C45" s="287" t="s">
        <v>26</v>
      </c>
      <c r="D45" s="277">
        <v>5.2999999999999999E-2</v>
      </c>
      <c r="E45" s="359">
        <v>64.650000000000006</v>
      </c>
      <c r="G45" s="542"/>
      <c r="H45" s="286" t="s">
        <v>318</v>
      </c>
      <c r="I45" s="287" t="s">
        <v>129</v>
      </c>
      <c r="J45" s="287"/>
      <c r="K45" s="287">
        <v>0.625</v>
      </c>
      <c r="L45" s="287"/>
      <c r="M45" s="559"/>
      <c r="N45" s="332" t="s">
        <v>247</v>
      </c>
      <c r="O45" s="300"/>
      <c r="P45" s="330">
        <v>0.2</v>
      </c>
      <c r="Q45" s="300"/>
      <c r="S45" s="300"/>
      <c r="T45" s="300"/>
      <c r="U45" s="330"/>
      <c r="V45" s="300"/>
    </row>
    <row r="46" spans="2:22" x14ac:dyDescent="0.3">
      <c r="B46" s="286" t="s">
        <v>389</v>
      </c>
      <c r="C46" s="287" t="s">
        <v>152</v>
      </c>
      <c r="D46" s="277">
        <v>0.06</v>
      </c>
      <c r="E46" s="278">
        <v>94.2</v>
      </c>
      <c r="G46" s="542"/>
      <c r="H46" s="286"/>
      <c r="I46" s="287"/>
      <c r="J46" s="287"/>
      <c r="K46" s="287"/>
      <c r="L46" s="287"/>
      <c r="M46" s="559"/>
      <c r="N46" s="332" t="s">
        <v>223</v>
      </c>
      <c r="O46" s="300"/>
      <c r="P46" s="330">
        <v>0.35</v>
      </c>
      <c r="Q46" s="300"/>
      <c r="S46" s="300"/>
      <c r="T46" s="300"/>
      <c r="U46" s="330"/>
      <c r="V46" s="300"/>
    </row>
    <row r="47" spans="2:22" x14ac:dyDescent="0.3">
      <c r="B47" s="286" t="s">
        <v>389</v>
      </c>
      <c r="C47" s="287" t="s">
        <v>129</v>
      </c>
      <c r="D47" s="277">
        <v>6.6000000000000003E-2</v>
      </c>
      <c r="E47" s="278">
        <v>127.34</v>
      </c>
      <c r="G47" s="542"/>
      <c r="H47" s="286" t="s">
        <v>641</v>
      </c>
      <c r="I47" s="335" t="s">
        <v>23</v>
      </c>
      <c r="J47" s="287" t="s">
        <v>642</v>
      </c>
      <c r="K47" s="287">
        <v>0.21</v>
      </c>
      <c r="L47" s="287">
        <v>43.326999999999998</v>
      </c>
      <c r="M47" s="559"/>
      <c r="N47" s="332" t="s">
        <v>246</v>
      </c>
      <c r="O47" s="300"/>
      <c r="P47" s="330">
        <v>0.2</v>
      </c>
      <c r="Q47" s="300"/>
      <c r="S47" s="329" t="s">
        <v>395</v>
      </c>
      <c r="T47" s="300"/>
      <c r="U47" s="330"/>
      <c r="V47" s="300"/>
    </row>
    <row r="48" spans="2:22" ht="35.25" customHeight="1" x14ac:dyDescent="0.3">
      <c r="B48" s="286" t="s">
        <v>179</v>
      </c>
      <c r="C48" s="287" t="s">
        <v>180</v>
      </c>
      <c r="D48" s="277">
        <v>0.15</v>
      </c>
      <c r="E48" s="278">
        <v>8.36</v>
      </c>
      <c r="G48" s="542"/>
      <c r="H48" s="286" t="s">
        <v>641</v>
      </c>
      <c r="I48" s="335" t="s">
        <v>24</v>
      </c>
      <c r="J48" s="287" t="s">
        <v>642</v>
      </c>
      <c r="K48" s="287">
        <v>0.25</v>
      </c>
      <c r="L48" s="287">
        <v>80.179000000000002</v>
      </c>
      <c r="M48" s="559"/>
      <c r="N48" s="332" t="s">
        <v>248</v>
      </c>
      <c r="O48" s="300"/>
      <c r="P48" s="330">
        <v>0.35</v>
      </c>
      <c r="Q48" s="300"/>
      <c r="S48" s="365" t="s">
        <v>396</v>
      </c>
      <c r="T48" s="300"/>
      <c r="U48" s="330"/>
      <c r="V48" s="300"/>
    </row>
    <row r="49" spans="2:22" x14ac:dyDescent="0.3">
      <c r="B49" s="286" t="s">
        <v>179</v>
      </c>
      <c r="C49" s="287" t="s">
        <v>23</v>
      </c>
      <c r="D49" s="277">
        <v>0.16</v>
      </c>
      <c r="E49" s="278">
        <v>10.82</v>
      </c>
      <c r="G49" s="542"/>
      <c r="H49" s="286" t="s">
        <v>641</v>
      </c>
      <c r="I49" s="335" t="s">
        <v>25</v>
      </c>
      <c r="J49" s="287" t="s">
        <v>642</v>
      </c>
      <c r="K49" s="287">
        <v>0.3</v>
      </c>
      <c r="L49" s="287">
        <v>97.828000000000003</v>
      </c>
      <c r="M49" s="559"/>
      <c r="N49" s="300"/>
      <c r="O49" s="300"/>
      <c r="P49" s="330"/>
      <c r="Q49" s="300"/>
      <c r="S49" s="300" t="s">
        <v>24</v>
      </c>
      <c r="T49" s="300"/>
      <c r="U49" s="330">
        <v>3</v>
      </c>
      <c r="V49" s="300"/>
    </row>
    <row r="50" spans="2:22" x14ac:dyDescent="0.3">
      <c r="B50" s="286" t="s">
        <v>179</v>
      </c>
      <c r="C50" s="287" t="s">
        <v>24</v>
      </c>
      <c r="D50" s="277">
        <v>0.17500000000000002</v>
      </c>
      <c r="E50" s="278">
        <v>17.21</v>
      </c>
      <c r="G50" s="542"/>
      <c r="H50" s="286" t="s">
        <v>641</v>
      </c>
      <c r="I50" s="335" t="s">
        <v>151</v>
      </c>
      <c r="J50" s="287" t="s">
        <v>642</v>
      </c>
      <c r="K50" s="287">
        <v>0.4</v>
      </c>
      <c r="L50" s="287">
        <v>204.24</v>
      </c>
      <c r="M50" s="559"/>
      <c r="N50" s="329" t="s">
        <v>250</v>
      </c>
      <c r="O50" s="300"/>
      <c r="P50" s="330"/>
      <c r="Q50" s="300"/>
      <c r="S50" s="300" t="s">
        <v>25</v>
      </c>
      <c r="T50" s="300"/>
      <c r="U50" s="330">
        <v>3</v>
      </c>
      <c r="V50" s="300"/>
    </row>
    <row r="51" spans="2:22" x14ac:dyDescent="0.3">
      <c r="B51" s="286" t="s">
        <v>179</v>
      </c>
      <c r="C51" s="287" t="s">
        <v>25</v>
      </c>
      <c r="D51" s="277">
        <v>0.19</v>
      </c>
      <c r="E51" s="278">
        <v>24.76</v>
      </c>
      <c r="G51" s="542"/>
      <c r="H51" s="286" t="s">
        <v>641</v>
      </c>
      <c r="I51" s="335" t="s">
        <v>38</v>
      </c>
      <c r="J51" s="287" t="s">
        <v>642</v>
      </c>
      <c r="K51" s="287">
        <v>0.45</v>
      </c>
      <c r="L51" s="287">
        <v>253.82</v>
      </c>
      <c r="M51" s="559"/>
      <c r="N51" s="300" t="s">
        <v>256</v>
      </c>
      <c r="O51" s="300"/>
      <c r="P51" s="330">
        <v>4.5</v>
      </c>
      <c r="Q51" s="300"/>
      <c r="S51" s="300" t="s">
        <v>151</v>
      </c>
      <c r="T51" s="300"/>
      <c r="U51" s="330">
        <v>3.5</v>
      </c>
      <c r="V51" s="300"/>
    </row>
    <row r="52" spans="2:22" x14ac:dyDescent="0.3">
      <c r="B52" s="286" t="s">
        <v>179</v>
      </c>
      <c r="C52" s="287" t="s">
        <v>151</v>
      </c>
      <c r="D52" s="277">
        <v>0.21</v>
      </c>
      <c r="E52" s="563">
        <v>28.880000000000003</v>
      </c>
      <c r="G52" s="542"/>
      <c r="H52" s="286" t="s">
        <v>641</v>
      </c>
      <c r="I52" s="335" t="s">
        <v>26</v>
      </c>
      <c r="J52" s="287" t="s">
        <v>642</v>
      </c>
      <c r="K52" s="287">
        <v>0.5</v>
      </c>
      <c r="L52" s="287">
        <v>355.2</v>
      </c>
      <c r="M52" s="559"/>
      <c r="N52" s="300"/>
      <c r="O52" s="300"/>
      <c r="P52" s="330"/>
      <c r="Q52" s="300"/>
      <c r="S52" s="300" t="s">
        <v>38</v>
      </c>
      <c r="T52" s="300"/>
      <c r="U52" s="330">
        <v>3.75</v>
      </c>
      <c r="V52" s="300"/>
    </row>
    <row r="53" spans="2:22" x14ac:dyDescent="0.3">
      <c r="B53" s="286" t="s">
        <v>179</v>
      </c>
      <c r="C53" s="287" t="s">
        <v>38</v>
      </c>
      <c r="D53" s="277">
        <v>0.22999999999999998</v>
      </c>
      <c r="E53" s="278">
        <v>33</v>
      </c>
      <c r="G53" s="542"/>
      <c r="H53" s="286" t="s">
        <v>641</v>
      </c>
      <c r="I53" s="287" t="s">
        <v>152</v>
      </c>
      <c r="J53" s="287" t="s">
        <v>642</v>
      </c>
      <c r="K53" s="287">
        <v>0.55000000000000004</v>
      </c>
      <c r="L53" s="287">
        <v>885.78</v>
      </c>
      <c r="M53" s="559"/>
      <c r="N53" s="329" t="s">
        <v>251</v>
      </c>
      <c r="O53" s="300"/>
      <c r="P53" s="330"/>
      <c r="Q53" s="300"/>
      <c r="S53" s="300" t="s">
        <v>26</v>
      </c>
      <c r="T53" s="300"/>
      <c r="U53" s="330">
        <v>4.5</v>
      </c>
      <c r="V53" s="300"/>
    </row>
    <row r="54" spans="2:22" x14ac:dyDescent="0.3">
      <c r="B54" s="286" t="s">
        <v>179</v>
      </c>
      <c r="C54" s="287" t="s">
        <v>26</v>
      </c>
      <c r="D54" s="277">
        <f>0.053*5</f>
        <v>0.26500000000000001</v>
      </c>
      <c r="E54" s="359">
        <v>64.650000000000006</v>
      </c>
      <c r="G54" s="542"/>
      <c r="H54" s="286" t="s">
        <v>641</v>
      </c>
      <c r="I54" s="287" t="s">
        <v>129</v>
      </c>
      <c r="J54" s="287" t="s">
        <v>642</v>
      </c>
      <c r="K54" s="287">
        <v>0.625</v>
      </c>
      <c r="L54" s="287">
        <v>941.65</v>
      </c>
      <c r="M54" s="559"/>
      <c r="N54" s="300" t="s">
        <v>252</v>
      </c>
      <c r="O54" s="300"/>
      <c r="P54" s="330">
        <v>3.5</v>
      </c>
      <c r="Q54" s="300"/>
      <c r="S54" s="300" t="s">
        <v>152</v>
      </c>
      <c r="T54" s="300"/>
      <c r="U54" s="330">
        <v>5.75</v>
      </c>
      <c r="V54" s="300"/>
    </row>
    <row r="55" spans="2:22" x14ac:dyDescent="0.3">
      <c r="B55" s="286" t="s">
        <v>179</v>
      </c>
      <c r="C55" s="287" t="s">
        <v>129</v>
      </c>
      <c r="D55" s="277">
        <f>0.066*5</f>
        <v>0.33</v>
      </c>
      <c r="E55" s="359">
        <v>127.34</v>
      </c>
      <c r="G55" s="542"/>
      <c r="H55" s="286"/>
      <c r="I55" s="287"/>
      <c r="J55" s="287"/>
      <c r="K55" s="287"/>
      <c r="L55" s="287"/>
      <c r="M55" s="559"/>
      <c r="N55" s="300" t="s">
        <v>253</v>
      </c>
      <c r="O55" s="300"/>
      <c r="P55" s="330">
        <v>4.25</v>
      </c>
      <c r="Q55" s="300"/>
      <c r="S55" s="300" t="s">
        <v>129</v>
      </c>
      <c r="T55" s="300" t="s">
        <v>145</v>
      </c>
      <c r="U55" s="330">
        <v>6.5</v>
      </c>
      <c r="V55" s="300"/>
    </row>
    <row r="56" spans="2:22" ht="16.5" customHeight="1" x14ac:dyDescent="0.3">
      <c r="B56" s="286" t="s">
        <v>181</v>
      </c>
      <c r="C56" s="287" t="s">
        <v>23</v>
      </c>
      <c r="D56" s="277">
        <v>0.16</v>
      </c>
      <c r="E56" s="278">
        <v>4.17</v>
      </c>
      <c r="G56" s="542"/>
      <c r="H56" s="286" t="s">
        <v>643</v>
      </c>
      <c r="I56" s="335" t="s">
        <v>23</v>
      </c>
      <c r="J56" s="287" t="s">
        <v>644</v>
      </c>
      <c r="K56" s="287">
        <v>0.21</v>
      </c>
      <c r="L56" s="287">
        <f>L47+16</f>
        <v>59.326999999999998</v>
      </c>
      <c r="M56" s="559"/>
      <c r="N56" s="300" t="s">
        <v>254</v>
      </c>
      <c r="O56" s="300"/>
      <c r="P56" s="330">
        <v>4</v>
      </c>
      <c r="Q56" s="300"/>
      <c r="S56" s="300" t="s">
        <v>27</v>
      </c>
      <c r="T56" s="300"/>
      <c r="U56" s="330">
        <v>8</v>
      </c>
      <c r="V56" s="300"/>
    </row>
    <row r="57" spans="2:22" x14ac:dyDescent="0.3">
      <c r="B57" s="286" t="s">
        <v>181</v>
      </c>
      <c r="C57" s="287" t="s">
        <v>24</v>
      </c>
      <c r="D57" s="277">
        <v>0.17500000000000002</v>
      </c>
      <c r="E57" s="278">
        <v>7.79</v>
      </c>
      <c r="G57" s="542"/>
      <c r="H57" s="286" t="s">
        <v>643</v>
      </c>
      <c r="I57" s="335" t="s">
        <v>24</v>
      </c>
      <c r="J57" s="287" t="s">
        <v>644</v>
      </c>
      <c r="K57" s="287">
        <v>0.25</v>
      </c>
      <c r="L57" s="287">
        <f>L48+16</f>
        <v>96.179000000000002</v>
      </c>
      <c r="M57" s="559"/>
      <c r="N57" s="300" t="s">
        <v>255</v>
      </c>
      <c r="O57" s="300"/>
      <c r="P57" s="330">
        <v>4.75</v>
      </c>
      <c r="Q57" s="300"/>
      <c r="S57" s="300"/>
      <c r="T57" s="300"/>
      <c r="U57" s="330"/>
      <c r="V57" s="300"/>
    </row>
    <row r="58" spans="2:22" x14ac:dyDescent="0.3">
      <c r="B58" s="286" t="s">
        <v>181</v>
      </c>
      <c r="C58" s="287" t="s">
        <v>25</v>
      </c>
      <c r="D58" s="277">
        <v>0.19</v>
      </c>
      <c r="E58" s="278">
        <v>9.93</v>
      </c>
      <c r="G58" s="542"/>
      <c r="H58" s="286" t="s">
        <v>643</v>
      </c>
      <c r="I58" s="335" t="s">
        <v>25</v>
      </c>
      <c r="J58" s="287" t="s">
        <v>644</v>
      </c>
      <c r="K58" s="287">
        <v>0.3</v>
      </c>
      <c r="L58" s="287">
        <f>L49+16</f>
        <v>113.828</v>
      </c>
      <c r="M58" s="559"/>
      <c r="N58" s="300"/>
      <c r="O58" s="300"/>
      <c r="P58" s="330"/>
      <c r="Q58" s="300"/>
      <c r="S58" s="300"/>
      <c r="T58" s="300"/>
      <c r="U58" s="330"/>
      <c r="V58" s="300"/>
    </row>
    <row r="59" spans="2:22" x14ac:dyDescent="0.3">
      <c r="B59" s="286" t="s">
        <v>181</v>
      </c>
      <c r="C59" s="287" t="s">
        <v>38</v>
      </c>
      <c r="D59" s="277">
        <v>0.22999999999999998</v>
      </c>
      <c r="E59" s="278">
        <v>16.62</v>
      </c>
      <c r="H59" s="286" t="s">
        <v>643</v>
      </c>
      <c r="I59" s="335" t="s">
        <v>151</v>
      </c>
      <c r="J59" s="287" t="s">
        <v>644</v>
      </c>
      <c r="K59" s="287">
        <v>0.4</v>
      </c>
      <c r="L59" s="287">
        <f>L50+23</f>
        <v>227.24</v>
      </c>
      <c r="M59" s="559"/>
      <c r="N59" s="329" t="s">
        <v>257</v>
      </c>
      <c r="O59" s="300"/>
      <c r="P59" s="330"/>
      <c r="Q59" s="300"/>
      <c r="S59" s="329" t="s">
        <v>409</v>
      </c>
      <c r="T59" s="300"/>
      <c r="U59" s="330"/>
      <c r="V59" s="300"/>
    </row>
    <row r="60" spans="2:22" x14ac:dyDescent="0.3">
      <c r="B60" s="286" t="s">
        <v>596</v>
      </c>
      <c r="C60" s="287" t="s">
        <v>151</v>
      </c>
      <c r="D60" s="277">
        <v>4.2000000000000003E-2</v>
      </c>
      <c r="E60" s="278">
        <v>8.8010000000000002</v>
      </c>
      <c r="H60" s="286" t="s">
        <v>643</v>
      </c>
      <c r="I60" s="335" t="s">
        <v>38</v>
      </c>
      <c r="J60" s="287" t="s">
        <v>644</v>
      </c>
      <c r="K60" s="287">
        <v>0.45</v>
      </c>
      <c r="L60" s="287">
        <f t="shared" ref="L60:L63" si="0">L51+23</f>
        <v>276.82</v>
      </c>
      <c r="M60" s="559"/>
      <c r="N60" s="300" t="s">
        <v>258</v>
      </c>
      <c r="O60" s="300"/>
      <c r="P60" s="330">
        <v>2.5</v>
      </c>
      <c r="Q60" s="300"/>
      <c r="S60" s="300" t="s">
        <v>410</v>
      </c>
      <c r="T60" s="300"/>
      <c r="U60" s="330">
        <v>1.5</v>
      </c>
      <c r="V60" s="300"/>
    </row>
    <row r="61" spans="2:22" x14ac:dyDescent="0.3">
      <c r="B61" s="286" t="s">
        <v>596</v>
      </c>
      <c r="C61" s="287" t="s">
        <v>38</v>
      </c>
      <c r="D61" s="277">
        <v>4.5999999999999999E-2</v>
      </c>
      <c r="E61" s="278">
        <v>10.778</v>
      </c>
      <c r="H61" s="286" t="s">
        <v>643</v>
      </c>
      <c r="I61" s="335" t="s">
        <v>26</v>
      </c>
      <c r="J61" s="287" t="s">
        <v>644</v>
      </c>
      <c r="K61" s="287">
        <v>0.5</v>
      </c>
      <c r="L61" s="287">
        <f t="shared" si="0"/>
        <v>378.2</v>
      </c>
      <c r="M61" s="559"/>
      <c r="N61" s="300" t="s">
        <v>259</v>
      </c>
      <c r="O61" s="300"/>
      <c r="P61" s="330">
        <v>2.65</v>
      </c>
      <c r="Q61" s="300"/>
      <c r="S61" s="300" t="s">
        <v>411</v>
      </c>
      <c r="T61" s="300"/>
      <c r="U61" s="330">
        <v>2</v>
      </c>
      <c r="V61" s="300"/>
    </row>
    <row r="62" spans="2:22" x14ac:dyDescent="0.3">
      <c r="B62" s="286" t="s">
        <v>596</v>
      </c>
      <c r="C62" s="287" t="s">
        <v>26</v>
      </c>
      <c r="D62" s="277">
        <v>5.2999999999999999E-2</v>
      </c>
      <c r="E62" s="278">
        <v>14.49</v>
      </c>
      <c r="H62" s="286" t="s">
        <v>643</v>
      </c>
      <c r="I62" s="287" t="s">
        <v>152</v>
      </c>
      <c r="J62" s="287" t="s">
        <v>644</v>
      </c>
      <c r="K62" s="287">
        <v>0.55000000000000004</v>
      </c>
      <c r="L62" s="287">
        <f t="shared" si="0"/>
        <v>908.78</v>
      </c>
      <c r="M62" s="559"/>
      <c r="N62" s="300" t="s">
        <v>260</v>
      </c>
      <c r="O62" s="300"/>
      <c r="P62" s="330">
        <v>2</v>
      </c>
      <c r="Q62" s="300"/>
      <c r="S62" s="300" t="s">
        <v>412</v>
      </c>
      <c r="T62" s="300"/>
      <c r="U62" s="330">
        <v>2.25</v>
      </c>
      <c r="V62" s="300"/>
    </row>
    <row r="63" spans="2:22" x14ac:dyDescent="0.3">
      <c r="B63" s="286" t="s">
        <v>596</v>
      </c>
      <c r="C63" s="287" t="s">
        <v>129</v>
      </c>
      <c r="D63" s="277">
        <v>6.6000000000000003E-2</v>
      </c>
      <c r="E63" s="278">
        <v>27.010999999999999</v>
      </c>
      <c r="H63" s="286" t="s">
        <v>643</v>
      </c>
      <c r="I63" s="287" t="s">
        <v>129</v>
      </c>
      <c r="J63" s="287" t="s">
        <v>642</v>
      </c>
      <c r="K63" s="287">
        <v>0.625</v>
      </c>
      <c r="L63" s="287">
        <f t="shared" si="0"/>
        <v>964.65</v>
      </c>
      <c r="M63" s="559"/>
      <c r="N63" s="300"/>
      <c r="O63" s="300"/>
      <c r="P63" s="330"/>
      <c r="Q63" s="300"/>
      <c r="S63" s="300" t="s">
        <v>413</v>
      </c>
      <c r="T63" s="300"/>
      <c r="U63" s="330">
        <v>3</v>
      </c>
      <c r="V63" s="300"/>
    </row>
    <row r="64" spans="2:22" x14ac:dyDescent="0.3">
      <c r="B64" s="286" t="s">
        <v>596</v>
      </c>
      <c r="C64" s="287" t="s">
        <v>27</v>
      </c>
      <c r="D64" s="277">
        <v>0.08</v>
      </c>
      <c r="E64" s="278">
        <v>43.988</v>
      </c>
      <c r="H64" s="286"/>
      <c r="I64" s="287"/>
      <c r="J64" s="287"/>
      <c r="K64" s="287"/>
      <c r="L64" s="287"/>
      <c r="M64" s="559"/>
      <c r="N64" s="329" t="s">
        <v>261</v>
      </c>
      <c r="O64" s="300"/>
      <c r="P64" s="330"/>
      <c r="Q64" s="300"/>
      <c r="S64" s="300"/>
      <c r="T64" s="300"/>
      <c r="U64" s="330"/>
      <c r="V64" s="300"/>
    </row>
    <row r="65" spans="2:22" x14ac:dyDescent="0.3">
      <c r="B65" s="336" t="s">
        <v>153</v>
      </c>
      <c r="C65" s="287"/>
      <c r="D65" s="277"/>
      <c r="E65" s="278"/>
      <c r="H65" s="286" t="s">
        <v>535</v>
      </c>
      <c r="I65" s="335" t="s">
        <v>23</v>
      </c>
      <c r="J65" s="287" t="s">
        <v>536</v>
      </c>
      <c r="K65" s="287">
        <v>0.21</v>
      </c>
      <c r="L65" s="287">
        <v>217.32</v>
      </c>
      <c r="M65" s="559"/>
      <c r="N65" s="300" t="s">
        <v>262</v>
      </c>
      <c r="O65" s="300"/>
      <c r="P65" s="330">
        <v>2.5</v>
      </c>
      <c r="Q65" s="300"/>
      <c r="S65" s="329" t="s">
        <v>414</v>
      </c>
      <c r="T65" s="300"/>
      <c r="U65" s="330"/>
      <c r="V65" s="300"/>
    </row>
    <row r="66" spans="2:22" ht="33" x14ac:dyDescent="0.3">
      <c r="B66" s="286" t="s">
        <v>153</v>
      </c>
      <c r="C66" s="287" t="s">
        <v>23</v>
      </c>
      <c r="D66" s="277">
        <v>2.8000000000000001E-2</v>
      </c>
      <c r="E66" s="278">
        <f>13.29/20</f>
        <v>0.66449999999999998</v>
      </c>
      <c r="H66" s="286" t="s">
        <v>535</v>
      </c>
      <c r="I66" s="335" t="s">
        <v>24</v>
      </c>
      <c r="J66" s="287" t="s">
        <v>536</v>
      </c>
      <c r="K66" s="287">
        <v>0.25</v>
      </c>
      <c r="L66" s="287">
        <v>230.14</v>
      </c>
      <c r="M66" s="559"/>
      <c r="N66" s="300" t="s">
        <v>263</v>
      </c>
      <c r="O66" s="300"/>
      <c r="P66" s="330">
        <v>2.5</v>
      </c>
      <c r="Q66" s="300"/>
      <c r="S66" s="365" t="s">
        <v>415</v>
      </c>
      <c r="T66" s="300"/>
      <c r="U66" s="330"/>
      <c r="V66" s="300"/>
    </row>
    <row r="67" spans="2:22" x14ac:dyDescent="0.3">
      <c r="B67" s="286" t="s">
        <v>153</v>
      </c>
      <c r="C67" s="287" t="s">
        <v>24</v>
      </c>
      <c r="D67" s="277">
        <v>0.03</v>
      </c>
      <c r="E67" s="278">
        <v>0.88</v>
      </c>
      <c r="H67" s="286" t="s">
        <v>535</v>
      </c>
      <c r="I67" s="335" t="s">
        <v>25</v>
      </c>
      <c r="J67" s="287" t="s">
        <v>536</v>
      </c>
      <c r="K67" s="287">
        <v>0.3</v>
      </c>
      <c r="L67" s="287">
        <v>300.62</v>
      </c>
      <c r="M67" s="559"/>
      <c r="N67" s="300" t="s">
        <v>265</v>
      </c>
      <c r="O67" s="300"/>
      <c r="P67" s="330">
        <v>2</v>
      </c>
      <c r="Q67" s="300"/>
      <c r="S67" s="300" t="s">
        <v>23</v>
      </c>
      <c r="T67" s="300"/>
      <c r="U67" s="330">
        <v>1.5</v>
      </c>
      <c r="V67" s="300"/>
    </row>
    <row r="68" spans="2:22" x14ac:dyDescent="0.3">
      <c r="B68" s="286" t="s">
        <v>153</v>
      </c>
      <c r="C68" s="287" t="s">
        <v>25</v>
      </c>
      <c r="D68" s="277">
        <v>3.4000000000000002E-2</v>
      </c>
      <c r="E68" s="278">
        <v>2.11</v>
      </c>
      <c r="H68" s="286" t="s">
        <v>535</v>
      </c>
      <c r="I68" s="335" t="s">
        <v>151</v>
      </c>
      <c r="J68" s="287" t="s">
        <v>536</v>
      </c>
      <c r="K68" s="287">
        <v>0.4</v>
      </c>
      <c r="L68" s="287">
        <v>363.69</v>
      </c>
      <c r="M68" s="559"/>
      <c r="N68" s="300" t="s">
        <v>264</v>
      </c>
      <c r="O68" s="300"/>
      <c r="P68" s="330">
        <v>2.5</v>
      </c>
      <c r="Q68" s="300"/>
      <c r="S68" s="300" t="s">
        <v>24</v>
      </c>
      <c r="T68" s="300"/>
      <c r="U68" s="330">
        <v>1.75</v>
      </c>
      <c r="V68" s="300"/>
    </row>
    <row r="69" spans="2:22" x14ac:dyDescent="0.3">
      <c r="B69" s="286" t="s">
        <v>153</v>
      </c>
      <c r="C69" s="287" t="s">
        <v>151</v>
      </c>
      <c r="D69" s="277">
        <v>0.05</v>
      </c>
      <c r="E69" s="278">
        <f>88.9/20</f>
        <v>4.4450000000000003</v>
      </c>
      <c r="H69" s="286" t="s">
        <v>535</v>
      </c>
      <c r="I69" s="335" t="s">
        <v>38</v>
      </c>
      <c r="J69" s="287" t="s">
        <v>536</v>
      </c>
      <c r="K69" s="287">
        <v>0.45</v>
      </c>
      <c r="L69" s="287">
        <v>457.54</v>
      </c>
      <c r="M69" s="559"/>
      <c r="N69" s="300"/>
      <c r="O69" s="300"/>
      <c r="P69" s="330"/>
      <c r="Q69" s="300"/>
      <c r="S69" s="300" t="s">
        <v>25</v>
      </c>
      <c r="T69" s="300"/>
      <c r="U69" s="330">
        <v>2</v>
      </c>
      <c r="V69" s="300"/>
    </row>
    <row r="70" spans="2:22" x14ac:dyDescent="0.3">
      <c r="B70" s="286" t="s">
        <v>153</v>
      </c>
      <c r="C70" s="287" t="s">
        <v>38</v>
      </c>
      <c r="D70" s="277">
        <v>0.05</v>
      </c>
      <c r="E70" s="278">
        <f>103.5/20</f>
        <v>5.1749999999999998</v>
      </c>
      <c r="H70" s="286" t="s">
        <v>535</v>
      </c>
      <c r="I70" s="335" t="s">
        <v>26</v>
      </c>
      <c r="J70" s="287" t="s">
        <v>536</v>
      </c>
      <c r="K70" s="287">
        <v>0.5</v>
      </c>
      <c r="L70" s="287">
        <v>577.73</v>
      </c>
      <c r="M70" s="559"/>
      <c r="N70" s="300"/>
      <c r="O70" s="300"/>
      <c r="P70" s="330"/>
      <c r="Q70" s="300"/>
      <c r="S70" s="300"/>
      <c r="T70" s="300"/>
      <c r="U70" s="330"/>
      <c r="V70" s="300"/>
    </row>
    <row r="71" spans="2:22" x14ac:dyDescent="0.3">
      <c r="B71" s="286" t="s">
        <v>153</v>
      </c>
      <c r="C71" s="287" t="s">
        <v>26</v>
      </c>
      <c r="D71" s="277">
        <v>5.5E-2</v>
      </c>
      <c r="E71" s="278">
        <f>207.01/20</f>
        <v>10.3505</v>
      </c>
      <c r="H71" s="286"/>
      <c r="I71" s="287"/>
      <c r="J71" s="287"/>
      <c r="K71" s="287"/>
      <c r="L71" s="287"/>
      <c r="M71" s="559"/>
      <c r="N71" s="300"/>
      <c r="O71" s="300"/>
      <c r="P71" s="330"/>
      <c r="Q71" s="300"/>
      <c r="S71" s="300"/>
      <c r="T71" s="300"/>
      <c r="U71" s="330"/>
      <c r="V71" s="300"/>
    </row>
    <row r="72" spans="2:22" x14ac:dyDescent="0.3">
      <c r="B72" s="286" t="s">
        <v>153</v>
      </c>
      <c r="C72" s="287" t="s">
        <v>152</v>
      </c>
      <c r="D72" s="277">
        <v>0.06</v>
      </c>
      <c r="E72" s="278">
        <f>704.54/20</f>
        <v>35.226999999999997</v>
      </c>
      <c r="H72" s="336" t="s">
        <v>282</v>
      </c>
      <c r="I72" s="287"/>
      <c r="J72" s="287"/>
      <c r="K72" s="287"/>
      <c r="L72" s="287"/>
      <c r="M72" s="559"/>
      <c r="N72" s="300"/>
      <c r="O72" s="300"/>
      <c r="P72" s="330"/>
      <c r="Q72" s="300"/>
      <c r="S72" s="300"/>
      <c r="T72" s="300"/>
      <c r="U72" s="330"/>
      <c r="V72" s="300"/>
    </row>
    <row r="73" spans="2:22" x14ac:dyDescent="0.3">
      <c r="B73" s="286" t="s">
        <v>153</v>
      </c>
      <c r="C73" s="287" t="s">
        <v>129</v>
      </c>
      <c r="D73" s="277">
        <v>0.06</v>
      </c>
      <c r="E73" s="278">
        <v>0</v>
      </c>
      <c r="H73" s="286" t="s">
        <v>318</v>
      </c>
      <c r="I73" s="335" t="s">
        <v>23</v>
      </c>
      <c r="J73" s="287"/>
      <c r="K73" s="334">
        <v>0.21</v>
      </c>
      <c r="L73" s="287">
        <v>18.829999999999998</v>
      </c>
      <c r="M73" s="559"/>
      <c r="N73" s="300"/>
      <c r="O73" s="300"/>
      <c r="P73" s="330"/>
      <c r="Q73" s="300"/>
      <c r="S73" s="300"/>
      <c r="T73" s="300"/>
      <c r="U73" s="330"/>
      <c r="V73" s="300"/>
    </row>
    <row r="74" spans="2:22" x14ac:dyDescent="0.3">
      <c r="B74" s="286" t="s">
        <v>153</v>
      </c>
      <c r="C74" s="287" t="s">
        <v>27</v>
      </c>
      <c r="D74" s="277">
        <v>0.08</v>
      </c>
      <c r="E74" s="278">
        <v>0</v>
      </c>
      <c r="H74" s="286" t="s">
        <v>318</v>
      </c>
      <c r="I74" s="335" t="s">
        <v>24</v>
      </c>
      <c r="J74" s="287"/>
      <c r="K74" s="334">
        <v>0.25</v>
      </c>
      <c r="L74" s="287">
        <v>24.82</v>
      </c>
      <c r="M74" s="559"/>
      <c r="N74" s="300"/>
      <c r="O74" s="300"/>
      <c r="P74" s="330"/>
      <c r="Q74" s="300"/>
      <c r="S74" s="300"/>
      <c r="T74" s="300"/>
      <c r="U74" s="330"/>
      <c r="V74" s="300"/>
    </row>
    <row r="75" spans="2:22" x14ac:dyDescent="0.3">
      <c r="B75" s="336" t="s">
        <v>520</v>
      </c>
      <c r="C75" s="375"/>
      <c r="D75" s="370"/>
      <c r="E75" s="371"/>
      <c r="H75" s="286" t="s">
        <v>318</v>
      </c>
      <c r="I75" s="335" t="s">
        <v>25</v>
      </c>
      <c r="J75" s="287"/>
      <c r="K75" s="334">
        <v>0.3</v>
      </c>
      <c r="L75" s="287">
        <v>37.340000000000003</v>
      </c>
      <c r="M75" s="559"/>
      <c r="N75" s="300"/>
      <c r="O75" s="300"/>
      <c r="P75" s="330"/>
      <c r="Q75" s="300"/>
      <c r="S75" s="300"/>
      <c r="T75" s="300"/>
      <c r="U75" s="330"/>
      <c r="V75" s="300"/>
    </row>
    <row r="76" spans="2:22" x14ac:dyDescent="0.3">
      <c r="B76" s="286" t="s">
        <v>521</v>
      </c>
      <c r="C76" s="287" t="s">
        <v>23</v>
      </c>
      <c r="D76" s="370">
        <v>2.1000000000000001E-2</v>
      </c>
      <c r="E76" s="371">
        <f>11.92/20</f>
        <v>0.59599999999999997</v>
      </c>
      <c r="H76" s="286" t="s">
        <v>318</v>
      </c>
      <c r="I76" s="335" t="s">
        <v>151</v>
      </c>
      <c r="J76" s="287"/>
      <c r="K76" s="334">
        <v>0.4</v>
      </c>
      <c r="L76" s="287"/>
      <c r="M76" s="559"/>
      <c r="N76" s="300"/>
      <c r="O76" s="300"/>
      <c r="P76" s="330"/>
      <c r="Q76" s="300"/>
      <c r="S76" s="300"/>
      <c r="T76" s="300"/>
      <c r="U76" s="330"/>
      <c r="V76" s="300"/>
    </row>
    <row r="77" spans="2:22" x14ac:dyDescent="0.3">
      <c r="B77" s="286" t="s">
        <v>521</v>
      </c>
      <c r="C77" s="287" t="s">
        <v>24</v>
      </c>
      <c r="D77" s="370">
        <v>2.5999999999999999E-2</v>
      </c>
      <c r="E77" s="371">
        <f>15.26/20</f>
        <v>0.76300000000000001</v>
      </c>
      <c r="H77" s="286" t="s">
        <v>318</v>
      </c>
      <c r="I77" s="335" t="s">
        <v>38</v>
      </c>
      <c r="J77" s="287"/>
      <c r="K77" s="334">
        <v>0.45</v>
      </c>
      <c r="L77" s="287">
        <v>70.67</v>
      </c>
      <c r="M77" s="559"/>
      <c r="N77" s="300"/>
      <c r="O77" s="300"/>
      <c r="P77" s="330"/>
      <c r="Q77" s="300"/>
      <c r="S77" s="300"/>
      <c r="T77" s="300"/>
      <c r="U77" s="330"/>
      <c r="V77" s="300"/>
    </row>
    <row r="78" spans="2:22" x14ac:dyDescent="0.3">
      <c r="B78" s="286" t="s">
        <v>521</v>
      </c>
      <c r="C78" s="287" t="s">
        <v>25</v>
      </c>
      <c r="D78" s="277">
        <v>3.2000000000000001E-2</v>
      </c>
      <c r="E78" s="371">
        <f>22.44/20</f>
        <v>1.1220000000000001</v>
      </c>
      <c r="H78" s="286" t="s">
        <v>318</v>
      </c>
      <c r="I78" s="335" t="s">
        <v>26</v>
      </c>
      <c r="J78" s="287"/>
      <c r="K78" s="334">
        <v>0.5</v>
      </c>
      <c r="L78" s="287">
        <v>108.47</v>
      </c>
      <c r="M78" s="559"/>
      <c r="N78" s="300"/>
      <c r="O78" s="300"/>
      <c r="P78" s="330"/>
      <c r="Q78" s="300"/>
      <c r="S78" s="300"/>
      <c r="T78" s="300"/>
      <c r="U78" s="330"/>
      <c r="V78" s="300"/>
    </row>
    <row r="79" spans="2:22" x14ac:dyDescent="0.3">
      <c r="B79" s="286" t="s">
        <v>521</v>
      </c>
      <c r="C79" s="287" t="s">
        <v>151</v>
      </c>
      <c r="D79" s="370">
        <v>3.6999999999999998E-2</v>
      </c>
      <c r="E79" s="371">
        <f>31.5/20</f>
        <v>1.575</v>
      </c>
      <c r="H79" s="286" t="s">
        <v>319</v>
      </c>
      <c r="I79" s="287" t="s">
        <v>152</v>
      </c>
      <c r="J79" s="287"/>
      <c r="K79" s="334">
        <v>0.6</v>
      </c>
      <c r="L79" s="287"/>
      <c r="M79" s="559"/>
      <c r="N79" s="300"/>
      <c r="O79" s="300"/>
      <c r="P79" s="330"/>
      <c r="Q79" s="300"/>
      <c r="S79" s="300"/>
      <c r="T79" s="300"/>
      <c r="U79" s="330"/>
      <c r="V79" s="300"/>
    </row>
    <row r="80" spans="2:22" x14ac:dyDescent="0.3">
      <c r="B80" s="286" t="s">
        <v>521</v>
      </c>
      <c r="C80" s="287" t="s">
        <v>38</v>
      </c>
      <c r="D80" s="370">
        <v>4.2000000000000003E-2</v>
      </c>
      <c r="E80" s="371">
        <f>34/20</f>
        <v>1.7</v>
      </c>
      <c r="H80" s="286" t="s">
        <v>319</v>
      </c>
      <c r="I80" s="287" t="s">
        <v>129</v>
      </c>
      <c r="J80" s="287"/>
      <c r="K80" s="334">
        <v>0.75</v>
      </c>
      <c r="L80" s="287"/>
      <c r="M80" s="559"/>
      <c r="N80" s="300"/>
      <c r="O80" s="300"/>
      <c r="P80" s="330"/>
      <c r="Q80" s="300"/>
      <c r="S80" s="300"/>
      <c r="T80" s="300"/>
      <c r="U80" s="330"/>
      <c r="V80" s="300"/>
    </row>
    <row r="81" spans="2:22" x14ac:dyDescent="0.3">
      <c r="B81" s="286" t="s">
        <v>521</v>
      </c>
      <c r="C81" s="287" t="s">
        <v>26</v>
      </c>
      <c r="D81" s="370">
        <v>4.7E-2</v>
      </c>
      <c r="E81" s="371">
        <f>51.6/20</f>
        <v>2.58</v>
      </c>
      <c r="H81" s="286" t="s">
        <v>319</v>
      </c>
      <c r="I81" s="287" t="s">
        <v>27</v>
      </c>
      <c r="J81" s="287"/>
      <c r="K81" s="334">
        <v>1.35</v>
      </c>
      <c r="L81" s="287"/>
      <c r="M81" s="559"/>
      <c r="N81" s="300"/>
      <c r="O81" s="300"/>
      <c r="P81" s="330"/>
      <c r="Q81" s="300"/>
      <c r="S81" s="300"/>
      <c r="T81" s="300"/>
      <c r="U81" s="330"/>
      <c r="V81" s="300"/>
    </row>
    <row r="82" spans="2:22" x14ac:dyDescent="0.3">
      <c r="B82" s="286" t="s">
        <v>521</v>
      </c>
      <c r="C82" s="287" t="s">
        <v>152</v>
      </c>
      <c r="D82" s="277">
        <v>5.1999999999999998E-2</v>
      </c>
      <c r="E82" s="278">
        <f>84.27/20</f>
        <v>4.2134999999999998</v>
      </c>
      <c r="H82" s="286"/>
      <c r="I82" s="287"/>
      <c r="J82" s="287"/>
      <c r="K82" s="287"/>
      <c r="L82" s="287"/>
      <c r="M82" s="559"/>
      <c r="N82" s="300"/>
      <c r="O82" s="300"/>
      <c r="P82" s="330"/>
      <c r="Q82" s="300"/>
      <c r="S82" s="300"/>
      <c r="T82" s="300"/>
      <c r="U82" s="330"/>
      <c r="V82" s="300"/>
    </row>
    <row r="83" spans="2:22" x14ac:dyDescent="0.3">
      <c r="B83" s="286" t="s">
        <v>521</v>
      </c>
      <c r="C83" s="287" t="s">
        <v>129</v>
      </c>
      <c r="D83" s="277">
        <v>5.7000000000000002E-2</v>
      </c>
      <c r="E83" s="278">
        <f>103.47/20</f>
        <v>5.1734999999999998</v>
      </c>
      <c r="H83" s="286" t="s">
        <v>645</v>
      </c>
      <c r="I83" s="335" t="s">
        <v>23</v>
      </c>
      <c r="J83" s="287"/>
      <c r="K83" s="334">
        <v>0.21</v>
      </c>
      <c r="L83" s="334">
        <v>108.18220000000001</v>
      </c>
      <c r="M83" s="559"/>
      <c r="N83" s="300"/>
      <c r="O83" s="300"/>
      <c r="P83" s="330"/>
      <c r="Q83" s="300"/>
      <c r="S83" s="300"/>
      <c r="T83" s="300"/>
      <c r="U83" s="330"/>
      <c r="V83" s="300"/>
    </row>
    <row r="84" spans="2:22" x14ac:dyDescent="0.3">
      <c r="B84" s="336" t="s">
        <v>522</v>
      </c>
      <c r="C84" s="287"/>
      <c r="D84" s="277"/>
      <c r="E84" s="278"/>
      <c r="H84" s="286" t="s">
        <v>645</v>
      </c>
      <c r="I84" s="335" t="s">
        <v>24</v>
      </c>
      <c r="J84" s="287"/>
      <c r="K84" s="334">
        <v>0.25</v>
      </c>
      <c r="L84" s="334">
        <v>146.31330000000003</v>
      </c>
      <c r="M84" s="559"/>
      <c r="N84" s="300"/>
      <c r="O84" s="300"/>
      <c r="P84" s="330"/>
      <c r="Q84" s="300"/>
      <c r="S84" s="300"/>
      <c r="T84" s="300"/>
      <c r="U84" s="330"/>
      <c r="V84" s="300"/>
    </row>
    <row r="85" spans="2:22" x14ac:dyDescent="0.3">
      <c r="B85" s="286" t="s">
        <v>523</v>
      </c>
      <c r="C85" s="287" t="s">
        <v>24</v>
      </c>
      <c r="D85" s="277">
        <v>0.03</v>
      </c>
      <c r="E85" s="278">
        <f>33.33/100</f>
        <v>0.33329999999999999</v>
      </c>
      <c r="H85" s="286" t="s">
        <v>645</v>
      </c>
      <c r="I85" s="335" t="s">
        <v>25</v>
      </c>
      <c r="J85" s="287"/>
      <c r="K85" s="334">
        <v>0.3</v>
      </c>
      <c r="L85" s="334">
        <v>217.45500000000001</v>
      </c>
      <c r="M85" s="559"/>
      <c r="N85" s="300"/>
      <c r="O85" s="300"/>
      <c r="P85" s="330"/>
      <c r="Q85" s="300"/>
      <c r="S85" s="300"/>
      <c r="T85" s="300"/>
      <c r="U85" s="330"/>
      <c r="V85" s="300"/>
    </row>
    <row r="86" spans="2:22" x14ac:dyDescent="0.3">
      <c r="B86" s="286" t="s">
        <v>523</v>
      </c>
      <c r="C86" s="287" t="s">
        <v>25</v>
      </c>
      <c r="D86" s="277">
        <v>3.4000000000000002E-2</v>
      </c>
      <c r="E86" s="278">
        <v>0.56000000000000005</v>
      </c>
      <c r="H86" s="286" t="s">
        <v>645</v>
      </c>
      <c r="I86" s="335" t="s">
        <v>151</v>
      </c>
      <c r="J86" s="287"/>
      <c r="K86" s="334">
        <v>0.4</v>
      </c>
      <c r="L86" s="334">
        <v>303.02719999999999</v>
      </c>
      <c r="M86" s="559"/>
      <c r="N86" s="300"/>
      <c r="O86" s="300"/>
      <c r="P86" s="330"/>
      <c r="Q86" s="300"/>
      <c r="S86" s="300"/>
      <c r="T86" s="300"/>
      <c r="U86" s="330"/>
      <c r="V86" s="300"/>
    </row>
    <row r="87" spans="2:22" x14ac:dyDescent="0.3">
      <c r="B87" s="286" t="s">
        <v>523</v>
      </c>
      <c r="C87" s="287" t="s">
        <v>151</v>
      </c>
      <c r="D87" s="277">
        <v>0.05</v>
      </c>
      <c r="E87" s="278">
        <v>0.78669999999999995</v>
      </c>
      <c r="H87" s="286" t="s">
        <v>645</v>
      </c>
      <c r="I87" s="335" t="s">
        <v>38</v>
      </c>
      <c r="J87" s="287"/>
      <c r="K87" s="334">
        <v>0.45</v>
      </c>
      <c r="L87" s="334">
        <v>355.93460000000005</v>
      </c>
      <c r="M87" s="559"/>
      <c r="N87" s="300"/>
      <c r="O87" s="300"/>
      <c r="P87" s="330"/>
      <c r="Q87" s="300"/>
      <c r="S87" s="300"/>
      <c r="T87" s="300"/>
      <c r="U87" s="330"/>
      <c r="V87" s="300"/>
    </row>
    <row r="88" spans="2:22" x14ac:dyDescent="0.3">
      <c r="B88" s="286" t="s">
        <v>523</v>
      </c>
      <c r="C88" s="287" t="s">
        <v>38</v>
      </c>
      <c r="D88" s="277">
        <v>0.05</v>
      </c>
      <c r="E88" s="278">
        <v>1.1733</v>
      </c>
      <c r="H88" s="286" t="s">
        <v>645</v>
      </c>
      <c r="I88" s="335" t="s">
        <v>26</v>
      </c>
      <c r="J88" s="287"/>
      <c r="K88" s="334">
        <v>0.5</v>
      </c>
      <c r="L88" s="334">
        <v>520.77480000000003</v>
      </c>
      <c r="M88" s="559"/>
      <c r="N88" s="300"/>
      <c r="O88" s="300"/>
      <c r="P88" s="330"/>
      <c r="Q88" s="300"/>
      <c r="S88" s="300"/>
      <c r="T88" s="300"/>
      <c r="U88" s="330"/>
      <c r="V88" s="300"/>
    </row>
    <row r="89" spans="2:22" x14ac:dyDescent="0.3">
      <c r="B89" s="286" t="s">
        <v>523</v>
      </c>
      <c r="C89" s="287" t="s">
        <v>26</v>
      </c>
      <c r="D89" s="277">
        <v>5.5E-2</v>
      </c>
      <c r="E89" s="278">
        <v>1.9866999999999999</v>
      </c>
      <c r="H89" s="286"/>
      <c r="I89" s="287"/>
      <c r="J89" s="287"/>
      <c r="K89" s="287"/>
      <c r="L89" s="334"/>
      <c r="M89" s="559"/>
      <c r="N89" s="300"/>
      <c r="O89" s="300"/>
      <c r="P89" s="330"/>
      <c r="Q89" s="300"/>
      <c r="S89" s="300"/>
      <c r="T89" s="300"/>
      <c r="U89" s="330"/>
      <c r="V89" s="300"/>
    </row>
    <row r="90" spans="2:22" x14ac:dyDescent="0.3">
      <c r="B90" s="336" t="s">
        <v>524</v>
      </c>
      <c r="C90" s="287"/>
      <c r="D90" s="277"/>
      <c r="E90" s="278"/>
      <c r="H90" s="336" t="s">
        <v>317</v>
      </c>
      <c r="I90" s="287"/>
      <c r="J90" s="287"/>
      <c r="K90" s="287"/>
      <c r="L90" s="287"/>
      <c r="M90" s="559"/>
      <c r="N90" s="300"/>
      <c r="O90" s="300"/>
      <c r="P90" s="330"/>
      <c r="Q90" s="300"/>
      <c r="S90" s="300"/>
      <c r="T90" s="300"/>
      <c r="U90" s="330"/>
      <c r="V90" s="300"/>
    </row>
    <row r="91" spans="2:22" x14ac:dyDescent="0.3">
      <c r="B91" s="286" t="s">
        <v>98</v>
      </c>
      <c r="C91" s="287" t="s">
        <v>38</v>
      </c>
      <c r="D91" s="277">
        <v>0.04</v>
      </c>
      <c r="E91" s="278">
        <v>1.0980000000000001</v>
      </c>
      <c r="H91" s="286" t="s">
        <v>318</v>
      </c>
      <c r="I91" s="335" t="s">
        <v>23</v>
      </c>
      <c r="J91" s="287" t="s">
        <v>436</v>
      </c>
      <c r="K91" s="334">
        <v>0.21</v>
      </c>
      <c r="L91" s="334">
        <v>21.824000000000002</v>
      </c>
      <c r="M91" s="559"/>
      <c r="N91" s="300"/>
      <c r="O91" s="300"/>
      <c r="P91" s="330"/>
      <c r="Q91" s="300"/>
      <c r="S91" s="300"/>
      <c r="T91" s="300"/>
      <c r="U91" s="330"/>
      <c r="V91" s="300"/>
    </row>
    <row r="92" spans="2:22" x14ac:dyDescent="0.3">
      <c r="B92" s="286" t="s">
        <v>98</v>
      </c>
      <c r="C92" s="287" t="s">
        <v>26</v>
      </c>
      <c r="D92" s="277">
        <v>4.4999999999999998E-2</v>
      </c>
      <c r="E92" s="278">
        <v>1.474</v>
      </c>
      <c r="H92" s="286" t="s">
        <v>318</v>
      </c>
      <c r="I92" s="335" t="s">
        <v>24</v>
      </c>
      <c r="J92" s="287" t="s">
        <v>436</v>
      </c>
      <c r="K92" s="334">
        <v>0.25</v>
      </c>
      <c r="L92" s="334">
        <v>0</v>
      </c>
      <c r="M92" s="559"/>
      <c r="N92" s="300"/>
      <c r="O92" s="300"/>
      <c r="P92" s="330"/>
      <c r="Q92" s="300"/>
      <c r="S92" s="300"/>
      <c r="T92" s="300"/>
      <c r="U92" s="330"/>
      <c r="V92" s="300"/>
    </row>
    <row r="93" spans="2:22" x14ac:dyDescent="0.3">
      <c r="B93" s="286" t="s">
        <v>98</v>
      </c>
      <c r="C93" s="287" t="s">
        <v>129</v>
      </c>
      <c r="D93" s="277">
        <v>5.5E-2</v>
      </c>
      <c r="E93" s="278">
        <v>2.2080000000000002</v>
      </c>
      <c r="H93" s="286" t="s">
        <v>318</v>
      </c>
      <c r="I93" s="335" t="s">
        <v>25</v>
      </c>
      <c r="J93" s="287" t="s">
        <v>345</v>
      </c>
      <c r="K93" s="334">
        <v>0.3</v>
      </c>
      <c r="L93" s="334">
        <v>32.197000000000003</v>
      </c>
      <c r="M93" s="559"/>
      <c r="N93" s="300"/>
      <c r="O93" s="300"/>
      <c r="P93" s="330"/>
      <c r="Q93" s="300"/>
      <c r="S93" s="300"/>
      <c r="T93" s="300"/>
      <c r="U93" s="330"/>
      <c r="V93" s="300"/>
    </row>
    <row r="94" spans="2:22" x14ac:dyDescent="0.3">
      <c r="B94" s="286" t="s">
        <v>98</v>
      </c>
      <c r="C94" s="287" t="s">
        <v>27</v>
      </c>
      <c r="D94" s="277">
        <v>7.0000000000000007E-2</v>
      </c>
      <c r="E94" s="278">
        <v>3.0019999999999998</v>
      </c>
      <c r="H94" s="286" t="s">
        <v>318</v>
      </c>
      <c r="I94" s="335" t="s">
        <v>151</v>
      </c>
      <c r="J94" s="287" t="s">
        <v>335</v>
      </c>
      <c r="K94" s="334">
        <v>0.4</v>
      </c>
      <c r="L94" s="334">
        <v>51.600999999999999</v>
      </c>
      <c r="M94" s="559"/>
      <c r="N94" s="300"/>
      <c r="O94" s="300"/>
      <c r="P94" s="330"/>
      <c r="Q94" s="300"/>
      <c r="S94" s="300"/>
      <c r="T94" s="300"/>
      <c r="U94" s="330"/>
      <c r="V94" s="300"/>
    </row>
    <row r="95" spans="2:22" x14ac:dyDescent="0.3">
      <c r="B95" s="286" t="s">
        <v>98</v>
      </c>
      <c r="C95" s="287" t="s">
        <v>154</v>
      </c>
      <c r="D95" s="277">
        <v>0.12</v>
      </c>
      <c r="E95" s="278">
        <v>6.35</v>
      </c>
      <c r="H95" s="286" t="s">
        <v>318</v>
      </c>
      <c r="I95" s="335" t="s">
        <v>38</v>
      </c>
      <c r="J95" s="287" t="s">
        <v>370</v>
      </c>
      <c r="K95" s="334">
        <v>0.45</v>
      </c>
      <c r="L95" s="334">
        <v>93.225000000000009</v>
      </c>
      <c r="M95" s="559"/>
      <c r="N95" s="300"/>
      <c r="O95" s="300"/>
      <c r="P95" s="330"/>
      <c r="Q95" s="300"/>
      <c r="S95" s="300"/>
      <c r="T95" s="300"/>
      <c r="U95" s="330"/>
      <c r="V95" s="300"/>
    </row>
    <row r="96" spans="2:22" x14ac:dyDescent="0.3">
      <c r="B96" s="286" t="s">
        <v>98</v>
      </c>
      <c r="C96" s="287" t="s">
        <v>155</v>
      </c>
      <c r="D96" s="277">
        <v>0.16</v>
      </c>
      <c r="E96" s="278">
        <v>7.6509999999999998</v>
      </c>
      <c r="H96" s="286" t="s">
        <v>318</v>
      </c>
      <c r="I96" s="335" t="s">
        <v>26</v>
      </c>
      <c r="J96" s="287" t="s">
        <v>335</v>
      </c>
      <c r="K96" s="334">
        <v>0.5</v>
      </c>
      <c r="L96" s="334">
        <v>121.12</v>
      </c>
      <c r="M96" s="559"/>
      <c r="N96" s="300"/>
      <c r="O96" s="300"/>
      <c r="P96" s="330"/>
      <c r="Q96" s="300"/>
      <c r="S96" s="300"/>
      <c r="T96" s="300"/>
      <c r="U96" s="330"/>
      <c r="V96" s="300"/>
    </row>
    <row r="97" spans="2:22" x14ac:dyDescent="0.3">
      <c r="B97" s="286" t="s">
        <v>98</v>
      </c>
      <c r="C97" s="287" t="s">
        <v>533</v>
      </c>
      <c r="D97" s="277">
        <v>0.19</v>
      </c>
      <c r="E97" s="278">
        <v>10.797000000000001</v>
      </c>
      <c r="H97" s="286" t="s">
        <v>319</v>
      </c>
      <c r="I97" s="287" t="s">
        <v>152</v>
      </c>
      <c r="J97" s="287" t="s">
        <v>170</v>
      </c>
      <c r="K97" s="334">
        <v>0.6</v>
      </c>
      <c r="L97" s="287">
        <v>375.75</v>
      </c>
      <c r="M97" s="559"/>
      <c r="N97" s="300"/>
      <c r="O97" s="300"/>
      <c r="P97" s="330"/>
      <c r="Q97" s="300"/>
      <c r="S97" s="300"/>
      <c r="T97" s="300"/>
      <c r="U97" s="330"/>
      <c r="V97" s="300"/>
    </row>
    <row r="98" spans="2:22" x14ac:dyDescent="0.3">
      <c r="B98" s="286" t="s">
        <v>98</v>
      </c>
      <c r="C98" s="287" t="s">
        <v>597</v>
      </c>
      <c r="D98" s="277">
        <v>0.23</v>
      </c>
      <c r="E98" s="278">
        <v>14.292</v>
      </c>
      <c r="H98" s="286" t="s">
        <v>319</v>
      </c>
      <c r="I98" s="287" t="s">
        <v>129</v>
      </c>
      <c r="J98" s="287" t="s">
        <v>344</v>
      </c>
      <c r="K98" s="334">
        <v>0.75</v>
      </c>
      <c r="L98" s="287">
        <v>422.69</v>
      </c>
      <c r="M98" s="559"/>
      <c r="N98" s="300"/>
      <c r="O98" s="300"/>
      <c r="P98" s="330"/>
      <c r="Q98" s="300"/>
      <c r="S98" s="300"/>
      <c r="T98" s="300"/>
      <c r="U98" s="330"/>
      <c r="V98" s="300"/>
    </row>
    <row r="99" spans="2:22" x14ac:dyDescent="0.3">
      <c r="B99" s="286" t="s">
        <v>98</v>
      </c>
      <c r="C99" s="287" t="s">
        <v>598</v>
      </c>
      <c r="D99" s="277">
        <v>0.4</v>
      </c>
      <c r="E99" s="278">
        <v>27.760999999999999</v>
      </c>
      <c r="H99" s="286" t="s">
        <v>319</v>
      </c>
      <c r="I99" s="287" t="s">
        <v>27</v>
      </c>
      <c r="J99" s="287" t="s">
        <v>320</v>
      </c>
      <c r="K99" s="334">
        <v>1.35</v>
      </c>
      <c r="L99" s="334">
        <v>671.08429999999998</v>
      </c>
      <c r="M99" s="559"/>
      <c r="N99" s="300"/>
      <c r="O99" s="300"/>
      <c r="P99" s="330"/>
      <c r="Q99" s="300"/>
      <c r="S99" s="300"/>
      <c r="T99" s="300"/>
      <c r="U99" s="330"/>
      <c r="V99" s="300"/>
    </row>
    <row r="100" spans="2:22" x14ac:dyDescent="0.3">
      <c r="B100" s="286" t="s">
        <v>528</v>
      </c>
      <c r="C100" s="287" t="s">
        <v>26</v>
      </c>
      <c r="D100" s="370">
        <v>4.7E-2</v>
      </c>
      <c r="E100" s="278">
        <f>51.6/20</f>
        <v>2.58</v>
      </c>
      <c r="H100" s="286" t="s">
        <v>319</v>
      </c>
      <c r="I100" s="287" t="s">
        <v>154</v>
      </c>
      <c r="J100" s="287"/>
      <c r="K100" s="334">
        <v>0.25</v>
      </c>
      <c r="L100" s="287"/>
      <c r="M100" s="559"/>
      <c r="N100" s="300"/>
      <c r="O100" s="300"/>
      <c r="P100" s="330"/>
      <c r="Q100" s="300"/>
      <c r="S100" s="300"/>
      <c r="T100" s="300"/>
      <c r="U100" s="330"/>
      <c r="V100" s="300"/>
    </row>
    <row r="101" spans="2:22" x14ac:dyDescent="0.3">
      <c r="B101" s="286" t="s">
        <v>528</v>
      </c>
      <c r="C101" s="287" t="s">
        <v>129</v>
      </c>
      <c r="D101" s="277">
        <v>5.7000000000000002E-2</v>
      </c>
      <c r="E101" s="278">
        <f>103.47/20</f>
        <v>5.1734999999999998</v>
      </c>
      <c r="H101" s="286"/>
      <c r="I101" s="287"/>
      <c r="J101" s="287"/>
      <c r="K101" s="287"/>
      <c r="L101" s="287"/>
      <c r="M101" s="559"/>
      <c r="N101" s="328"/>
      <c r="O101" s="326"/>
      <c r="P101" s="331"/>
      <c r="Q101" s="326"/>
      <c r="S101" s="300"/>
      <c r="T101" s="300"/>
      <c r="U101" s="330"/>
      <c r="V101" s="300"/>
    </row>
    <row r="102" spans="2:22" x14ac:dyDescent="0.3">
      <c r="B102" s="286" t="s">
        <v>528</v>
      </c>
      <c r="C102" s="287" t="s">
        <v>27</v>
      </c>
      <c r="D102" s="277">
        <v>7.3999999999999996E-2</v>
      </c>
      <c r="E102" s="278">
        <f>148.93/20</f>
        <v>7.4465000000000003</v>
      </c>
      <c r="H102" s="286" t="s">
        <v>318</v>
      </c>
      <c r="I102" s="335" t="s">
        <v>23</v>
      </c>
      <c r="J102" s="287" t="s">
        <v>649</v>
      </c>
      <c r="K102" s="334">
        <v>0.21</v>
      </c>
      <c r="L102" s="554">
        <v>37.33</v>
      </c>
      <c r="M102" s="559"/>
      <c r="S102" s="300"/>
      <c r="T102" s="300"/>
      <c r="U102" s="330"/>
      <c r="V102" s="300"/>
    </row>
    <row r="103" spans="2:22" x14ac:dyDescent="0.3">
      <c r="B103" s="286" t="s">
        <v>528</v>
      </c>
      <c r="C103" s="287" t="s">
        <v>154</v>
      </c>
      <c r="D103" s="277">
        <v>0.16</v>
      </c>
      <c r="E103" s="278">
        <f>268.06/20</f>
        <v>13.403</v>
      </c>
      <c r="H103" s="286" t="s">
        <v>318</v>
      </c>
      <c r="I103" s="335" t="s">
        <v>24</v>
      </c>
      <c r="J103" s="287" t="s">
        <v>649</v>
      </c>
      <c r="K103" s="334">
        <v>0.25</v>
      </c>
      <c r="L103" s="554">
        <v>50.53</v>
      </c>
      <c r="M103" s="559"/>
      <c r="S103" s="300"/>
      <c r="T103" s="300"/>
      <c r="U103" s="330"/>
      <c r="V103" s="300"/>
    </row>
    <row r="104" spans="2:22" x14ac:dyDescent="0.3">
      <c r="B104" s="336" t="s">
        <v>527</v>
      </c>
      <c r="C104" s="375"/>
      <c r="D104" s="370"/>
      <c r="E104" s="371"/>
      <c r="H104" s="286" t="s">
        <v>318</v>
      </c>
      <c r="I104" s="335" t="s">
        <v>25</v>
      </c>
      <c r="J104" s="287" t="s">
        <v>649</v>
      </c>
      <c r="K104" s="334">
        <v>0.3</v>
      </c>
      <c r="L104" s="554">
        <v>75.58</v>
      </c>
      <c r="M104" s="559"/>
      <c r="S104" s="300"/>
      <c r="T104" s="300"/>
      <c r="U104" s="330"/>
      <c r="V104" s="300"/>
    </row>
    <row r="105" spans="2:22" x14ac:dyDescent="0.3">
      <c r="B105" s="286" t="s">
        <v>526</v>
      </c>
      <c r="C105" s="287" t="s">
        <v>26</v>
      </c>
      <c r="D105" s="277">
        <v>0.06</v>
      </c>
      <c r="E105" s="371">
        <f>382.5/9.5</f>
        <v>40.263157894736842</v>
      </c>
      <c r="H105" s="286" t="s">
        <v>318</v>
      </c>
      <c r="I105" s="335" t="s">
        <v>151</v>
      </c>
      <c r="J105" s="287" t="s">
        <v>649</v>
      </c>
      <c r="K105" s="334">
        <v>0.4</v>
      </c>
      <c r="L105" s="554">
        <v>116.6</v>
      </c>
      <c r="M105" s="559"/>
      <c r="S105" s="300"/>
      <c r="T105" s="300"/>
      <c r="U105" s="330"/>
      <c r="V105" s="300"/>
    </row>
    <row r="106" spans="2:22" x14ac:dyDescent="0.3">
      <c r="B106" s="286" t="s">
        <v>526</v>
      </c>
      <c r="C106" s="287" t="s">
        <v>129</v>
      </c>
      <c r="D106" s="277">
        <v>7.0000000000000007E-2</v>
      </c>
      <c r="E106" s="371">
        <f>411.25/9.75</f>
        <v>42.179487179487182</v>
      </c>
      <c r="H106" s="286" t="s">
        <v>318</v>
      </c>
      <c r="I106" s="335" t="s">
        <v>38</v>
      </c>
      <c r="J106" s="287" t="s">
        <v>649</v>
      </c>
      <c r="K106" s="334">
        <v>0.45</v>
      </c>
      <c r="L106" s="554">
        <v>164.72</v>
      </c>
      <c r="M106" s="559"/>
      <c r="S106" s="300"/>
      <c r="T106" s="300"/>
      <c r="U106" s="330"/>
      <c r="V106" s="300"/>
    </row>
    <row r="107" spans="2:22" x14ac:dyDescent="0.3">
      <c r="B107" s="286" t="s">
        <v>526</v>
      </c>
      <c r="C107" s="287" t="s">
        <v>27</v>
      </c>
      <c r="D107" s="277">
        <v>0.09</v>
      </c>
      <c r="E107" s="371">
        <f>536.255/9.75</f>
        <v>55.000512820512817</v>
      </c>
      <c r="H107" s="286" t="s">
        <v>318</v>
      </c>
      <c r="I107" s="335" t="s">
        <v>26</v>
      </c>
      <c r="J107" s="287" t="s">
        <v>649</v>
      </c>
      <c r="K107" s="334">
        <v>0.5</v>
      </c>
      <c r="L107" s="554">
        <v>229.75</v>
      </c>
      <c r="M107" s="559"/>
      <c r="S107" s="300"/>
      <c r="T107" s="300"/>
      <c r="U107" s="330"/>
      <c r="V107" s="300"/>
    </row>
    <row r="108" spans="2:22" x14ac:dyDescent="0.3">
      <c r="B108" s="286" t="s">
        <v>526</v>
      </c>
      <c r="C108" s="287" t="s">
        <v>154</v>
      </c>
      <c r="D108" s="277">
        <v>0.11</v>
      </c>
      <c r="E108" s="371">
        <f>898.19/9.75</f>
        <v>92.122051282051288</v>
      </c>
      <c r="H108" s="286" t="s">
        <v>318</v>
      </c>
      <c r="I108" s="287" t="s">
        <v>152</v>
      </c>
      <c r="J108" s="287" t="s">
        <v>649</v>
      </c>
      <c r="K108" s="334">
        <v>0.6</v>
      </c>
      <c r="L108" s="554">
        <v>800.85</v>
      </c>
      <c r="M108" s="559"/>
      <c r="S108" s="300"/>
      <c r="T108" s="300"/>
      <c r="U108" s="330"/>
      <c r="V108" s="300"/>
    </row>
    <row r="109" spans="2:22" x14ac:dyDescent="0.3">
      <c r="B109" s="336" t="s">
        <v>303</v>
      </c>
      <c r="C109" s="287"/>
      <c r="D109" s="277"/>
      <c r="E109" s="278"/>
      <c r="H109" s="286" t="s">
        <v>318</v>
      </c>
      <c r="I109" s="287" t="s">
        <v>129</v>
      </c>
      <c r="J109" s="287" t="s">
        <v>649</v>
      </c>
      <c r="K109" s="334">
        <v>0.75</v>
      </c>
      <c r="L109" s="554">
        <v>1923.6</v>
      </c>
      <c r="M109" s="559"/>
      <c r="S109" s="300"/>
      <c r="T109" s="300"/>
      <c r="U109" s="330"/>
      <c r="V109" s="300"/>
    </row>
    <row r="110" spans="2:22" x14ac:dyDescent="0.3">
      <c r="B110" s="286" t="s">
        <v>156</v>
      </c>
      <c r="C110" s="287" t="s">
        <v>38</v>
      </c>
      <c r="D110" s="277">
        <v>0.05</v>
      </c>
      <c r="E110" s="278">
        <v>10.968</v>
      </c>
      <c r="H110" s="553"/>
      <c r="I110" s="554"/>
      <c r="J110" s="287"/>
      <c r="K110" s="287"/>
      <c r="L110" s="554"/>
      <c r="M110" s="559"/>
      <c r="S110" s="300"/>
      <c r="T110" s="300"/>
      <c r="U110" s="330"/>
      <c r="V110" s="300"/>
    </row>
    <row r="111" spans="2:22" x14ac:dyDescent="0.3">
      <c r="B111" s="286" t="s">
        <v>156</v>
      </c>
      <c r="C111" s="287" t="s">
        <v>26</v>
      </c>
      <c r="D111" s="277">
        <v>0.05</v>
      </c>
      <c r="E111" s="278">
        <v>11</v>
      </c>
      <c r="H111" s="336" t="s">
        <v>336</v>
      </c>
      <c r="I111" s="287"/>
      <c r="J111" s="287"/>
      <c r="K111" s="287"/>
      <c r="L111" s="287"/>
      <c r="M111" s="559"/>
      <c r="S111" s="328"/>
      <c r="T111" s="326"/>
      <c r="U111" s="331"/>
      <c r="V111" s="326"/>
    </row>
    <row r="112" spans="2:22" x14ac:dyDescent="0.3">
      <c r="B112" s="286" t="s">
        <v>156</v>
      </c>
      <c r="C112" s="287" t="s">
        <v>129</v>
      </c>
      <c r="D112" s="277">
        <v>0.06</v>
      </c>
      <c r="E112" s="278">
        <v>15.42</v>
      </c>
      <c r="H112" s="286"/>
      <c r="I112" s="335" t="s">
        <v>23</v>
      </c>
      <c r="J112" s="287" t="s">
        <v>662</v>
      </c>
      <c r="K112" s="334">
        <v>0.21</v>
      </c>
      <c r="L112" s="287">
        <v>250.23</v>
      </c>
      <c r="M112" s="559"/>
    </row>
    <row r="113" spans="2:13" x14ac:dyDescent="0.3">
      <c r="B113" s="286" t="s">
        <v>156</v>
      </c>
      <c r="C113" s="287" t="s">
        <v>27</v>
      </c>
      <c r="D113" s="277">
        <v>0.08</v>
      </c>
      <c r="E113" s="278">
        <v>20.010000000000002</v>
      </c>
      <c r="H113" s="286"/>
      <c r="I113" s="335" t="s">
        <v>24</v>
      </c>
      <c r="J113" s="287" t="s">
        <v>662</v>
      </c>
      <c r="K113" s="334">
        <v>0.25</v>
      </c>
      <c r="L113" s="287">
        <v>328.87</v>
      </c>
      <c r="M113" s="559"/>
    </row>
    <row r="114" spans="2:13" x14ac:dyDescent="0.3">
      <c r="B114" s="286" t="s">
        <v>156</v>
      </c>
      <c r="C114" s="287" t="s">
        <v>154</v>
      </c>
      <c r="D114" s="277">
        <v>0.11</v>
      </c>
      <c r="E114" s="278">
        <v>34.4</v>
      </c>
      <c r="H114" s="286"/>
      <c r="I114" s="335" t="s">
        <v>25</v>
      </c>
      <c r="J114" s="287" t="s">
        <v>662</v>
      </c>
      <c r="K114" s="334">
        <v>0.3</v>
      </c>
      <c r="L114" s="287">
        <v>355.89</v>
      </c>
      <c r="M114" s="559"/>
    </row>
    <row r="115" spans="2:13" x14ac:dyDescent="0.3">
      <c r="B115" s="286" t="s">
        <v>156</v>
      </c>
      <c r="C115" s="287" t="s">
        <v>155</v>
      </c>
      <c r="D115" s="277">
        <v>0.13</v>
      </c>
      <c r="E115" s="278">
        <v>67.401250000000005</v>
      </c>
      <c r="H115" s="560"/>
      <c r="I115" s="335" t="s">
        <v>151</v>
      </c>
      <c r="J115" s="287" t="s">
        <v>662</v>
      </c>
      <c r="K115" s="334">
        <v>0.4</v>
      </c>
      <c r="L115" s="561">
        <v>652.13</v>
      </c>
      <c r="M115" s="559"/>
    </row>
    <row r="116" spans="2:13" x14ac:dyDescent="0.3">
      <c r="B116" s="286" t="s">
        <v>525</v>
      </c>
      <c r="C116" s="287" t="s">
        <v>26</v>
      </c>
      <c r="D116" s="277">
        <v>0.06</v>
      </c>
      <c r="E116" s="278">
        <v>13.15475</v>
      </c>
      <c r="H116" s="560"/>
      <c r="I116" s="335" t="s">
        <v>38</v>
      </c>
      <c r="J116" s="287" t="s">
        <v>662</v>
      </c>
      <c r="K116" s="334">
        <v>0.45</v>
      </c>
      <c r="L116" s="287">
        <v>1037.18</v>
      </c>
      <c r="M116" s="559"/>
    </row>
    <row r="117" spans="2:13" x14ac:dyDescent="0.3">
      <c r="B117" s="286" t="s">
        <v>525</v>
      </c>
      <c r="C117" s="287" t="s">
        <v>129</v>
      </c>
      <c r="D117" s="277">
        <v>7.0000000000000007E-2</v>
      </c>
      <c r="E117" s="278">
        <v>17.295249999999999</v>
      </c>
      <c r="H117" s="560"/>
      <c r="I117" s="335" t="s">
        <v>26</v>
      </c>
      <c r="J117" s="287" t="s">
        <v>662</v>
      </c>
      <c r="K117" s="334">
        <v>0.5</v>
      </c>
      <c r="L117" s="561">
        <v>1231.99</v>
      </c>
      <c r="M117" s="559"/>
    </row>
    <row r="118" spans="2:13" x14ac:dyDescent="0.3">
      <c r="B118" s="286" t="s">
        <v>525</v>
      </c>
      <c r="C118" s="287" t="s">
        <v>27</v>
      </c>
      <c r="D118" s="277">
        <v>0.09</v>
      </c>
      <c r="E118" s="278">
        <v>22.478750000000002</v>
      </c>
      <c r="H118" s="286"/>
      <c r="I118" s="335" t="s">
        <v>151</v>
      </c>
      <c r="J118" s="287" t="s">
        <v>337</v>
      </c>
      <c r="K118" s="334">
        <v>0.4</v>
      </c>
      <c r="L118" s="334">
        <v>440.7</v>
      </c>
      <c r="M118" s="559"/>
    </row>
    <row r="119" spans="2:13" x14ac:dyDescent="0.3">
      <c r="B119" s="286" t="s">
        <v>525</v>
      </c>
      <c r="C119" s="287" t="s">
        <v>154</v>
      </c>
      <c r="D119" s="277">
        <v>0.11</v>
      </c>
      <c r="E119" s="278">
        <v>36.233750000000001</v>
      </c>
      <c r="H119" s="286"/>
      <c r="I119" s="335" t="s">
        <v>38</v>
      </c>
      <c r="J119" s="287" t="s">
        <v>537</v>
      </c>
      <c r="K119" s="334">
        <v>0.45</v>
      </c>
      <c r="L119" s="334">
        <v>807.6875</v>
      </c>
      <c r="M119" s="559"/>
    </row>
    <row r="120" spans="2:13" x14ac:dyDescent="0.3">
      <c r="B120" s="286" t="s">
        <v>525</v>
      </c>
      <c r="C120" s="287" t="s">
        <v>155</v>
      </c>
      <c r="D120" s="277">
        <v>0.14000000000000001</v>
      </c>
      <c r="E120" s="278">
        <v>54.369</v>
      </c>
      <c r="H120" s="286" t="s">
        <v>318</v>
      </c>
      <c r="I120" s="335" t="s">
        <v>26</v>
      </c>
      <c r="J120" s="287" t="s">
        <v>338</v>
      </c>
      <c r="K120" s="334">
        <v>0.5</v>
      </c>
      <c r="L120" s="334">
        <v>761.21250000000009</v>
      </c>
      <c r="M120" s="559"/>
    </row>
    <row r="121" spans="2:13" x14ac:dyDescent="0.3">
      <c r="B121" s="336" t="s">
        <v>357</v>
      </c>
      <c r="C121" s="357"/>
      <c r="D121" s="358"/>
      <c r="E121" s="359"/>
      <c r="H121" s="286"/>
      <c r="I121" s="287" t="s">
        <v>152</v>
      </c>
      <c r="J121" s="287"/>
      <c r="K121" s="334">
        <v>0.6</v>
      </c>
      <c r="L121" s="334"/>
      <c r="M121" s="559"/>
    </row>
    <row r="122" spans="2:13" x14ac:dyDescent="0.3">
      <c r="B122" s="286" t="s">
        <v>358</v>
      </c>
      <c r="C122" s="287" t="s">
        <v>23</v>
      </c>
      <c r="D122" s="277">
        <v>7.0000000000000007E-2</v>
      </c>
      <c r="E122" s="359">
        <f>71.97/21</f>
        <v>3.427142857142857</v>
      </c>
      <c r="H122" s="286"/>
      <c r="I122" s="287" t="s">
        <v>129</v>
      </c>
      <c r="J122" s="287" t="s">
        <v>650</v>
      </c>
      <c r="K122" s="334">
        <v>0.75</v>
      </c>
      <c r="L122" s="334">
        <v>3746.59</v>
      </c>
      <c r="M122" s="559"/>
    </row>
    <row r="123" spans="2:13" x14ac:dyDescent="0.3">
      <c r="B123" s="286" t="s">
        <v>358</v>
      </c>
      <c r="C123" s="287" t="s">
        <v>24</v>
      </c>
      <c r="D123" s="277">
        <v>0.08</v>
      </c>
      <c r="E123" s="359">
        <f>95.17/21</f>
        <v>4.5319047619047623</v>
      </c>
      <c r="H123" s="286" t="s">
        <v>319</v>
      </c>
      <c r="I123" s="287" t="s">
        <v>27</v>
      </c>
      <c r="J123" s="287" t="s">
        <v>339</v>
      </c>
      <c r="K123" s="287">
        <v>1.35</v>
      </c>
      <c r="L123" s="334">
        <v>3859.375</v>
      </c>
      <c r="M123" s="559"/>
    </row>
    <row r="124" spans="2:13" x14ac:dyDescent="0.3">
      <c r="B124" s="286" t="s">
        <v>358</v>
      </c>
      <c r="C124" s="287" t="s">
        <v>25</v>
      </c>
      <c r="D124" s="277">
        <v>0.1</v>
      </c>
      <c r="E124" s="359">
        <f>140.51/21</f>
        <v>6.6909523809523801</v>
      </c>
      <c r="H124" s="286"/>
      <c r="I124" s="287"/>
      <c r="J124" s="287"/>
      <c r="K124" s="287"/>
      <c r="L124" s="287"/>
      <c r="M124" s="559"/>
    </row>
    <row r="125" spans="2:13" x14ac:dyDescent="0.3">
      <c r="B125" s="286" t="s">
        <v>358</v>
      </c>
      <c r="C125" s="287" t="s">
        <v>151</v>
      </c>
      <c r="D125" s="277">
        <v>0.11</v>
      </c>
      <c r="E125" s="359">
        <f>105.53/21</f>
        <v>5.0252380952380955</v>
      </c>
      <c r="H125" s="286"/>
      <c r="I125" s="286"/>
      <c r="J125" s="286"/>
      <c r="K125" s="286"/>
      <c r="L125" s="286"/>
      <c r="M125" s="559"/>
    </row>
    <row r="126" spans="2:13" x14ac:dyDescent="0.3">
      <c r="B126" s="286" t="s">
        <v>358</v>
      </c>
      <c r="C126" s="287" t="s">
        <v>38</v>
      </c>
      <c r="D126" s="277">
        <v>0.12</v>
      </c>
      <c r="E126" s="359">
        <f>124.69/21</f>
        <v>5.9376190476190471</v>
      </c>
      <c r="H126" s="286"/>
      <c r="I126" s="287"/>
      <c r="J126" s="287"/>
      <c r="K126" s="287"/>
      <c r="L126" s="287"/>
      <c r="M126" s="559"/>
    </row>
    <row r="127" spans="2:13" x14ac:dyDescent="0.3">
      <c r="B127" s="286" t="s">
        <v>358</v>
      </c>
      <c r="C127" s="287" t="s">
        <v>26</v>
      </c>
      <c r="D127" s="277">
        <v>0.14000000000000001</v>
      </c>
      <c r="E127" s="359">
        <f>167.8/21</f>
        <v>7.9904761904761914</v>
      </c>
      <c r="H127" s="336" t="s">
        <v>295</v>
      </c>
      <c r="I127" s="287"/>
      <c r="J127" s="287"/>
      <c r="K127" s="287"/>
      <c r="L127" s="287"/>
      <c r="M127" s="559"/>
    </row>
    <row r="128" spans="2:13" x14ac:dyDescent="0.3">
      <c r="B128" s="336" t="s">
        <v>302</v>
      </c>
      <c r="C128" s="287"/>
      <c r="D128" s="277"/>
      <c r="E128" s="359"/>
      <c r="H128" s="286" t="s">
        <v>296</v>
      </c>
      <c r="I128" s="287" t="s">
        <v>23</v>
      </c>
      <c r="J128" s="287" t="s">
        <v>368</v>
      </c>
      <c r="K128" s="334">
        <v>0.21</v>
      </c>
      <c r="L128" s="334">
        <v>160.94999999999999</v>
      </c>
      <c r="M128" s="559"/>
    </row>
    <row r="129" spans="2:13" x14ac:dyDescent="0.3">
      <c r="B129" s="286" t="s">
        <v>157</v>
      </c>
      <c r="C129" s="287" t="s">
        <v>23</v>
      </c>
      <c r="D129" s="277">
        <v>7.0000000000000007E-2</v>
      </c>
      <c r="E129" s="278">
        <v>3.1480952380952383</v>
      </c>
      <c r="F129" s="555"/>
      <c r="H129" s="286" t="s">
        <v>296</v>
      </c>
      <c r="I129" s="287" t="s">
        <v>24</v>
      </c>
      <c r="J129" s="287" t="s">
        <v>297</v>
      </c>
      <c r="K129" s="334">
        <v>0.25</v>
      </c>
      <c r="L129" s="334">
        <v>175</v>
      </c>
      <c r="M129" s="559"/>
    </row>
    <row r="130" spans="2:13" x14ac:dyDescent="0.3">
      <c r="B130" s="286" t="s">
        <v>157</v>
      </c>
      <c r="C130" s="287" t="s">
        <v>24</v>
      </c>
      <c r="D130" s="277">
        <v>0.08</v>
      </c>
      <c r="E130" s="278">
        <v>3.8987142857142865</v>
      </c>
      <c r="F130" s="555"/>
      <c r="H130" s="286" t="s">
        <v>296</v>
      </c>
      <c r="I130" s="287" t="s">
        <v>25</v>
      </c>
      <c r="J130" s="287" t="s">
        <v>298</v>
      </c>
      <c r="K130" s="334">
        <v>0.3</v>
      </c>
      <c r="L130" s="287">
        <v>260.62</v>
      </c>
      <c r="M130" s="559"/>
    </row>
    <row r="131" spans="2:13" x14ac:dyDescent="0.3">
      <c r="B131" s="286" t="s">
        <v>157</v>
      </c>
      <c r="C131" s="287" t="s">
        <v>25</v>
      </c>
      <c r="D131" s="277">
        <v>0.1</v>
      </c>
      <c r="E131" s="278">
        <v>6.2039999999999997</v>
      </c>
      <c r="F131" s="555"/>
      <c r="H131" s="286" t="s">
        <v>296</v>
      </c>
      <c r="I131" s="287" t="s">
        <v>151</v>
      </c>
      <c r="J131" s="287"/>
      <c r="K131" s="334">
        <v>0.4</v>
      </c>
      <c r="L131" s="287"/>
      <c r="M131" s="559"/>
    </row>
    <row r="132" spans="2:13" x14ac:dyDescent="0.3">
      <c r="B132" s="286" t="s">
        <v>157</v>
      </c>
      <c r="C132" s="287" t="s">
        <v>151</v>
      </c>
      <c r="D132" s="277">
        <v>0.11</v>
      </c>
      <c r="E132" s="278">
        <v>5.61</v>
      </c>
      <c r="F132" s="555"/>
      <c r="H132" s="286" t="s">
        <v>296</v>
      </c>
      <c r="I132" s="287" t="s">
        <v>38</v>
      </c>
      <c r="J132" s="287"/>
      <c r="K132" s="334">
        <v>0.4</v>
      </c>
      <c r="L132" s="287"/>
      <c r="M132" s="559"/>
    </row>
    <row r="133" spans="2:13" x14ac:dyDescent="0.3">
      <c r="B133" s="286" t="s">
        <v>157</v>
      </c>
      <c r="C133" s="287" t="s">
        <v>38</v>
      </c>
      <c r="D133" s="277">
        <v>0.12</v>
      </c>
      <c r="E133" s="278">
        <v>9.5810000000000013</v>
      </c>
      <c r="F133" s="555"/>
      <c r="H133" s="286" t="s">
        <v>296</v>
      </c>
      <c r="I133" s="287" t="s">
        <v>26</v>
      </c>
      <c r="J133" s="287"/>
      <c r="K133" s="334">
        <v>0.5</v>
      </c>
      <c r="L133" s="287"/>
      <c r="M133" s="559"/>
    </row>
    <row r="134" spans="2:13" x14ac:dyDescent="0.3">
      <c r="B134" s="286" t="s">
        <v>157</v>
      </c>
      <c r="C134" s="287" t="s">
        <v>26</v>
      </c>
      <c r="D134" s="277">
        <v>0.14000000000000001</v>
      </c>
      <c r="E134" s="278">
        <v>12.897500000000001</v>
      </c>
      <c r="F134" s="555"/>
      <c r="H134" s="286" t="s">
        <v>296</v>
      </c>
      <c r="I134" s="287" t="s">
        <v>152</v>
      </c>
      <c r="J134" s="287" t="s">
        <v>299</v>
      </c>
      <c r="K134" s="334">
        <v>1.75</v>
      </c>
      <c r="L134" s="287">
        <v>726.81</v>
      </c>
      <c r="M134" s="559"/>
    </row>
    <row r="135" spans="2:13" x14ac:dyDescent="0.3">
      <c r="B135" s="286" t="s">
        <v>157</v>
      </c>
      <c r="C135" s="287" t="s">
        <v>152</v>
      </c>
      <c r="D135" s="277">
        <v>0.17</v>
      </c>
      <c r="E135" s="278">
        <v>13.011428571428572</v>
      </c>
      <c r="F135" s="555"/>
      <c r="H135" s="286"/>
      <c r="I135" s="287"/>
      <c r="J135" s="287"/>
      <c r="K135" s="334"/>
      <c r="L135" s="287"/>
      <c r="M135" s="559"/>
    </row>
    <row r="136" spans="2:13" x14ac:dyDescent="0.3">
      <c r="B136" s="286" t="s">
        <v>157</v>
      </c>
      <c r="C136" s="287" t="s">
        <v>129</v>
      </c>
      <c r="D136" s="277">
        <v>0.19</v>
      </c>
      <c r="E136" s="278">
        <v>14.540952380952383</v>
      </c>
      <c r="F136" s="555"/>
      <c r="H136" s="336" t="s">
        <v>271</v>
      </c>
      <c r="I136" s="287"/>
      <c r="J136" s="287"/>
      <c r="K136" s="287"/>
      <c r="L136" s="287"/>
      <c r="M136" s="559"/>
    </row>
    <row r="137" spans="2:13" x14ac:dyDescent="0.3">
      <c r="B137" s="286" t="s">
        <v>157</v>
      </c>
      <c r="C137" s="287" t="s">
        <v>27</v>
      </c>
      <c r="D137" s="277">
        <v>0.3</v>
      </c>
      <c r="E137" s="278">
        <v>17.852450000000001</v>
      </c>
      <c r="F137" s="555"/>
      <c r="H137" s="286" t="s">
        <v>272</v>
      </c>
      <c r="I137" s="287"/>
      <c r="J137" s="287"/>
      <c r="K137" s="287"/>
      <c r="L137" s="287"/>
      <c r="M137" s="559"/>
    </row>
    <row r="138" spans="2:13" x14ac:dyDescent="0.3">
      <c r="B138" s="336" t="s">
        <v>362</v>
      </c>
      <c r="C138" s="357"/>
      <c r="D138" s="358"/>
      <c r="E138" s="359"/>
      <c r="H138" s="286" t="s">
        <v>204</v>
      </c>
      <c r="I138" s="287" t="s">
        <v>23</v>
      </c>
      <c r="J138" s="287" t="s">
        <v>274</v>
      </c>
      <c r="K138" s="287">
        <v>0.16</v>
      </c>
      <c r="L138" s="334">
        <v>20.335699999999999</v>
      </c>
      <c r="M138" s="559"/>
    </row>
    <row r="139" spans="2:13" x14ac:dyDescent="0.3">
      <c r="B139" s="286" t="s">
        <v>363</v>
      </c>
      <c r="C139" s="287" t="s">
        <v>26</v>
      </c>
      <c r="D139" s="277">
        <v>5.5E-2</v>
      </c>
      <c r="E139" s="359">
        <v>2.8492999999999999</v>
      </c>
      <c r="H139" s="286" t="s">
        <v>205</v>
      </c>
      <c r="I139" s="287" t="s">
        <v>24</v>
      </c>
      <c r="J139" s="300" t="s">
        <v>275</v>
      </c>
      <c r="K139" s="287">
        <v>0.19</v>
      </c>
      <c r="L139" s="334">
        <v>25.6557</v>
      </c>
      <c r="M139" s="559"/>
    </row>
    <row r="140" spans="2:13" x14ac:dyDescent="0.3">
      <c r="B140" s="286" t="s">
        <v>363</v>
      </c>
      <c r="C140" s="287" t="s">
        <v>129</v>
      </c>
      <c r="D140" s="277">
        <v>0.06</v>
      </c>
      <c r="E140" s="359">
        <v>6.7500999999999998</v>
      </c>
      <c r="H140" s="286" t="s">
        <v>206</v>
      </c>
      <c r="I140" s="287" t="s">
        <v>25</v>
      </c>
      <c r="J140" s="287" t="s">
        <v>276</v>
      </c>
      <c r="K140" s="287">
        <v>0.23</v>
      </c>
      <c r="L140" s="334">
        <v>64.943899999999999</v>
      </c>
      <c r="M140" s="559"/>
    </row>
    <row r="141" spans="2:13" x14ac:dyDescent="0.3">
      <c r="B141" s="286" t="s">
        <v>363</v>
      </c>
      <c r="C141" s="287" t="s">
        <v>27</v>
      </c>
      <c r="D141" s="277">
        <v>0.08</v>
      </c>
      <c r="E141" s="359">
        <f>202.05/20</f>
        <v>10.102500000000001</v>
      </c>
      <c r="H141" s="286" t="s">
        <v>273</v>
      </c>
      <c r="I141" s="287" t="s">
        <v>25</v>
      </c>
      <c r="J141" s="287" t="s">
        <v>277</v>
      </c>
      <c r="K141" s="287">
        <v>0.23</v>
      </c>
      <c r="L141" s="334">
        <v>92.368500000000012</v>
      </c>
      <c r="M141" s="559"/>
    </row>
    <row r="142" spans="2:13" x14ac:dyDescent="0.3">
      <c r="B142" s="336" t="s">
        <v>301</v>
      </c>
      <c r="C142" s="287"/>
      <c r="D142" s="277"/>
      <c r="E142" s="278"/>
      <c r="H142" s="286" t="s">
        <v>278</v>
      </c>
      <c r="I142" s="287"/>
      <c r="J142" s="287"/>
      <c r="K142" s="287"/>
      <c r="L142" s="287"/>
      <c r="M142" s="559"/>
    </row>
    <row r="143" spans="2:13" x14ac:dyDescent="0.3">
      <c r="B143" s="286" t="s">
        <v>159</v>
      </c>
      <c r="C143" s="287" t="s">
        <v>23</v>
      </c>
      <c r="D143" s="277">
        <v>3.9E-2</v>
      </c>
      <c r="E143" s="278">
        <v>1.93</v>
      </c>
      <c r="H143" s="286" t="s">
        <v>204</v>
      </c>
      <c r="I143" s="287" t="s">
        <v>23</v>
      </c>
      <c r="J143" s="287" t="s">
        <v>287</v>
      </c>
      <c r="K143" s="287">
        <v>0.16</v>
      </c>
      <c r="L143" s="287">
        <v>108.87</v>
      </c>
      <c r="M143" s="559"/>
    </row>
    <row r="144" spans="2:13" x14ac:dyDescent="0.3">
      <c r="B144" s="286" t="s">
        <v>159</v>
      </c>
      <c r="C144" s="287" t="s">
        <v>24</v>
      </c>
      <c r="D144" s="277">
        <v>3.9E-2</v>
      </c>
      <c r="E144" s="278">
        <v>2.16</v>
      </c>
      <c r="H144" s="286" t="s">
        <v>205</v>
      </c>
      <c r="I144" s="287" t="s">
        <v>24</v>
      </c>
      <c r="J144" s="287" t="s">
        <v>290</v>
      </c>
      <c r="K144" s="287">
        <v>0.19</v>
      </c>
      <c r="L144" s="287">
        <v>139.76</v>
      </c>
      <c r="M144" s="559"/>
    </row>
    <row r="145" spans="2:13" x14ac:dyDescent="0.3">
      <c r="B145" s="286" t="s">
        <v>159</v>
      </c>
      <c r="C145" s="287" t="s">
        <v>25</v>
      </c>
      <c r="D145" s="277">
        <v>4.2000000000000003E-2</v>
      </c>
      <c r="E145" s="278">
        <v>2.41</v>
      </c>
      <c r="H145" s="286" t="s">
        <v>206</v>
      </c>
      <c r="I145" s="287" t="s">
        <v>25</v>
      </c>
      <c r="J145" s="287" t="s">
        <v>291</v>
      </c>
      <c r="K145" s="287">
        <v>0.23</v>
      </c>
      <c r="L145" s="287">
        <v>217.73</v>
      </c>
      <c r="M145" s="559"/>
    </row>
    <row r="146" spans="2:13" x14ac:dyDescent="0.3">
      <c r="B146" s="286" t="s">
        <v>159</v>
      </c>
      <c r="C146" s="287" t="s">
        <v>151</v>
      </c>
      <c r="D146" s="277">
        <v>4.2000000000000003E-2</v>
      </c>
      <c r="E146" s="278">
        <v>2.66</v>
      </c>
      <c r="H146" s="286" t="s">
        <v>273</v>
      </c>
      <c r="I146" s="287" t="s">
        <v>151</v>
      </c>
      <c r="J146" s="287" t="s">
        <v>292</v>
      </c>
      <c r="K146" s="334">
        <v>0.3</v>
      </c>
      <c r="L146" s="287">
        <v>435.37</v>
      </c>
      <c r="M146" s="559"/>
    </row>
    <row r="147" spans="2:13" x14ac:dyDescent="0.3">
      <c r="B147" s="286" t="s">
        <v>159</v>
      </c>
      <c r="C147" s="287" t="s">
        <v>38</v>
      </c>
      <c r="D147" s="277">
        <v>4.2000000000000003E-2</v>
      </c>
      <c r="E147" s="278">
        <v>3.05</v>
      </c>
      <c r="H147" s="286" t="s">
        <v>288</v>
      </c>
      <c r="I147" s="287" t="s">
        <v>38</v>
      </c>
      <c r="J147" s="287" t="s">
        <v>293</v>
      </c>
      <c r="K147" s="287">
        <v>0.34</v>
      </c>
      <c r="L147" s="334">
        <f>547.62*1.33</f>
        <v>728.33460000000002</v>
      </c>
      <c r="M147" s="559"/>
    </row>
    <row r="148" spans="2:13" x14ac:dyDescent="0.3">
      <c r="B148" s="286" t="s">
        <v>159</v>
      </c>
      <c r="C148" s="287" t="s">
        <v>26</v>
      </c>
      <c r="D148" s="277">
        <v>4.5999999999999999E-2</v>
      </c>
      <c r="E148" s="278">
        <v>3.9</v>
      </c>
      <c r="H148" s="286" t="s">
        <v>289</v>
      </c>
      <c r="I148" s="287" t="s">
        <v>26</v>
      </c>
      <c r="J148" s="287" t="s">
        <v>294</v>
      </c>
      <c r="K148" s="287">
        <v>0.38</v>
      </c>
      <c r="L148" s="334">
        <f>657.14*1.33</f>
        <v>873.99620000000004</v>
      </c>
      <c r="M148" s="559"/>
    </row>
    <row r="149" spans="2:13" x14ac:dyDescent="0.3">
      <c r="B149" s="286" t="s">
        <v>159</v>
      </c>
      <c r="C149" s="287" t="s">
        <v>152</v>
      </c>
      <c r="D149" s="277">
        <v>5.6000000000000001E-2</v>
      </c>
      <c r="E149" s="278">
        <v>5.26</v>
      </c>
      <c r="H149" s="286" t="s">
        <v>278</v>
      </c>
      <c r="I149" s="287"/>
      <c r="J149" s="287"/>
      <c r="K149" s="287"/>
      <c r="L149" s="287"/>
      <c r="M149" s="559"/>
    </row>
    <row r="150" spans="2:13" x14ac:dyDescent="0.3">
      <c r="B150" s="286" t="s">
        <v>159</v>
      </c>
      <c r="C150" s="287" t="s">
        <v>129</v>
      </c>
      <c r="D150" s="277">
        <v>6.2E-2</v>
      </c>
      <c r="E150" s="278">
        <v>6.18</v>
      </c>
      <c r="H150" s="286" t="s">
        <v>204</v>
      </c>
      <c r="I150" s="287" t="s">
        <v>23</v>
      </c>
      <c r="J150" s="287" t="s">
        <v>656</v>
      </c>
      <c r="K150" s="287">
        <v>0.16</v>
      </c>
      <c r="L150" s="287">
        <v>142.07</v>
      </c>
      <c r="M150" s="559"/>
    </row>
    <row r="151" spans="2:13" x14ac:dyDescent="0.3">
      <c r="B151" s="286" t="s">
        <v>159</v>
      </c>
      <c r="C151" s="287" t="s">
        <v>27</v>
      </c>
      <c r="D151" s="277">
        <v>6.8000000000000005E-2</v>
      </c>
      <c r="E151" s="278">
        <v>9.02</v>
      </c>
      <c r="H151" s="286" t="s">
        <v>205</v>
      </c>
      <c r="I151" s="287" t="s">
        <v>24</v>
      </c>
      <c r="J151" s="287" t="s">
        <v>657</v>
      </c>
      <c r="K151" s="287">
        <v>0.19</v>
      </c>
      <c r="L151" s="287">
        <v>285.29000000000002</v>
      </c>
      <c r="M151" s="559"/>
    </row>
    <row r="152" spans="2:13" x14ac:dyDescent="0.3">
      <c r="B152" s="286" t="s">
        <v>160</v>
      </c>
      <c r="C152" s="287" t="s">
        <v>23</v>
      </c>
      <c r="D152" s="277">
        <v>4.4999999999999998E-2</v>
      </c>
      <c r="E152" s="278">
        <v>1.47</v>
      </c>
      <c r="H152" s="286" t="s">
        <v>206</v>
      </c>
      <c r="I152" s="287" t="s">
        <v>25</v>
      </c>
      <c r="J152" s="287" t="s">
        <v>658</v>
      </c>
      <c r="K152" s="287">
        <v>0.23</v>
      </c>
      <c r="L152" s="287">
        <v>429</v>
      </c>
      <c r="M152" s="559"/>
    </row>
    <row r="153" spans="2:13" x14ac:dyDescent="0.3">
      <c r="B153" s="286" t="s">
        <v>160</v>
      </c>
      <c r="C153" s="287" t="s">
        <v>24</v>
      </c>
      <c r="D153" s="277">
        <v>4.4999999999999998E-2</v>
      </c>
      <c r="E153" s="278">
        <v>1.75</v>
      </c>
      <c r="H153" s="286" t="s">
        <v>273</v>
      </c>
      <c r="I153" s="287" t="s">
        <v>151</v>
      </c>
      <c r="J153" s="287" t="s">
        <v>659</v>
      </c>
      <c r="K153" s="334">
        <v>0.3</v>
      </c>
      <c r="L153" s="287">
        <v>1071.8399999999999</v>
      </c>
      <c r="M153" s="559"/>
    </row>
    <row r="154" spans="2:13" x14ac:dyDescent="0.3">
      <c r="B154" s="286" t="s">
        <v>160</v>
      </c>
      <c r="C154" s="287" t="s">
        <v>25</v>
      </c>
      <c r="D154" s="277">
        <v>4.8000000000000001E-2</v>
      </c>
      <c r="E154" s="278">
        <v>2.14</v>
      </c>
      <c r="H154" s="286" t="s">
        <v>288</v>
      </c>
      <c r="I154" s="287" t="s">
        <v>38</v>
      </c>
      <c r="J154" s="287" t="s">
        <v>660</v>
      </c>
      <c r="K154" s="287">
        <v>0.34</v>
      </c>
      <c r="L154" s="334">
        <v>1209.78</v>
      </c>
      <c r="M154" s="559"/>
    </row>
    <row r="155" spans="2:13" x14ac:dyDescent="0.3">
      <c r="B155" s="286" t="s">
        <v>160</v>
      </c>
      <c r="C155" s="287" t="s">
        <v>151</v>
      </c>
      <c r="D155" s="277">
        <v>0.05</v>
      </c>
      <c r="E155" s="278">
        <v>2.44</v>
      </c>
      <c r="H155" s="286" t="s">
        <v>289</v>
      </c>
      <c r="I155" s="287" t="s">
        <v>26</v>
      </c>
      <c r="J155" s="287" t="s">
        <v>661</v>
      </c>
      <c r="K155" s="287">
        <v>0.38</v>
      </c>
      <c r="L155" s="334">
        <v>1486.32</v>
      </c>
      <c r="M155" s="559"/>
    </row>
    <row r="156" spans="2:13" x14ac:dyDescent="0.3">
      <c r="B156" s="286" t="s">
        <v>160</v>
      </c>
      <c r="C156" s="287" t="s">
        <v>38</v>
      </c>
      <c r="D156" s="277">
        <v>0.05</v>
      </c>
      <c r="E156" s="278">
        <v>3.24</v>
      </c>
      <c r="H156" s="560"/>
      <c r="I156" s="561"/>
      <c r="J156" s="287"/>
      <c r="K156" s="287"/>
      <c r="L156" s="562"/>
      <c r="M156" s="559"/>
    </row>
    <row r="157" spans="2:13" x14ac:dyDescent="0.3">
      <c r="B157" s="286" t="s">
        <v>160</v>
      </c>
      <c r="C157" s="287" t="s">
        <v>26</v>
      </c>
      <c r="D157" s="277">
        <v>5.6000000000000001E-2</v>
      </c>
      <c r="E157" s="278">
        <v>3.94</v>
      </c>
      <c r="H157" s="336" t="s">
        <v>322</v>
      </c>
      <c r="I157" s="339"/>
      <c r="J157" s="287"/>
      <c r="K157" s="287"/>
      <c r="L157" s="339"/>
      <c r="M157" s="559"/>
    </row>
    <row r="158" spans="2:13" x14ac:dyDescent="0.3">
      <c r="B158" s="286" t="s">
        <v>160</v>
      </c>
      <c r="C158" s="287" t="s">
        <v>152</v>
      </c>
      <c r="D158" s="277">
        <v>5.6000000000000001E-2</v>
      </c>
      <c r="E158" s="278">
        <v>4.9800000000000004</v>
      </c>
      <c r="H158" s="286" t="s">
        <v>365</v>
      </c>
      <c r="I158" s="287" t="s">
        <v>23</v>
      </c>
      <c r="J158" s="287" t="s">
        <v>182</v>
      </c>
      <c r="K158" s="334">
        <v>1</v>
      </c>
      <c r="L158" s="339">
        <v>290.64</v>
      </c>
      <c r="M158" s="559"/>
    </row>
    <row r="159" spans="2:13" x14ac:dyDescent="0.3">
      <c r="B159" s="286" t="s">
        <v>160</v>
      </c>
      <c r="C159" s="287" t="s">
        <v>129</v>
      </c>
      <c r="D159" s="277">
        <v>6.2E-2</v>
      </c>
      <c r="E159" s="278">
        <v>5.69</v>
      </c>
      <c r="H159" s="286" t="s">
        <v>365</v>
      </c>
      <c r="I159" s="287" t="s">
        <v>23</v>
      </c>
      <c r="J159" s="287" t="s">
        <v>323</v>
      </c>
      <c r="K159" s="334">
        <v>1</v>
      </c>
      <c r="L159" s="287">
        <v>162.62</v>
      </c>
      <c r="M159" s="559"/>
    </row>
    <row r="160" spans="2:13" x14ac:dyDescent="0.3">
      <c r="B160" s="286" t="s">
        <v>160</v>
      </c>
      <c r="C160" s="287" t="s">
        <v>27</v>
      </c>
      <c r="D160" s="277">
        <v>6.8000000000000005E-2</v>
      </c>
      <c r="E160" s="278">
        <v>7.43</v>
      </c>
      <c r="H160" s="286" t="s">
        <v>365</v>
      </c>
      <c r="I160" s="287" t="s">
        <v>24</v>
      </c>
      <c r="J160" s="287" t="s">
        <v>324</v>
      </c>
      <c r="K160" s="334">
        <v>1</v>
      </c>
      <c r="L160" s="339">
        <v>171.51</v>
      </c>
      <c r="M160" s="559"/>
    </row>
    <row r="161" spans="2:13" x14ac:dyDescent="0.3">
      <c r="B161" s="286" t="s">
        <v>161</v>
      </c>
      <c r="C161" s="287" t="s">
        <v>23</v>
      </c>
      <c r="D161" s="277">
        <v>4.8000000000000001E-2</v>
      </c>
      <c r="E161" s="278">
        <v>4.49</v>
      </c>
      <c r="H161" s="286" t="s">
        <v>365</v>
      </c>
      <c r="I161" s="287" t="s">
        <v>25</v>
      </c>
      <c r="J161" s="287"/>
      <c r="K161" s="334">
        <v>1.25</v>
      </c>
      <c r="L161" s="339"/>
      <c r="M161" s="559"/>
    </row>
    <row r="162" spans="2:13" x14ac:dyDescent="0.3">
      <c r="B162" s="286" t="s">
        <v>161</v>
      </c>
      <c r="C162" s="287" t="s">
        <v>24</v>
      </c>
      <c r="D162" s="277">
        <v>0.05</v>
      </c>
      <c r="E162" s="278">
        <v>5.31</v>
      </c>
      <c r="H162" s="286" t="s">
        <v>365</v>
      </c>
      <c r="I162" s="287" t="s">
        <v>151</v>
      </c>
      <c r="J162" s="287"/>
      <c r="K162" s="334">
        <v>1.95</v>
      </c>
      <c r="L162" s="339"/>
      <c r="M162" s="559"/>
    </row>
    <row r="163" spans="2:13" x14ac:dyDescent="0.3">
      <c r="B163" s="286" t="s">
        <v>161</v>
      </c>
      <c r="C163" s="287" t="s">
        <v>25</v>
      </c>
      <c r="D163" s="277">
        <v>0.05</v>
      </c>
      <c r="E163" s="278">
        <v>5.78</v>
      </c>
      <c r="H163" s="286" t="s">
        <v>365</v>
      </c>
      <c r="I163" s="287" t="s">
        <v>38</v>
      </c>
      <c r="J163" s="287"/>
      <c r="K163" s="334">
        <v>2</v>
      </c>
      <c r="L163" s="339"/>
      <c r="M163" s="559"/>
    </row>
    <row r="164" spans="2:13" x14ac:dyDescent="0.3">
      <c r="B164" s="286" t="s">
        <v>161</v>
      </c>
      <c r="C164" s="287" t="s">
        <v>151</v>
      </c>
      <c r="D164" s="277">
        <v>5.6000000000000001E-2</v>
      </c>
      <c r="E164" s="278">
        <v>6.69</v>
      </c>
      <c r="H164" s="286" t="s">
        <v>365</v>
      </c>
      <c r="I164" s="287" t="s">
        <v>26</v>
      </c>
      <c r="J164" s="287" t="s">
        <v>325</v>
      </c>
      <c r="K164" s="334">
        <v>2.15</v>
      </c>
      <c r="L164" s="339">
        <v>738.46</v>
      </c>
      <c r="M164" s="559"/>
    </row>
    <row r="165" spans="2:13" x14ac:dyDescent="0.3">
      <c r="B165" s="286" t="s">
        <v>161</v>
      </c>
      <c r="C165" s="287" t="s">
        <v>38</v>
      </c>
      <c r="D165" s="277">
        <v>5.6000000000000001E-2</v>
      </c>
      <c r="E165" s="278">
        <v>7.18</v>
      </c>
      <c r="H165" s="286" t="s">
        <v>365</v>
      </c>
      <c r="I165" s="287" t="s">
        <v>152</v>
      </c>
      <c r="J165" s="287"/>
      <c r="K165" s="334">
        <v>2.95</v>
      </c>
      <c r="L165" s="339"/>
      <c r="M165" s="559"/>
    </row>
    <row r="166" spans="2:13" x14ac:dyDescent="0.3">
      <c r="B166" s="286" t="s">
        <v>161</v>
      </c>
      <c r="C166" s="287" t="s">
        <v>26</v>
      </c>
      <c r="D166" s="277">
        <v>6.2E-2</v>
      </c>
      <c r="E166" s="278">
        <v>8.16</v>
      </c>
      <c r="H166" s="286" t="s">
        <v>365</v>
      </c>
      <c r="I166" s="287" t="s">
        <v>129</v>
      </c>
      <c r="J166" s="287"/>
      <c r="K166" s="334">
        <v>3.45</v>
      </c>
      <c r="L166" s="339"/>
      <c r="M166" s="559"/>
    </row>
    <row r="167" spans="2:13" x14ac:dyDescent="0.3">
      <c r="B167" s="286" t="s">
        <v>161</v>
      </c>
      <c r="C167" s="287" t="s">
        <v>152</v>
      </c>
      <c r="D167" s="277">
        <v>6.8000000000000005E-2</v>
      </c>
      <c r="E167" s="278">
        <v>17.170000000000002</v>
      </c>
      <c r="H167" s="286" t="s">
        <v>365</v>
      </c>
      <c r="I167" s="287" t="s">
        <v>27</v>
      </c>
      <c r="J167" s="287"/>
      <c r="K167" s="334">
        <v>3.95</v>
      </c>
      <c r="L167" s="339"/>
      <c r="M167" s="559"/>
    </row>
    <row r="168" spans="2:13" x14ac:dyDescent="0.3">
      <c r="B168" s="286" t="s">
        <v>161</v>
      </c>
      <c r="C168" s="287" t="s">
        <v>129</v>
      </c>
      <c r="D168" s="277">
        <v>7.3999999999999996E-2</v>
      </c>
      <c r="E168" s="278">
        <v>20.8</v>
      </c>
      <c r="H168" s="286" t="s">
        <v>365</v>
      </c>
      <c r="I168" s="287" t="s">
        <v>154</v>
      </c>
      <c r="J168" s="287"/>
      <c r="K168" s="334">
        <v>5.75</v>
      </c>
      <c r="L168" s="339"/>
      <c r="M168" s="559"/>
    </row>
    <row r="169" spans="2:13" x14ac:dyDescent="0.3">
      <c r="B169" s="286" t="s">
        <v>161</v>
      </c>
      <c r="C169" s="287" t="s">
        <v>27</v>
      </c>
      <c r="D169" s="277">
        <v>0.08</v>
      </c>
      <c r="E169" s="278">
        <v>26.7</v>
      </c>
      <c r="H169" s="338"/>
      <c r="I169" s="339"/>
      <c r="J169" s="287"/>
      <c r="K169" s="287"/>
      <c r="L169" s="339"/>
      <c r="M169" s="559"/>
    </row>
    <row r="170" spans="2:13" x14ac:dyDescent="0.3">
      <c r="B170" s="336" t="s">
        <v>300</v>
      </c>
      <c r="C170" s="287"/>
      <c r="D170" s="277"/>
      <c r="E170" s="278"/>
      <c r="H170" s="336" t="s">
        <v>283</v>
      </c>
      <c r="I170" s="287"/>
      <c r="J170" s="287"/>
      <c r="K170" s="287"/>
      <c r="L170" s="287"/>
      <c r="M170" s="559"/>
    </row>
    <row r="171" spans="2:13" x14ac:dyDescent="0.3">
      <c r="B171" s="286" t="s">
        <v>162</v>
      </c>
      <c r="C171" s="287" t="s">
        <v>23</v>
      </c>
      <c r="D171" s="277">
        <v>3.7999999999999999E-2</v>
      </c>
      <c r="E171" s="278">
        <v>2.4530000000000003</v>
      </c>
      <c r="H171" s="286" t="s">
        <v>364</v>
      </c>
      <c r="I171" s="287" t="s">
        <v>23</v>
      </c>
      <c r="J171" s="287" t="s">
        <v>432</v>
      </c>
      <c r="K171" s="334">
        <v>1</v>
      </c>
      <c r="L171" s="334">
        <v>381.40562500000004</v>
      </c>
      <c r="M171" s="559"/>
    </row>
    <row r="172" spans="2:13" x14ac:dyDescent="0.3">
      <c r="B172" s="286" t="s">
        <v>162</v>
      </c>
      <c r="C172" s="287" t="s">
        <v>24</v>
      </c>
      <c r="D172" s="277">
        <v>3.7999999999999999E-2</v>
      </c>
      <c r="E172" s="278">
        <v>2.4530000000000003</v>
      </c>
      <c r="H172" s="286" t="s">
        <v>364</v>
      </c>
      <c r="I172" s="287" t="s">
        <v>24</v>
      </c>
      <c r="J172" s="287" t="s">
        <v>375</v>
      </c>
      <c r="K172" s="334">
        <v>1</v>
      </c>
      <c r="L172" s="334">
        <v>367.98624999999998</v>
      </c>
      <c r="M172" s="559"/>
    </row>
    <row r="173" spans="2:13" x14ac:dyDescent="0.3">
      <c r="B173" s="286" t="s">
        <v>162</v>
      </c>
      <c r="C173" s="287" t="s">
        <v>25</v>
      </c>
      <c r="D173" s="277">
        <v>0.04</v>
      </c>
      <c r="E173" s="278">
        <v>2.7610000000000001</v>
      </c>
      <c r="H173" s="286" t="s">
        <v>364</v>
      </c>
      <c r="I173" s="287" t="s">
        <v>25</v>
      </c>
      <c r="J173" s="287" t="s">
        <v>284</v>
      </c>
      <c r="K173" s="334">
        <v>1.25</v>
      </c>
      <c r="L173" s="334">
        <v>422.08</v>
      </c>
      <c r="M173" s="559"/>
    </row>
    <row r="174" spans="2:13" x14ac:dyDescent="0.3">
      <c r="B174" s="286" t="s">
        <v>162</v>
      </c>
      <c r="C174" s="287" t="s">
        <v>151</v>
      </c>
      <c r="D174" s="277">
        <v>0.04</v>
      </c>
      <c r="E174" s="278">
        <v>2.8820000000000006</v>
      </c>
      <c r="H174" s="286" t="s">
        <v>364</v>
      </c>
      <c r="I174" s="287" t="s">
        <v>151</v>
      </c>
      <c r="J174" s="287" t="s">
        <v>285</v>
      </c>
      <c r="K174" s="334">
        <v>1.95</v>
      </c>
      <c r="L174" s="334">
        <v>796.875</v>
      </c>
      <c r="M174" s="559"/>
    </row>
    <row r="175" spans="2:13" x14ac:dyDescent="0.3">
      <c r="B175" s="286" t="s">
        <v>162</v>
      </c>
      <c r="C175" s="287" t="s">
        <v>38</v>
      </c>
      <c r="D175" s="277">
        <v>4.2000000000000003E-2</v>
      </c>
      <c r="E175" s="278">
        <v>3.0250000000000004</v>
      </c>
      <c r="H175" s="286" t="s">
        <v>364</v>
      </c>
      <c r="I175" s="287" t="s">
        <v>38</v>
      </c>
      <c r="J175" s="287" t="s">
        <v>385</v>
      </c>
      <c r="K175" s="334">
        <v>2</v>
      </c>
      <c r="L175" s="334">
        <v>819.708125</v>
      </c>
      <c r="M175" s="559"/>
    </row>
    <row r="176" spans="2:13" x14ac:dyDescent="0.3">
      <c r="B176" s="286" t="s">
        <v>162</v>
      </c>
      <c r="C176" s="287" t="s">
        <v>26</v>
      </c>
      <c r="D176" s="277">
        <v>4.3999999999999997E-2</v>
      </c>
      <c r="E176" s="278">
        <v>3.74</v>
      </c>
      <c r="H176" s="286" t="s">
        <v>364</v>
      </c>
      <c r="I176" s="287" t="s">
        <v>26</v>
      </c>
      <c r="J176" s="287" t="s">
        <v>433</v>
      </c>
      <c r="K176" s="334">
        <v>2.15</v>
      </c>
      <c r="L176" s="334">
        <v>850.61</v>
      </c>
      <c r="M176" s="559"/>
    </row>
    <row r="177" spans="2:13" x14ac:dyDescent="0.3">
      <c r="B177" s="286" t="s">
        <v>162</v>
      </c>
      <c r="C177" s="287" t="s">
        <v>152</v>
      </c>
      <c r="D177" s="277">
        <v>4.7E-2</v>
      </c>
      <c r="E177" s="278">
        <v>3.9600000000000004</v>
      </c>
      <c r="H177" s="286" t="s">
        <v>364</v>
      </c>
      <c r="I177" s="287" t="s">
        <v>152</v>
      </c>
      <c r="J177" s="287" t="s">
        <v>369</v>
      </c>
      <c r="K177" s="334">
        <v>4</v>
      </c>
      <c r="L177" s="334">
        <v>2074.2868749999998</v>
      </c>
      <c r="M177" s="559"/>
    </row>
    <row r="178" spans="2:13" x14ac:dyDescent="0.3">
      <c r="B178" s="286" t="s">
        <v>162</v>
      </c>
      <c r="C178" s="287" t="s">
        <v>129</v>
      </c>
      <c r="D178" s="277">
        <v>5.0999999999999997E-2</v>
      </c>
      <c r="E178" s="278">
        <v>4.3780000000000001</v>
      </c>
      <c r="H178" s="286" t="s">
        <v>364</v>
      </c>
      <c r="I178" s="287" t="s">
        <v>129</v>
      </c>
      <c r="J178" s="287" t="s">
        <v>342</v>
      </c>
      <c r="K178" s="334">
        <v>4.75</v>
      </c>
      <c r="L178" s="334">
        <v>2545.7800000000002</v>
      </c>
      <c r="M178" s="559"/>
    </row>
    <row r="179" spans="2:13" x14ac:dyDescent="0.3">
      <c r="B179" s="286" t="s">
        <v>162</v>
      </c>
      <c r="C179" s="287" t="s">
        <v>27</v>
      </c>
      <c r="D179" s="277">
        <v>6.3E-2</v>
      </c>
      <c r="E179" s="278">
        <v>5.5990000000000002</v>
      </c>
      <c r="H179" s="286" t="s">
        <v>364</v>
      </c>
      <c r="I179" s="287" t="s">
        <v>27</v>
      </c>
      <c r="J179" s="287" t="s">
        <v>313</v>
      </c>
      <c r="K179" s="334">
        <v>6</v>
      </c>
      <c r="L179" s="334">
        <v>3229.7476562499996</v>
      </c>
      <c r="M179" s="559"/>
    </row>
    <row r="180" spans="2:13" x14ac:dyDescent="0.3">
      <c r="B180" s="286" t="s">
        <v>163</v>
      </c>
      <c r="C180" s="287" t="s">
        <v>23</v>
      </c>
      <c r="D180" s="277">
        <v>3.7999999999999999E-2</v>
      </c>
      <c r="E180" s="278">
        <v>2.85</v>
      </c>
      <c r="H180" s="286" t="s">
        <v>364</v>
      </c>
      <c r="I180" s="287" t="s">
        <v>154</v>
      </c>
      <c r="J180" s="287"/>
      <c r="K180" s="334">
        <v>7.95</v>
      </c>
      <c r="L180" s="287"/>
      <c r="M180" s="559"/>
    </row>
    <row r="181" spans="2:13" x14ac:dyDescent="0.3">
      <c r="B181" s="286" t="s">
        <v>163</v>
      </c>
      <c r="C181" s="287" t="s">
        <v>24</v>
      </c>
      <c r="D181" s="277">
        <v>3.7999999999999999E-2</v>
      </c>
      <c r="E181" s="278">
        <v>2.85</v>
      </c>
      <c r="H181" s="287"/>
      <c r="I181" s="287"/>
      <c r="J181" s="287"/>
      <c r="K181" s="287"/>
      <c r="L181" s="287"/>
      <c r="M181" s="559"/>
    </row>
    <row r="182" spans="2:13" x14ac:dyDescent="0.3">
      <c r="B182" s="286" t="s">
        <v>163</v>
      </c>
      <c r="C182" s="287" t="s">
        <v>25</v>
      </c>
      <c r="D182" s="277">
        <v>0.04</v>
      </c>
      <c r="E182" s="278">
        <v>3.1</v>
      </c>
      <c r="H182" s="336" t="s">
        <v>286</v>
      </c>
      <c r="I182" s="287"/>
      <c r="J182" s="287"/>
      <c r="K182" s="287"/>
      <c r="L182" s="287"/>
      <c r="M182" s="559"/>
    </row>
    <row r="183" spans="2:13" x14ac:dyDescent="0.3">
      <c r="B183" s="286" t="s">
        <v>163</v>
      </c>
      <c r="C183" s="287" t="s">
        <v>151</v>
      </c>
      <c r="D183" s="277">
        <v>0.04</v>
      </c>
      <c r="E183" s="278">
        <v>3.31</v>
      </c>
      <c r="H183" s="337" t="s">
        <v>434</v>
      </c>
      <c r="I183" s="287"/>
      <c r="J183" s="287" t="s">
        <v>435</v>
      </c>
      <c r="K183" s="334">
        <v>0.1</v>
      </c>
      <c r="L183" s="287">
        <v>43.59</v>
      </c>
      <c r="M183" s="559"/>
    </row>
    <row r="184" spans="2:13" x14ac:dyDescent="0.3">
      <c r="B184" s="286" t="s">
        <v>163</v>
      </c>
      <c r="C184" s="287" t="s">
        <v>38</v>
      </c>
      <c r="D184" s="277">
        <v>4.2000000000000003E-2</v>
      </c>
      <c r="E184" s="278">
        <v>3.59</v>
      </c>
      <c r="H184" s="337" t="s">
        <v>376</v>
      </c>
      <c r="I184" s="287"/>
      <c r="J184" s="287" t="s">
        <v>377</v>
      </c>
      <c r="K184" s="334">
        <v>0.1</v>
      </c>
      <c r="L184" s="287">
        <v>59.02</v>
      </c>
      <c r="M184" s="559"/>
    </row>
    <row r="185" spans="2:13" x14ac:dyDescent="0.3">
      <c r="B185" s="286" t="s">
        <v>163</v>
      </c>
      <c r="C185" s="287" t="s">
        <v>26</v>
      </c>
      <c r="D185" s="277">
        <v>4.3999999999999997E-2</v>
      </c>
      <c r="E185" s="278">
        <v>4.16</v>
      </c>
      <c r="H185" s="337" t="s">
        <v>438</v>
      </c>
      <c r="I185" s="287"/>
      <c r="J185" s="287" t="s">
        <v>316</v>
      </c>
      <c r="K185" s="334">
        <v>0.1</v>
      </c>
      <c r="L185" s="287">
        <v>78.23</v>
      </c>
      <c r="M185" s="559"/>
    </row>
    <row r="186" spans="2:13" x14ac:dyDescent="0.3">
      <c r="B186" s="286" t="s">
        <v>163</v>
      </c>
      <c r="C186" s="287" t="s">
        <v>152</v>
      </c>
      <c r="D186" s="277">
        <v>4.8000000000000001E-2</v>
      </c>
      <c r="E186" s="278">
        <v>4.43</v>
      </c>
      <c r="H186" s="337" t="s">
        <v>343</v>
      </c>
      <c r="I186" s="287"/>
      <c r="J186" s="287" t="s">
        <v>314</v>
      </c>
      <c r="K186" s="334">
        <v>0.3</v>
      </c>
      <c r="L186" s="287">
        <v>166.67</v>
      </c>
      <c r="M186" s="559"/>
    </row>
    <row r="187" spans="2:13" x14ac:dyDescent="0.3">
      <c r="B187" s="286" t="s">
        <v>163</v>
      </c>
      <c r="C187" s="287" t="s">
        <v>129</v>
      </c>
      <c r="D187" s="277">
        <v>5.3999999999999999E-2</v>
      </c>
      <c r="E187" s="278">
        <v>4.7699999999999996</v>
      </c>
      <c r="H187" s="337" t="s">
        <v>315</v>
      </c>
      <c r="I187" s="287"/>
      <c r="J187" s="287" t="s">
        <v>314</v>
      </c>
      <c r="K187" s="334">
        <v>0.3</v>
      </c>
      <c r="L187" s="287">
        <v>166.67</v>
      </c>
      <c r="M187" s="559"/>
    </row>
    <row r="188" spans="2:13" x14ac:dyDescent="0.3">
      <c r="B188" s="286" t="s">
        <v>163</v>
      </c>
      <c r="C188" s="287" t="s">
        <v>27</v>
      </c>
      <c r="D188" s="277">
        <v>6.6000000000000003E-2</v>
      </c>
      <c r="E188" s="278">
        <v>6.3</v>
      </c>
      <c r="H188" s="286"/>
      <c r="I188" s="287"/>
      <c r="J188" s="287"/>
      <c r="K188" s="334"/>
      <c r="L188" s="287"/>
      <c r="M188" s="559"/>
    </row>
    <row r="189" spans="2:13" x14ac:dyDescent="0.3">
      <c r="B189" s="286" t="s">
        <v>174</v>
      </c>
      <c r="C189" s="287" t="s">
        <v>23</v>
      </c>
      <c r="D189" s="277">
        <v>3.7999999999999999E-2</v>
      </c>
      <c r="E189" s="278">
        <v>4.97</v>
      </c>
      <c r="H189" s="336" t="s">
        <v>329</v>
      </c>
      <c r="I189" s="287"/>
      <c r="J189" s="287"/>
      <c r="K189" s="334"/>
      <c r="L189" s="287"/>
      <c r="M189" s="559"/>
    </row>
    <row r="190" spans="2:13" x14ac:dyDescent="0.3">
      <c r="B190" s="286" t="s">
        <v>174</v>
      </c>
      <c r="C190" s="287" t="s">
        <v>24</v>
      </c>
      <c r="D190" s="277">
        <v>3.7999999999999999E-2</v>
      </c>
      <c r="E190" s="278">
        <v>4.99</v>
      </c>
      <c r="H190" s="286" t="s">
        <v>330</v>
      </c>
      <c r="I190" s="287" t="s">
        <v>23</v>
      </c>
      <c r="J190" s="287"/>
      <c r="K190" s="334">
        <v>0.5</v>
      </c>
      <c r="L190" s="287"/>
      <c r="M190" s="559"/>
    </row>
    <row r="191" spans="2:13" x14ac:dyDescent="0.3">
      <c r="B191" s="286" t="s">
        <v>174</v>
      </c>
      <c r="C191" s="287" t="s">
        <v>25</v>
      </c>
      <c r="D191" s="277">
        <v>0.04</v>
      </c>
      <c r="E191" s="278">
        <v>5.38</v>
      </c>
      <c r="H191" s="286" t="s">
        <v>330</v>
      </c>
      <c r="I191" s="287" t="s">
        <v>24</v>
      </c>
      <c r="J191" s="287" t="s">
        <v>378</v>
      </c>
      <c r="K191" s="334">
        <v>0.5</v>
      </c>
      <c r="L191" s="287">
        <v>161.58000000000001</v>
      </c>
      <c r="M191" s="559"/>
    </row>
    <row r="192" spans="2:13" x14ac:dyDescent="0.3">
      <c r="B192" s="286" t="s">
        <v>174</v>
      </c>
      <c r="C192" s="287" t="s">
        <v>151</v>
      </c>
      <c r="D192" s="277">
        <v>0.04</v>
      </c>
      <c r="E192" s="278">
        <v>5.82</v>
      </c>
      <c r="H192" s="286" t="s">
        <v>330</v>
      </c>
      <c r="I192" s="287" t="s">
        <v>25</v>
      </c>
      <c r="J192" s="287" t="s">
        <v>331</v>
      </c>
      <c r="K192" s="334">
        <v>0.65</v>
      </c>
      <c r="L192" s="287">
        <v>213.63</v>
      </c>
      <c r="M192" s="559"/>
    </row>
    <row r="193" spans="2:13" x14ac:dyDescent="0.3">
      <c r="B193" s="286" t="s">
        <v>174</v>
      </c>
      <c r="C193" s="287" t="s">
        <v>38</v>
      </c>
      <c r="D193" s="277">
        <v>4.2000000000000003E-2</v>
      </c>
      <c r="E193" s="278">
        <v>6.11</v>
      </c>
      <c r="H193" s="286" t="s">
        <v>330</v>
      </c>
      <c r="I193" s="287" t="s">
        <v>151</v>
      </c>
      <c r="J193" s="287"/>
      <c r="K193" s="334">
        <v>0.7</v>
      </c>
      <c r="L193" s="287"/>
      <c r="M193" s="559"/>
    </row>
    <row r="194" spans="2:13" x14ac:dyDescent="0.3">
      <c r="B194" s="286" t="s">
        <v>174</v>
      </c>
      <c r="C194" s="287" t="s">
        <v>26</v>
      </c>
      <c r="D194" s="277">
        <v>4.3999999999999997E-2</v>
      </c>
      <c r="E194" s="278">
        <v>6.73</v>
      </c>
      <c r="H194" s="286" t="s">
        <v>330</v>
      </c>
      <c r="I194" s="287" t="s">
        <v>38</v>
      </c>
      <c r="J194" s="287" t="s">
        <v>332</v>
      </c>
      <c r="K194" s="334">
        <v>0.7</v>
      </c>
      <c r="L194" s="287">
        <v>577.95000000000005</v>
      </c>
      <c r="M194" s="559"/>
    </row>
    <row r="195" spans="2:13" x14ac:dyDescent="0.3">
      <c r="B195" s="286" t="s">
        <v>174</v>
      </c>
      <c r="C195" s="287" t="s">
        <v>152</v>
      </c>
      <c r="D195" s="277">
        <v>4.8000000000000001E-2</v>
      </c>
      <c r="E195" s="278">
        <v>7.21</v>
      </c>
      <c r="H195" s="286" t="s">
        <v>330</v>
      </c>
      <c r="I195" s="287" t="s">
        <v>38</v>
      </c>
      <c r="J195" s="287" t="s">
        <v>333</v>
      </c>
      <c r="K195" s="334">
        <v>0.7</v>
      </c>
      <c r="L195" s="287">
        <f>479.38+28.41</f>
        <v>507.79</v>
      </c>
      <c r="M195" s="559"/>
    </row>
    <row r="196" spans="2:13" x14ac:dyDescent="0.3">
      <c r="B196" s="286" t="s">
        <v>174</v>
      </c>
      <c r="C196" s="287" t="s">
        <v>129</v>
      </c>
      <c r="D196" s="277">
        <v>5.3999999999999999E-2</v>
      </c>
      <c r="E196" s="278">
        <v>7.56</v>
      </c>
      <c r="H196" s="286" t="s">
        <v>330</v>
      </c>
      <c r="I196" s="287" t="s">
        <v>26</v>
      </c>
      <c r="J196" s="287" t="s">
        <v>334</v>
      </c>
      <c r="K196" s="334">
        <v>0.8</v>
      </c>
      <c r="L196" s="287">
        <v>669.79</v>
      </c>
      <c r="M196" s="559"/>
    </row>
    <row r="197" spans="2:13" x14ac:dyDescent="0.3">
      <c r="B197" s="286" t="s">
        <v>174</v>
      </c>
      <c r="C197" s="287" t="s">
        <v>27</v>
      </c>
      <c r="D197" s="277">
        <v>6.6000000000000003E-2</v>
      </c>
      <c r="E197" s="278">
        <v>8.58</v>
      </c>
      <c r="H197" s="286" t="s">
        <v>330</v>
      </c>
      <c r="I197" s="287" t="s">
        <v>129</v>
      </c>
      <c r="J197" s="287"/>
      <c r="K197" s="334">
        <v>0.8</v>
      </c>
      <c r="L197" s="287"/>
      <c r="M197" s="559"/>
    </row>
    <row r="198" spans="2:13" x14ac:dyDescent="0.3">
      <c r="B198" s="286" t="s">
        <v>174</v>
      </c>
      <c r="C198" s="287" t="s">
        <v>154</v>
      </c>
      <c r="D198" s="277">
        <v>0.08</v>
      </c>
      <c r="E198" s="278">
        <v>10.16</v>
      </c>
      <c r="H198" s="286" t="s">
        <v>330</v>
      </c>
      <c r="I198" s="287" t="s">
        <v>27</v>
      </c>
      <c r="J198" s="287"/>
      <c r="K198" s="334">
        <v>0.97499999999999998</v>
      </c>
      <c r="L198" s="287"/>
      <c r="M198" s="559"/>
    </row>
    <row r="199" spans="2:13" x14ac:dyDescent="0.3">
      <c r="B199" s="286" t="s">
        <v>341</v>
      </c>
      <c r="C199" s="287" t="s">
        <v>23</v>
      </c>
      <c r="D199" s="277">
        <v>3.7999999999999999E-2</v>
      </c>
      <c r="E199" s="278">
        <v>7.71</v>
      </c>
      <c r="H199" s="286"/>
      <c r="I199" s="287"/>
      <c r="J199" s="287"/>
      <c r="K199" s="334"/>
      <c r="L199" s="287"/>
      <c r="M199" s="559"/>
    </row>
    <row r="200" spans="2:13" x14ac:dyDescent="0.3">
      <c r="B200" s="286" t="s">
        <v>341</v>
      </c>
      <c r="C200" s="287" t="s">
        <v>24</v>
      </c>
      <c r="D200" s="277">
        <v>3.7999999999999999E-2</v>
      </c>
      <c r="E200" s="278">
        <v>7.96</v>
      </c>
      <c r="H200" s="364" t="s">
        <v>386</v>
      </c>
      <c r="I200" s="287"/>
      <c r="J200" s="287"/>
      <c r="K200" s="334"/>
      <c r="L200" s="287"/>
      <c r="M200" s="559"/>
    </row>
    <row r="201" spans="2:13" x14ac:dyDescent="0.3">
      <c r="B201" s="286" t="s">
        <v>341</v>
      </c>
      <c r="C201" s="287" t="s">
        <v>25</v>
      </c>
      <c r="D201" s="277">
        <v>0.04</v>
      </c>
      <c r="E201" s="278">
        <v>8.51</v>
      </c>
      <c r="H201" s="286" t="s">
        <v>388</v>
      </c>
      <c r="I201" s="287" t="s">
        <v>38</v>
      </c>
      <c r="J201" s="287" t="s">
        <v>387</v>
      </c>
      <c r="K201" s="334">
        <v>0.45</v>
      </c>
      <c r="L201" s="287">
        <v>268.27</v>
      </c>
      <c r="M201" s="559"/>
    </row>
    <row r="202" spans="2:13" x14ac:dyDescent="0.3">
      <c r="B202" s="286" t="s">
        <v>341</v>
      </c>
      <c r="C202" s="287" t="s">
        <v>151</v>
      </c>
      <c r="D202" s="277">
        <v>0.04</v>
      </c>
      <c r="E202" s="278">
        <v>8.99</v>
      </c>
      <c r="H202" s="286"/>
      <c r="I202" s="287"/>
      <c r="J202" s="287"/>
      <c r="K202" s="334"/>
      <c r="L202" s="287"/>
      <c r="M202" s="559"/>
    </row>
    <row r="203" spans="2:13" x14ac:dyDescent="0.3">
      <c r="B203" s="286" t="s">
        <v>341</v>
      </c>
      <c r="C203" s="287" t="s">
        <v>38</v>
      </c>
      <c r="D203" s="277">
        <v>4.2000000000000003E-2</v>
      </c>
      <c r="E203" s="278">
        <v>9.34</v>
      </c>
      <c r="H203" s="286"/>
      <c r="I203" s="287"/>
      <c r="J203" s="287"/>
      <c r="K203" s="334"/>
      <c r="L203" s="287"/>
      <c r="M203" s="559"/>
    </row>
    <row r="204" spans="2:13" x14ac:dyDescent="0.3">
      <c r="B204" s="286" t="s">
        <v>341</v>
      </c>
      <c r="C204" s="287" t="s">
        <v>26</v>
      </c>
      <c r="D204" s="277">
        <v>4.3999999999999997E-2</v>
      </c>
      <c r="E204" s="278">
        <v>9.86</v>
      </c>
      <c r="H204" s="286"/>
      <c r="I204" s="287"/>
      <c r="J204" s="287"/>
      <c r="K204" s="334"/>
      <c r="L204" s="287"/>
      <c r="M204" s="559"/>
    </row>
    <row r="205" spans="2:13" x14ac:dyDescent="0.3">
      <c r="B205" s="286" t="s">
        <v>341</v>
      </c>
      <c r="C205" s="287" t="s">
        <v>152</v>
      </c>
      <c r="D205" s="277">
        <v>4.8000000000000001E-2</v>
      </c>
      <c r="E205" s="278">
        <v>10.63</v>
      </c>
      <c r="H205" s="336" t="s">
        <v>279</v>
      </c>
      <c r="I205" s="287"/>
      <c r="J205" s="287"/>
      <c r="K205" s="334"/>
      <c r="L205" s="287"/>
      <c r="M205" s="559"/>
    </row>
    <row r="206" spans="2:13" x14ac:dyDescent="0.3">
      <c r="B206" s="286" t="s">
        <v>341</v>
      </c>
      <c r="C206" s="287" t="s">
        <v>129</v>
      </c>
      <c r="D206" s="277">
        <v>5.3999999999999999E-2</v>
      </c>
      <c r="E206" s="278">
        <v>11.27</v>
      </c>
      <c r="H206" s="286" t="s">
        <v>280</v>
      </c>
      <c r="I206" s="287" t="s">
        <v>23</v>
      </c>
      <c r="J206" s="287" t="s">
        <v>281</v>
      </c>
      <c r="K206" s="334">
        <v>0.2</v>
      </c>
      <c r="L206" s="287">
        <v>47.06</v>
      </c>
      <c r="M206" s="559"/>
    </row>
    <row r="207" spans="2:13" x14ac:dyDescent="0.3">
      <c r="B207" s="286" t="s">
        <v>341</v>
      </c>
      <c r="C207" s="287" t="s">
        <v>27</v>
      </c>
      <c r="D207" s="277">
        <v>6.6000000000000003E-2</v>
      </c>
      <c r="E207" s="278">
        <v>13.14</v>
      </c>
      <c r="H207" s="286" t="s">
        <v>437</v>
      </c>
      <c r="I207" s="287" t="s">
        <v>23</v>
      </c>
      <c r="J207" s="287" t="s">
        <v>169</v>
      </c>
      <c r="K207" s="287">
        <v>0.35</v>
      </c>
      <c r="L207" s="334">
        <f>81.25+2.1093+3</f>
        <v>86.359300000000005</v>
      </c>
      <c r="M207" s="559"/>
    </row>
    <row r="208" spans="2:13" x14ac:dyDescent="0.3">
      <c r="B208" s="286" t="s">
        <v>341</v>
      </c>
      <c r="C208" s="287" t="s">
        <v>154</v>
      </c>
      <c r="D208" s="277">
        <v>0.08</v>
      </c>
      <c r="E208" s="278">
        <v>15.52</v>
      </c>
      <c r="H208" s="286" t="s">
        <v>173</v>
      </c>
      <c r="I208" s="287" t="s">
        <v>24</v>
      </c>
      <c r="J208" s="287"/>
      <c r="K208" s="287">
        <v>0.35</v>
      </c>
      <c r="L208" s="287"/>
      <c r="M208" s="559"/>
    </row>
    <row r="209" spans="2:13" x14ac:dyDescent="0.3">
      <c r="B209" s="336" t="s">
        <v>305</v>
      </c>
      <c r="C209" s="287"/>
      <c r="D209" s="277"/>
      <c r="E209" s="278"/>
      <c r="H209" s="286" t="s">
        <v>311</v>
      </c>
      <c r="I209" s="287" t="s">
        <v>24</v>
      </c>
      <c r="J209" s="287" t="s">
        <v>312</v>
      </c>
      <c r="K209" s="287">
        <v>0.35</v>
      </c>
      <c r="L209" s="334">
        <v>21.942900000000002</v>
      </c>
      <c r="M209" s="559"/>
    </row>
    <row r="210" spans="2:13" x14ac:dyDescent="0.3">
      <c r="B210" s="286" t="s">
        <v>177</v>
      </c>
      <c r="C210" s="287" t="s">
        <v>27</v>
      </c>
      <c r="D210" s="277">
        <v>7.0000000000000007E-2</v>
      </c>
      <c r="E210" s="278">
        <v>3.0270000000000001</v>
      </c>
      <c r="H210" s="286" t="s">
        <v>167</v>
      </c>
      <c r="I210" s="287" t="s">
        <v>24</v>
      </c>
      <c r="J210" s="287" t="s">
        <v>307</v>
      </c>
      <c r="K210" s="287">
        <v>0.65</v>
      </c>
      <c r="L210" s="287">
        <v>263.25</v>
      </c>
      <c r="M210" s="559"/>
    </row>
    <row r="211" spans="2:13" x14ac:dyDescent="0.3">
      <c r="B211" s="286" t="s">
        <v>177</v>
      </c>
      <c r="C211" s="287" t="s">
        <v>154</v>
      </c>
      <c r="D211" s="277">
        <v>0.12</v>
      </c>
      <c r="E211" s="278">
        <v>6.9950000000000001</v>
      </c>
      <c r="H211" s="286" t="s">
        <v>306</v>
      </c>
      <c r="I211" s="287"/>
      <c r="J211" s="287" t="s">
        <v>308</v>
      </c>
      <c r="K211" s="287"/>
      <c r="L211" s="287">
        <v>251.15</v>
      </c>
      <c r="M211" s="559"/>
    </row>
    <row r="212" spans="2:13" x14ac:dyDescent="0.3">
      <c r="B212" s="286" t="s">
        <v>177</v>
      </c>
      <c r="C212" s="287" t="s">
        <v>155</v>
      </c>
      <c r="D212" s="277">
        <v>0.16</v>
      </c>
      <c r="E212" s="278">
        <v>12.148</v>
      </c>
      <c r="H212" s="286" t="s">
        <v>309</v>
      </c>
      <c r="I212" s="287" t="s">
        <v>24</v>
      </c>
      <c r="J212" s="287" t="s">
        <v>310</v>
      </c>
      <c r="K212" s="287">
        <v>0.65</v>
      </c>
      <c r="L212" s="287">
        <v>415.57</v>
      </c>
      <c r="M212" s="559"/>
    </row>
    <row r="213" spans="2:13" x14ac:dyDescent="0.3">
      <c r="B213" s="286" t="s">
        <v>361</v>
      </c>
      <c r="C213" s="287" t="s">
        <v>27</v>
      </c>
      <c r="D213" s="277">
        <v>7.0000000000000007E-2</v>
      </c>
      <c r="E213" s="359">
        <v>4</v>
      </c>
      <c r="H213" s="286" t="s">
        <v>366</v>
      </c>
      <c r="I213" s="287" t="s">
        <v>24</v>
      </c>
      <c r="J213" s="287" t="s">
        <v>441</v>
      </c>
      <c r="K213" s="287">
        <v>0.65</v>
      </c>
      <c r="L213" s="287"/>
      <c r="M213" s="559"/>
    </row>
    <row r="214" spans="2:13" x14ac:dyDescent="0.3">
      <c r="B214" s="286" t="s">
        <v>361</v>
      </c>
      <c r="C214" s="287" t="s">
        <v>154</v>
      </c>
      <c r="D214" s="277">
        <v>0.12</v>
      </c>
      <c r="E214" s="359">
        <v>9.49</v>
      </c>
      <c r="H214" s="286" t="s">
        <v>326</v>
      </c>
      <c r="I214" s="286"/>
      <c r="J214" s="286" t="s">
        <v>328</v>
      </c>
      <c r="K214" s="340">
        <v>1</v>
      </c>
      <c r="L214" s="340">
        <v>310</v>
      </c>
      <c r="M214" s="559"/>
    </row>
    <row r="215" spans="2:13" x14ac:dyDescent="0.3">
      <c r="B215" s="336" t="s">
        <v>178</v>
      </c>
      <c r="C215" s="287"/>
      <c r="D215" s="277"/>
      <c r="E215" s="278"/>
      <c r="H215" s="286" t="s">
        <v>326</v>
      </c>
      <c r="I215" s="286"/>
      <c r="J215" s="286" t="s">
        <v>439</v>
      </c>
      <c r="K215" s="340">
        <v>1</v>
      </c>
      <c r="L215" s="340">
        <v>66.91</v>
      </c>
      <c r="M215" s="559"/>
    </row>
    <row r="216" spans="2:13" x14ac:dyDescent="0.3">
      <c r="B216" s="286" t="s">
        <v>178</v>
      </c>
      <c r="C216" s="287" t="s">
        <v>23</v>
      </c>
      <c r="D216" s="277">
        <v>0.02</v>
      </c>
      <c r="E216" s="278">
        <v>0.37</v>
      </c>
      <c r="H216" s="286" t="s">
        <v>327</v>
      </c>
      <c r="I216" s="286"/>
      <c r="J216" s="286" t="s">
        <v>440</v>
      </c>
      <c r="K216" s="340">
        <v>0.75</v>
      </c>
      <c r="L216" s="340">
        <v>189</v>
      </c>
      <c r="M216" s="559"/>
    </row>
    <row r="217" spans="2:13" x14ac:dyDescent="0.3">
      <c r="B217" s="286" t="s">
        <v>178</v>
      </c>
      <c r="C217" s="287" t="s">
        <v>24</v>
      </c>
      <c r="D217" s="277">
        <v>2.5000000000000001E-2</v>
      </c>
      <c r="E217" s="278">
        <v>0.7</v>
      </c>
      <c r="H217" s="286" t="s">
        <v>340</v>
      </c>
      <c r="I217" s="286"/>
      <c r="J217" s="286"/>
      <c r="K217" s="340">
        <v>1</v>
      </c>
      <c r="L217" s="286"/>
      <c r="M217" s="559"/>
    </row>
    <row r="218" spans="2:13" x14ac:dyDescent="0.3">
      <c r="B218" s="286" t="s">
        <v>178</v>
      </c>
      <c r="C218" s="287" t="s">
        <v>25</v>
      </c>
      <c r="D218" s="277">
        <v>0.03</v>
      </c>
      <c r="E218" s="278">
        <v>1.35</v>
      </c>
      <c r="H218" s="286" t="s">
        <v>168</v>
      </c>
      <c r="I218" s="357"/>
      <c r="J218" s="287" t="s">
        <v>371</v>
      </c>
      <c r="K218" s="334">
        <v>1</v>
      </c>
      <c r="L218" s="357">
        <v>79.55</v>
      </c>
      <c r="M218" s="559"/>
    </row>
    <row r="219" spans="2:13" x14ac:dyDescent="0.3">
      <c r="B219" s="286" t="s">
        <v>178</v>
      </c>
      <c r="C219" s="287" t="s">
        <v>151</v>
      </c>
      <c r="D219" s="277">
        <v>3.5000000000000003E-2</v>
      </c>
      <c r="E219" s="278">
        <v>2.5</v>
      </c>
      <c r="H219" s="286" t="s">
        <v>372</v>
      </c>
      <c r="I219" s="357"/>
      <c r="J219" s="287" t="s">
        <v>373</v>
      </c>
      <c r="K219" s="334"/>
      <c r="L219" s="357">
        <v>46.45</v>
      </c>
      <c r="M219" s="559"/>
    </row>
    <row r="220" spans="2:13" x14ac:dyDescent="0.3">
      <c r="B220" s="286" t="s">
        <v>178</v>
      </c>
      <c r="C220" s="287" t="s">
        <v>38</v>
      </c>
      <c r="D220" s="277">
        <v>0.04</v>
      </c>
      <c r="E220" s="278">
        <v>3.3</v>
      </c>
      <c r="H220" s="361"/>
      <c r="I220" s="357"/>
      <c r="J220" s="287"/>
      <c r="K220" s="334"/>
      <c r="L220" s="357"/>
      <c r="M220" s="559"/>
    </row>
    <row r="221" spans="2:13" x14ac:dyDescent="0.3">
      <c r="B221" s="286" t="s">
        <v>178</v>
      </c>
      <c r="C221" s="287" t="s">
        <v>26</v>
      </c>
      <c r="D221" s="277">
        <v>4.4999999999999998E-2</v>
      </c>
      <c r="E221" s="278">
        <v>6.01</v>
      </c>
      <c r="H221" s="361"/>
      <c r="I221" s="357"/>
      <c r="J221" s="287"/>
      <c r="K221" s="334"/>
      <c r="L221" s="357"/>
      <c r="M221" s="559"/>
    </row>
    <row r="222" spans="2:13" x14ac:dyDescent="0.3">
      <c r="B222" s="364" t="s">
        <v>431</v>
      </c>
      <c r="C222" s="372" t="s">
        <v>429</v>
      </c>
      <c r="D222" s="370"/>
      <c r="E222" s="371"/>
      <c r="H222" s="286"/>
      <c r="I222" s="286"/>
      <c r="J222" s="286"/>
      <c r="K222" s="286"/>
      <c r="L222" s="286"/>
      <c r="M222" s="559"/>
    </row>
    <row r="223" spans="2:13" x14ac:dyDescent="0.3">
      <c r="B223" s="286" t="s">
        <v>430</v>
      </c>
      <c r="C223" s="287" t="s">
        <v>38</v>
      </c>
      <c r="D223" s="370">
        <v>0.05</v>
      </c>
      <c r="E223" s="371">
        <v>0.66800000000000004</v>
      </c>
      <c r="H223" s="341" t="s">
        <v>346</v>
      </c>
      <c r="I223" s="342"/>
      <c r="J223" s="342"/>
      <c r="K223" s="342"/>
      <c r="L223" s="342"/>
      <c r="M223" s="559"/>
    </row>
    <row r="224" spans="2:13" x14ac:dyDescent="0.3">
      <c r="B224" s="286" t="s">
        <v>430</v>
      </c>
      <c r="C224" s="287" t="s">
        <v>26</v>
      </c>
      <c r="D224" s="370">
        <v>5.5E-2</v>
      </c>
      <c r="E224" s="278">
        <v>0.89500000000000002</v>
      </c>
      <c r="H224" s="286"/>
      <c r="I224" s="287"/>
      <c r="J224" s="287"/>
      <c r="K224" s="287"/>
      <c r="L224" s="287"/>
      <c r="M224" s="559"/>
    </row>
    <row r="225" spans="2:13" x14ac:dyDescent="0.3">
      <c r="B225" s="286" t="s">
        <v>430</v>
      </c>
      <c r="C225" s="287" t="s">
        <v>129</v>
      </c>
      <c r="D225" s="370">
        <v>0.06</v>
      </c>
      <c r="E225" s="371">
        <v>1.591</v>
      </c>
      <c r="H225" s="286" t="s">
        <v>347</v>
      </c>
      <c r="I225" s="287"/>
      <c r="J225" s="287"/>
      <c r="K225" s="287"/>
      <c r="L225" s="287"/>
      <c r="M225" s="559"/>
    </row>
    <row r="226" spans="2:13" x14ac:dyDescent="0.3">
      <c r="B226" s="286" t="s">
        <v>430</v>
      </c>
      <c r="C226" s="287" t="s">
        <v>27</v>
      </c>
      <c r="D226" s="370">
        <v>0.08</v>
      </c>
      <c r="E226" s="371">
        <v>2.25</v>
      </c>
      <c r="H226" s="286" t="s">
        <v>318</v>
      </c>
      <c r="I226" s="287" t="s">
        <v>23</v>
      </c>
      <c r="J226" s="287" t="s">
        <v>348</v>
      </c>
      <c r="K226" s="287">
        <v>0.21</v>
      </c>
      <c r="L226" s="287">
        <v>6.44</v>
      </c>
      <c r="M226" s="559"/>
    </row>
    <row r="227" spans="2:13" x14ac:dyDescent="0.3">
      <c r="B227" s="286" t="s">
        <v>430</v>
      </c>
      <c r="C227" s="287" t="s">
        <v>154</v>
      </c>
      <c r="D227" s="370">
        <v>0.11</v>
      </c>
      <c r="E227" s="371">
        <v>3.7989999999999999</v>
      </c>
      <c r="H227" s="286" t="s">
        <v>318</v>
      </c>
      <c r="I227" s="287" t="s">
        <v>24</v>
      </c>
      <c r="J227" s="287" t="s">
        <v>349</v>
      </c>
      <c r="K227" s="287">
        <v>0.25</v>
      </c>
      <c r="L227" s="287">
        <v>10.36</v>
      </c>
      <c r="M227" s="559"/>
    </row>
    <row r="228" spans="2:13" x14ac:dyDescent="0.3">
      <c r="B228" s="336" t="s">
        <v>279</v>
      </c>
      <c r="C228" s="287"/>
      <c r="D228" s="277"/>
      <c r="E228" s="278"/>
      <c r="H228" s="286" t="s">
        <v>318</v>
      </c>
      <c r="I228" s="287" t="s">
        <v>25</v>
      </c>
      <c r="J228" s="287" t="s">
        <v>350</v>
      </c>
      <c r="K228" s="287">
        <v>0.3</v>
      </c>
      <c r="L228" s="287">
        <v>15.51</v>
      </c>
      <c r="M228" s="559"/>
    </row>
    <row r="229" spans="2:13" x14ac:dyDescent="0.3">
      <c r="B229" s="286" t="s">
        <v>360</v>
      </c>
      <c r="C229" s="287" t="s">
        <v>152</v>
      </c>
      <c r="D229" s="358">
        <v>0.05</v>
      </c>
      <c r="E229" s="359">
        <v>1.75</v>
      </c>
      <c r="H229" s="286" t="s">
        <v>318</v>
      </c>
      <c r="I229" s="287" t="s">
        <v>151</v>
      </c>
      <c r="J229" s="287" t="s">
        <v>270</v>
      </c>
      <c r="K229" s="287">
        <v>0.4</v>
      </c>
      <c r="L229" s="287">
        <v>65.78</v>
      </c>
      <c r="M229" s="559"/>
    </row>
    <row r="230" spans="2:13" x14ac:dyDescent="0.3">
      <c r="B230" s="286" t="s">
        <v>354</v>
      </c>
      <c r="C230" s="287" t="s">
        <v>27</v>
      </c>
      <c r="D230" s="277">
        <v>7.0000000000000007E-2</v>
      </c>
      <c r="E230" s="278">
        <f>259.28/20</f>
        <v>12.963999999999999</v>
      </c>
      <c r="H230" s="286" t="s">
        <v>318</v>
      </c>
      <c r="I230" s="287" t="s">
        <v>38</v>
      </c>
      <c r="J230" s="287" t="s">
        <v>270</v>
      </c>
      <c r="K230" s="287">
        <v>0.45</v>
      </c>
      <c r="L230" s="287">
        <v>89.19</v>
      </c>
      <c r="M230" s="559"/>
    </row>
    <row r="231" spans="2:13" x14ac:dyDescent="0.3">
      <c r="B231" s="286" t="s">
        <v>359</v>
      </c>
      <c r="C231" s="287" t="s">
        <v>24</v>
      </c>
      <c r="D231" s="358">
        <v>0.03</v>
      </c>
      <c r="E231" s="359">
        <v>0.88990000000000002</v>
      </c>
      <c r="H231" s="286" t="s">
        <v>318</v>
      </c>
      <c r="I231" s="287" t="s">
        <v>26</v>
      </c>
      <c r="J231" s="287" t="s">
        <v>270</v>
      </c>
      <c r="K231" s="287">
        <v>0.5</v>
      </c>
      <c r="L231" s="287">
        <v>135.81</v>
      </c>
      <c r="M231" s="559"/>
    </row>
    <row r="232" spans="2:13" x14ac:dyDescent="0.3">
      <c r="B232" s="286" t="s">
        <v>355</v>
      </c>
      <c r="C232" s="287" t="s">
        <v>27</v>
      </c>
      <c r="D232" s="277">
        <v>7.0000000000000007E-2</v>
      </c>
      <c r="E232" s="278">
        <v>3.0270000000000001</v>
      </c>
      <c r="H232" s="286"/>
      <c r="I232" s="287"/>
      <c r="J232" s="287"/>
      <c r="K232" s="287"/>
      <c r="L232" s="287"/>
      <c r="M232" s="559"/>
    </row>
    <row r="233" spans="2:13" x14ac:dyDescent="0.3">
      <c r="B233" s="286"/>
      <c r="C233" s="287"/>
      <c r="D233" s="277"/>
      <c r="E233" s="278"/>
      <c r="H233" s="361"/>
      <c r="I233" s="357"/>
      <c r="J233" s="287"/>
      <c r="K233" s="287"/>
      <c r="L233" s="357"/>
      <c r="M233" s="559"/>
    </row>
    <row r="234" spans="2:13" x14ac:dyDescent="0.3">
      <c r="B234" s="286"/>
      <c r="C234" s="287"/>
      <c r="D234" s="277"/>
      <c r="E234" s="278"/>
      <c r="H234" s="286" t="s">
        <v>374</v>
      </c>
      <c r="I234" s="287" t="s">
        <v>23</v>
      </c>
      <c r="J234" s="287"/>
      <c r="K234" s="334">
        <v>0.6</v>
      </c>
      <c r="L234" s="287"/>
      <c r="M234" s="559"/>
    </row>
    <row r="235" spans="2:13" x14ac:dyDescent="0.3">
      <c r="B235" s="286"/>
      <c r="C235" s="287"/>
      <c r="D235" s="277"/>
      <c r="E235" s="278"/>
      <c r="H235" s="286" t="s">
        <v>374</v>
      </c>
      <c r="I235" s="287" t="s">
        <v>24</v>
      </c>
      <c r="J235" s="287" t="s">
        <v>406</v>
      </c>
      <c r="K235" s="334">
        <v>0.8</v>
      </c>
      <c r="L235" s="287">
        <v>76.459999999999994</v>
      </c>
      <c r="M235" s="559"/>
    </row>
    <row r="236" spans="2:13" x14ac:dyDescent="0.3">
      <c r="B236" s="286"/>
      <c r="C236" s="287"/>
      <c r="D236" s="277"/>
      <c r="E236" s="278"/>
      <c r="H236" s="286" t="s">
        <v>374</v>
      </c>
      <c r="I236" s="287" t="s">
        <v>25</v>
      </c>
      <c r="J236" s="287" t="s">
        <v>407</v>
      </c>
      <c r="K236" s="334">
        <v>1</v>
      </c>
      <c r="L236" s="287">
        <v>146.77000000000001</v>
      </c>
      <c r="M236" s="559"/>
    </row>
    <row r="237" spans="2:13" x14ac:dyDescent="0.3">
      <c r="B237" s="286"/>
      <c r="C237" s="287"/>
      <c r="D237" s="277"/>
      <c r="E237" s="278"/>
      <c r="H237" s="286" t="s">
        <v>374</v>
      </c>
      <c r="I237" s="287" t="s">
        <v>151</v>
      </c>
      <c r="J237" s="287" t="s">
        <v>408</v>
      </c>
      <c r="K237" s="334">
        <v>1.2</v>
      </c>
      <c r="L237" s="287">
        <v>799.29</v>
      </c>
      <c r="M237" s="559"/>
    </row>
    <row r="238" spans="2:13" x14ac:dyDescent="0.3">
      <c r="B238" s="286"/>
      <c r="C238" s="287"/>
      <c r="D238" s="277"/>
      <c r="E238" s="278"/>
      <c r="H238" s="286" t="s">
        <v>374</v>
      </c>
      <c r="I238" s="287" t="s">
        <v>38</v>
      </c>
      <c r="J238" s="287"/>
      <c r="K238" s="334">
        <v>1.4</v>
      </c>
      <c r="L238" s="287"/>
      <c r="M238" s="559"/>
    </row>
    <row r="239" spans="2:13" x14ac:dyDescent="0.3">
      <c r="H239" s="286" t="s">
        <v>374</v>
      </c>
      <c r="I239" s="287" t="s">
        <v>26</v>
      </c>
      <c r="J239" s="287"/>
      <c r="K239" s="334">
        <v>1.6</v>
      </c>
      <c r="L239" s="287"/>
      <c r="M239" s="559"/>
    </row>
    <row r="240" spans="2:13" x14ac:dyDescent="0.3">
      <c r="H240" s="286"/>
      <c r="I240" s="287"/>
      <c r="J240" s="287"/>
      <c r="K240" s="287"/>
      <c r="L240" s="287"/>
      <c r="M240" s="559"/>
    </row>
    <row r="241" spans="8:13" x14ac:dyDescent="0.3">
      <c r="H241" s="286"/>
      <c r="I241" s="287"/>
      <c r="J241" s="287"/>
      <c r="K241" s="287"/>
      <c r="L241" s="287"/>
      <c r="M241" s="559"/>
    </row>
    <row r="242" spans="8:13" x14ac:dyDescent="0.3">
      <c r="H242" s="366" t="s">
        <v>427</v>
      </c>
      <c r="I242" s="367"/>
      <c r="J242" s="367"/>
      <c r="K242" s="367"/>
      <c r="L242" s="367"/>
      <c r="M242" s="559"/>
    </row>
    <row r="243" spans="8:13" x14ac:dyDescent="0.3">
      <c r="H243" s="286"/>
      <c r="I243" s="286"/>
      <c r="J243" s="286"/>
      <c r="K243" s="286"/>
      <c r="L243" s="286"/>
      <c r="M243" s="559"/>
    </row>
    <row r="244" spans="8:13" x14ac:dyDescent="0.3">
      <c r="H244" s="364" t="s">
        <v>428</v>
      </c>
      <c r="I244" s="286"/>
      <c r="J244" s="286"/>
      <c r="K244" s="286"/>
      <c r="L244" s="286"/>
      <c r="M244" s="559"/>
    </row>
    <row r="245" spans="8:13" x14ac:dyDescent="0.3">
      <c r="H245" s="286" t="s">
        <v>450</v>
      </c>
      <c r="I245" s="286" t="s">
        <v>26</v>
      </c>
      <c r="J245" s="286"/>
      <c r="K245" s="286">
        <v>0.13</v>
      </c>
      <c r="L245" s="374">
        <f>E111*1.5</f>
        <v>16.5</v>
      </c>
      <c r="M245" s="559"/>
    </row>
    <row r="246" spans="8:13" x14ac:dyDescent="0.3">
      <c r="H246" s="286" t="s">
        <v>450</v>
      </c>
      <c r="I246" s="286" t="s">
        <v>129</v>
      </c>
      <c r="J246" s="286"/>
      <c r="K246" s="286">
        <v>0.18</v>
      </c>
      <c r="L246" s="374">
        <f>E112*1.5</f>
        <v>23.13</v>
      </c>
    </row>
    <row r="247" spans="8:13" x14ac:dyDescent="0.3">
      <c r="H247" s="286" t="s">
        <v>450</v>
      </c>
      <c r="I247" s="375" t="s">
        <v>27</v>
      </c>
      <c r="J247" s="287"/>
      <c r="K247" s="287">
        <v>0.22</v>
      </c>
      <c r="L247" s="374">
        <f>E113*1.5</f>
        <v>30.015000000000001</v>
      </c>
    </row>
    <row r="248" spans="8:13" x14ac:dyDescent="0.3">
      <c r="H248" s="286" t="s">
        <v>450</v>
      </c>
      <c r="I248" s="375" t="s">
        <v>154</v>
      </c>
      <c r="J248" s="287"/>
      <c r="K248" s="287">
        <v>0.27</v>
      </c>
      <c r="L248" s="374">
        <f>E114*1.5</f>
        <v>51.599999999999994</v>
      </c>
    </row>
    <row r="249" spans="8:13" x14ac:dyDescent="0.3">
      <c r="H249" s="286" t="s">
        <v>450</v>
      </c>
      <c r="I249" s="375" t="s">
        <v>155</v>
      </c>
      <c r="J249" s="287"/>
      <c r="K249" s="287">
        <v>0.27</v>
      </c>
      <c r="L249" s="374">
        <f>E115*1.5</f>
        <v>101.10187500000001</v>
      </c>
    </row>
    <row r="250" spans="8:13" x14ac:dyDescent="0.3">
      <c r="H250" s="286"/>
      <c r="I250" s="375"/>
      <c r="J250" s="300"/>
      <c r="K250" s="300"/>
      <c r="L250" s="286"/>
    </row>
    <row r="251" spans="8:13" x14ac:dyDescent="0.3">
      <c r="H251" s="286"/>
      <c r="I251" s="287"/>
      <c r="J251" s="287"/>
      <c r="K251" s="287"/>
      <c r="L251" s="287"/>
    </row>
    <row r="252" spans="8:13" x14ac:dyDescent="0.3">
      <c r="H252" s="286" t="s">
        <v>449</v>
      </c>
      <c r="I252" s="286" t="s">
        <v>129</v>
      </c>
      <c r="J252" s="286" t="s">
        <v>445</v>
      </c>
      <c r="K252" s="286">
        <v>0.18</v>
      </c>
      <c r="L252" s="334">
        <v>18</v>
      </c>
    </row>
    <row r="253" spans="8:13" x14ac:dyDescent="0.3">
      <c r="H253" s="286" t="s">
        <v>444</v>
      </c>
      <c r="I253" s="286" t="s">
        <v>27</v>
      </c>
      <c r="J253" s="286" t="s">
        <v>446</v>
      </c>
      <c r="K253" s="286">
        <v>0.22</v>
      </c>
      <c r="L253" s="334">
        <v>26</v>
      </c>
    </row>
    <row r="254" spans="8:13" x14ac:dyDescent="0.3">
      <c r="H254" s="286" t="s">
        <v>444</v>
      </c>
      <c r="I254" s="286" t="s">
        <v>154</v>
      </c>
      <c r="J254" s="286" t="s">
        <v>447</v>
      </c>
      <c r="K254" s="286">
        <v>0.27</v>
      </c>
      <c r="L254" s="334">
        <v>34</v>
      </c>
    </row>
    <row r="255" spans="8:13" x14ac:dyDescent="0.3">
      <c r="H255" s="286" t="s">
        <v>444</v>
      </c>
      <c r="I255" s="286" t="s">
        <v>155</v>
      </c>
      <c r="J255" s="286" t="s">
        <v>448</v>
      </c>
      <c r="K255" s="286">
        <v>0.27</v>
      </c>
      <c r="L255" s="334">
        <v>56</v>
      </c>
    </row>
    <row r="269" spans="8:8" x14ac:dyDescent="0.3">
      <c r="H269" s="119" t="s">
        <v>266</v>
      </c>
    </row>
  </sheetData>
  <sheetProtection deleteColumns="0" deleteRows="0"/>
  <pageMargins left="0.7" right="0.7" top="0.75" bottom="0.75" header="0.3" footer="0.3"/>
  <pageSetup orientation="portrait" r:id="rId1"/>
  <legacyDrawing r:id="rId2"/>
  <tableParts count="4"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B87FCE03-BF18-4961-8641-3942712CDDCF}">
  <ds:schemaRefs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FEC0DDF4-51CA-4C2D-B711-9DF3D885B5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Summary</vt:lpstr>
      <vt:lpstr>Notes, Assumptions</vt:lpstr>
      <vt:lpstr>Demolition</vt:lpstr>
      <vt:lpstr>Exterior and Interceptor</vt:lpstr>
      <vt:lpstr>First Floor Underslab</vt:lpstr>
      <vt:lpstr>Fixture+Pipe Qty</vt:lpstr>
      <vt:lpstr>Fixtures + Piping computation</vt:lpstr>
      <vt:lpstr>Pricing Master Sheet</vt:lpstr>
      <vt:lpstr>Unit Prices</vt:lpstr>
      <vt:lpstr>Demolition!Print_Area</vt:lpstr>
      <vt:lpstr>'Exterior and Interceptor'!Print_Area</vt:lpstr>
      <vt:lpstr>'First Floor Underslab'!Print_Area</vt:lpstr>
      <vt:lpstr>'Fixture+Pipe Qty'!Print_Area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Krieger</dc:creator>
  <cp:lastModifiedBy>Michael Bongolan Bongolan</cp:lastModifiedBy>
  <cp:lastPrinted>2024-09-25T07:53:19Z</cp:lastPrinted>
  <dcterms:created xsi:type="dcterms:W3CDTF">2024-01-06T21:59:00Z</dcterms:created>
  <dcterms:modified xsi:type="dcterms:W3CDTF">2025-11-12T17:53:36Z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{B87FCE03-BF18-4961-8641-3942712CDDCF}</vt:lpwstr>
  </property>
  <property fmtid="{D5CDD505-2E9C-101B-9397-08002B2CF9AE}" pid="5" name="PS9Connected">
    <vt:bool>false</vt:bool>
  </property>
</Properties>
</file>