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324" documentId="11_E0DBB201481B1C811047287C66E952F5F4A270EB" xr6:coauthVersionLast="44" xr6:coauthVersionMax="44" xr10:uidLastSave="{7FE51791-560A-48C4-B99B-92C24D31E66C}"/>
  <bookViews>
    <workbookView xWindow="16690" yWindow="-350" windowWidth="19420" windowHeight="10420" tabRatio="500" activeTab="3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9" i="4" l="1"/>
  <c r="I137" i="4"/>
  <c r="C129" i="4"/>
  <c r="C130" i="4" s="1"/>
  <c r="C128" i="4"/>
  <c r="B129" i="4" s="1"/>
  <c r="B128" i="4"/>
  <c r="E125" i="4"/>
  <c r="E126" i="4"/>
  <c r="E127" i="4"/>
  <c r="D124" i="4"/>
  <c r="D125" i="4"/>
  <c r="D126" i="4"/>
  <c r="J132" i="3"/>
  <c r="J145" i="3"/>
  <c r="J135" i="3"/>
  <c r="J123" i="3"/>
  <c r="D129" i="3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28" i="3"/>
  <c r="F126" i="3"/>
  <c r="F127" i="3"/>
  <c r="E125" i="3"/>
  <c r="E126" i="3"/>
  <c r="E127" i="3"/>
  <c r="J209" i="1"/>
  <c r="K209" i="1"/>
  <c r="M209" i="1"/>
  <c r="L209" i="1" s="1"/>
  <c r="Q209" i="1" s="1"/>
  <c r="N209" i="1"/>
  <c r="O209" i="1"/>
  <c r="S209" i="1" s="1"/>
  <c r="T209" i="1" s="1"/>
  <c r="P209" i="1"/>
  <c r="R209" i="1"/>
  <c r="J210" i="1"/>
  <c r="K210" i="1"/>
  <c r="M210" i="1"/>
  <c r="L210" i="1" s="1"/>
  <c r="Q210" i="1" s="1"/>
  <c r="N210" i="1"/>
  <c r="O210" i="1"/>
  <c r="P210" i="1"/>
  <c r="R210" i="1"/>
  <c r="S210" i="1"/>
  <c r="T210" i="1"/>
  <c r="J211" i="1"/>
  <c r="K211" i="1"/>
  <c r="M211" i="1"/>
  <c r="L211" i="1" s="1"/>
  <c r="Q211" i="1" s="1"/>
  <c r="N211" i="1"/>
  <c r="O211" i="1"/>
  <c r="P211" i="1"/>
  <c r="R211" i="1"/>
  <c r="S211" i="1"/>
  <c r="T211" i="1" s="1"/>
  <c r="J212" i="1"/>
  <c r="K212" i="1"/>
  <c r="M212" i="1"/>
  <c r="L212" i="1" s="1"/>
  <c r="Q212" i="1" s="1"/>
  <c r="N212" i="1"/>
  <c r="O212" i="1"/>
  <c r="S212" i="1" s="1"/>
  <c r="T212" i="1" s="1"/>
  <c r="P212" i="1"/>
  <c r="R212" i="1"/>
  <c r="J213" i="1"/>
  <c r="K213" i="1"/>
  <c r="M213" i="1"/>
  <c r="L213" i="1" s="1"/>
  <c r="Q213" i="1" s="1"/>
  <c r="N213" i="1"/>
  <c r="O213" i="1"/>
  <c r="P213" i="1"/>
  <c r="R213" i="1"/>
  <c r="S213" i="1"/>
  <c r="T213" i="1"/>
  <c r="J214" i="1"/>
  <c r="K214" i="1"/>
  <c r="M214" i="1"/>
  <c r="L214" i="1" s="1"/>
  <c r="Q214" i="1" s="1"/>
  <c r="N214" i="1"/>
  <c r="O214" i="1"/>
  <c r="S214" i="1" s="1"/>
  <c r="T214" i="1" s="1"/>
  <c r="P214" i="1"/>
  <c r="R214" i="1"/>
  <c r="C131" i="4" l="1"/>
  <c r="D127" i="4"/>
  <c r="D121" i="4"/>
  <c r="D122" i="4"/>
  <c r="D123" i="4"/>
  <c r="E122" i="4"/>
  <c r="E123" i="4"/>
  <c r="E124" i="4"/>
  <c r="F122" i="3"/>
  <c r="F123" i="3"/>
  <c r="F124" i="3"/>
  <c r="F125" i="3"/>
  <c r="E121" i="3"/>
  <c r="E122" i="3"/>
  <c r="E123" i="3"/>
  <c r="E124" i="3"/>
  <c r="C132" i="4" l="1"/>
  <c r="C133" i="4"/>
  <c r="E118" i="4"/>
  <c r="E119" i="4"/>
  <c r="E120" i="4"/>
  <c r="E121" i="4"/>
  <c r="D117" i="4"/>
  <c r="D118" i="4"/>
  <c r="D119" i="4"/>
  <c r="D120" i="4"/>
  <c r="F120" i="3"/>
  <c r="F121" i="3"/>
  <c r="E119" i="3"/>
  <c r="E120" i="3"/>
  <c r="C134" i="4" l="1"/>
  <c r="C135" i="4"/>
  <c r="F118" i="3"/>
  <c r="F119" i="3"/>
  <c r="E117" i="3"/>
  <c r="E118" i="3"/>
  <c r="P62" i="2"/>
  <c r="W62" i="2"/>
  <c r="X62" i="2" s="1"/>
  <c r="K50" i="1"/>
  <c r="K72" i="1"/>
  <c r="K18" i="1"/>
  <c r="K61" i="1"/>
  <c r="K22" i="1"/>
  <c r="K75" i="1"/>
  <c r="K92" i="1"/>
  <c r="K147" i="1"/>
  <c r="K127" i="1"/>
  <c r="K116" i="1"/>
  <c r="K117" i="1"/>
  <c r="K2" i="1"/>
  <c r="K55" i="1"/>
  <c r="K107" i="1"/>
  <c r="K70" i="1"/>
  <c r="K34" i="1"/>
  <c r="K57" i="1"/>
  <c r="K44" i="1"/>
  <c r="K74" i="1"/>
  <c r="K33" i="1"/>
  <c r="K4" i="1"/>
  <c r="K31" i="1"/>
  <c r="K178" i="1"/>
  <c r="K96" i="1"/>
  <c r="K133" i="1"/>
  <c r="K64" i="1"/>
  <c r="K17" i="1"/>
  <c r="K38" i="1"/>
  <c r="K23" i="1"/>
  <c r="K28" i="1"/>
  <c r="K146" i="1"/>
  <c r="K39" i="1"/>
  <c r="K58" i="1"/>
  <c r="K9" i="1"/>
  <c r="K6" i="1"/>
  <c r="K113" i="1"/>
  <c r="K105" i="1"/>
  <c r="K20" i="1"/>
  <c r="K60" i="1"/>
  <c r="K100" i="1"/>
  <c r="K21" i="1"/>
  <c r="K185" i="1"/>
  <c r="K77" i="1"/>
  <c r="K102" i="1"/>
  <c r="K19" i="1"/>
  <c r="K162" i="1"/>
  <c r="K13" i="1"/>
  <c r="K86" i="1"/>
  <c r="K188" i="1"/>
  <c r="K36" i="1"/>
  <c r="K30" i="1"/>
  <c r="K123" i="1"/>
  <c r="K192" i="1"/>
  <c r="K108" i="1"/>
  <c r="K168" i="1"/>
  <c r="K141" i="1"/>
  <c r="K51" i="1"/>
  <c r="K16" i="1"/>
  <c r="K144" i="1"/>
  <c r="K83" i="1"/>
  <c r="K14" i="1"/>
  <c r="K181" i="1"/>
  <c r="K204" i="1"/>
  <c r="K112" i="1"/>
  <c r="K78" i="1"/>
  <c r="K170" i="1"/>
  <c r="K8" i="1"/>
  <c r="K32" i="1"/>
  <c r="K165" i="1"/>
  <c r="K171" i="1"/>
  <c r="K122" i="1"/>
  <c r="K153" i="1"/>
  <c r="K69" i="1"/>
  <c r="K115" i="1"/>
  <c r="K137" i="1"/>
  <c r="K45" i="1"/>
  <c r="K106" i="1"/>
  <c r="K199" i="1"/>
  <c r="K174" i="1"/>
  <c r="K65" i="1"/>
  <c r="K85" i="1"/>
  <c r="K25" i="1"/>
  <c r="K205" i="1"/>
  <c r="K155" i="1"/>
  <c r="K132" i="1"/>
  <c r="K11" i="1"/>
  <c r="K158" i="1"/>
  <c r="K53" i="1"/>
  <c r="K26" i="1"/>
  <c r="K118" i="1"/>
  <c r="K7" i="1"/>
  <c r="K152" i="1"/>
  <c r="K41" i="1"/>
  <c r="K190" i="1"/>
  <c r="K66" i="1"/>
  <c r="K37" i="1"/>
  <c r="K164" i="1"/>
  <c r="K67" i="1"/>
  <c r="K131" i="1"/>
  <c r="K163" i="1"/>
  <c r="K130" i="1"/>
  <c r="K54" i="1"/>
  <c r="K35" i="1"/>
  <c r="K114" i="1"/>
  <c r="K149" i="1"/>
  <c r="K98" i="1"/>
  <c r="K3" i="1"/>
  <c r="K5" i="1"/>
  <c r="K120" i="1"/>
  <c r="K71" i="1"/>
  <c r="K135" i="1"/>
  <c r="K189" i="1"/>
  <c r="K24" i="1"/>
  <c r="K110" i="1"/>
  <c r="K82" i="1"/>
  <c r="K29" i="1"/>
  <c r="K84" i="1"/>
  <c r="K200" i="1"/>
  <c r="K59" i="1"/>
  <c r="K176" i="1"/>
  <c r="K180" i="1"/>
  <c r="K111" i="1"/>
  <c r="K27" i="1"/>
  <c r="K134" i="1"/>
  <c r="K10" i="1"/>
  <c r="K193" i="1"/>
  <c r="K12" i="1"/>
  <c r="K154" i="1"/>
  <c r="K145" i="1"/>
  <c r="K103" i="1"/>
  <c r="K197" i="1"/>
  <c r="K148" i="1"/>
  <c r="K136" i="1"/>
  <c r="K194" i="1"/>
  <c r="K169" i="1"/>
  <c r="K76" i="1"/>
  <c r="K138" i="1"/>
  <c r="K124" i="1"/>
  <c r="K128" i="1"/>
  <c r="K156" i="1"/>
  <c r="K73" i="1"/>
  <c r="K49" i="1"/>
  <c r="K126" i="1"/>
  <c r="K150" i="1"/>
  <c r="K48" i="1"/>
  <c r="K89" i="1"/>
  <c r="K47" i="1"/>
  <c r="K183" i="1"/>
  <c r="K88" i="1"/>
  <c r="K121" i="1"/>
  <c r="K129" i="1"/>
  <c r="K63" i="1"/>
  <c r="K201" i="1"/>
  <c r="K186" i="1"/>
  <c r="K119" i="1"/>
  <c r="K91" i="1"/>
  <c r="K93" i="1"/>
  <c r="K177" i="1"/>
  <c r="K196" i="1"/>
  <c r="K40" i="1"/>
  <c r="K62" i="1"/>
  <c r="K203" i="1"/>
  <c r="K167" i="1"/>
  <c r="K173" i="1"/>
  <c r="K87" i="1"/>
  <c r="K79" i="1"/>
  <c r="K182" i="1"/>
  <c r="K125" i="1"/>
  <c r="K202" i="1"/>
  <c r="K166" i="1"/>
  <c r="K95" i="1"/>
  <c r="K160" i="1"/>
  <c r="K184" i="1"/>
  <c r="K104" i="1"/>
  <c r="K159" i="1"/>
  <c r="K80" i="1"/>
  <c r="K101" i="1"/>
  <c r="K81" i="1"/>
  <c r="K94" i="1"/>
  <c r="K175" i="1"/>
  <c r="K187" i="1"/>
  <c r="K172" i="1"/>
  <c r="K99" i="1"/>
  <c r="K68" i="1"/>
  <c r="K198" i="1"/>
  <c r="K52" i="1"/>
  <c r="K195" i="1"/>
  <c r="K46" i="1"/>
  <c r="K191" i="1"/>
  <c r="K142" i="1"/>
  <c r="K42" i="1"/>
  <c r="K109" i="1"/>
  <c r="K208" i="1"/>
  <c r="K139" i="1"/>
  <c r="K179" i="1"/>
  <c r="K206" i="1"/>
  <c r="K43" i="1"/>
  <c r="K207" i="1"/>
  <c r="K143" i="1"/>
  <c r="K161" i="1"/>
  <c r="K151" i="1"/>
  <c r="K90" i="1"/>
  <c r="K140" i="1"/>
  <c r="K157" i="1"/>
  <c r="K56" i="1"/>
  <c r="K97" i="1"/>
  <c r="C136" i="4" l="1"/>
  <c r="F118" i="4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F113" i="3"/>
  <c r="F114" i="3"/>
  <c r="F115" i="3"/>
  <c r="F116" i="3"/>
  <c r="F117" i="3"/>
  <c r="E112" i="3"/>
  <c r="E113" i="3"/>
  <c r="E114" i="3"/>
  <c r="E115" i="3"/>
  <c r="E116" i="3"/>
  <c r="M61" i="2"/>
  <c r="N61" i="2"/>
  <c r="O61" i="2"/>
  <c r="Q61" i="2"/>
  <c r="P61" i="2" s="1"/>
  <c r="U61" i="2" s="1"/>
  <c r="R61" i="2"/>
  <c r="S61" i="2"/>
  <c r="T61" i="2"/>
  <c r="V61" i="2"/>
  <c r="C137" i="4" l="1"/>
  <c r="F115" i="4"/>
  <c r="W61" i="2"/>
  <c r="X61" i="2" s="1"/>
  <c r="F117" i="4"/>
  <c r="K145" i="3"/>
  <c r="F112" i="3"/>
  <c r="E111" i="3"/>
  <c r="M60" i="2"/>
  <c r="N60" i="2"/>
  <c r="O60" i="2"/>
  <c r="Q60" i="2"/>
  <c r="P60" i="2" s="1"/>
  <c r="U60" i="2" s="1"/>
  <c r="R60" i="2"/>
  <c r="S60" i="2"/>
  <c r="T60" i="2"/>
  <c r="V60" i="2"/>
  <c r="C138" i="4" l="1"/>
  <c r="B132" i="4"/>
  <c r="B130" i="4"/>
  <c r="B131" i="4"/>
  <c r="W60" i="2"/>
  <c r="X60" i="2" s="1"/>
  <c r="L145" i="3"/>
  <c r="M145" i="3" s="1"/>
  <c r="J77" i="1"/>
  <c r="M77" i="1"/>
  <c r="L77" i="1" s="1"/>
  <c r="Q77" i="1" s="1"/>
  <c r="N77" i="1"/>
  <c r="O77" i="1"/>
  <c r="P77" i="1"/>
  <c r="R77" i="1"/>
  <c r="J87" i="1"/>
  <c r="M87" i="1"/>
  <c r="L87" i="1" s="1"/>
  <c r="Q87" i="1" s="1"/>
  <c r="N87" i="1"/>
  <c r="O87" i="1"/>
  <c r="P87" i="1"/>
  <c r="R87" i="1"/>
  <c r="J109" i="1"/>
  <c r="M109" i="1"/>
  <c r="L109" i="1" s="1"/>
  <c r="Q109" i="1" s="1"/>
  <c r="N109" i="1"/>
  <c r="O109" i="1"/>
  <c r="P109" i="1"/>
  <c r="R109" i="1"/>
  <c r="J25" i="1"/>
  <c r="M25" i="1"/>
  <c r="L25" i="1" s="1"/>
  <c r="Q25" i="1" s="1"/>
  <c r="N25" i="1"/>
  <c r="O25" i="1"/>
  <c r="P25" i="1"/>
  <c r="R25" i="1"/>
  <c r="J50" i="1"/>
  <c r="M50" i="1"/>
  <c r="L50" i="1" s="1"/>
  <c r="Q50" i="1" s="1"/>
  <c r="N50" i="1"/>
  <c r="O50" i="1"/>
  <c r="P50" i="1"/>
  <c r="R50" i="1"/>
  <c r="J61" i="1"/>
  <c r="M61" i="1"/>
  <c r="L61" i="1" s="1"/>
  <c r="Q61" i="1" s="1"/>
  <c r="N61" i="1"/>
  <c r="O61" i="1"/>
  <c r="P61" i="1"/>
  <c r="R61" i="1"/>
  <c r="J111" i="1"/>
  <c r="M111" i="1"/>
  <c r="L111" i="1" s="1"/>
  <c r="Q111" i="1" s="1"/>
  <c r="N111" i="1"/>
  <c r="O111" i="1"/>
  <c r="P111" i="1"/>
  <c r="R111" i="1"/>
  <c r="J120" i="1"/>
  <c r="M120" i="1"/>
  <c r="L120" i="1" s="1"/>
  <c r="Q120" i="1" s="1"/>
  <c r="N120" i="1"/>
  <c r="O120" i="1"/>
  <c r="P120" i="1"/>
  <c r="R120" i="1"/>
  <c r="J60" i="1"/>
  <c r="M60" i="1"/>
  <c r="L60" i="1" s="1"/>
  <c r="Q60" i="1" s="1"/>
  <c r="N60" i="1"/>
  <c r="O60" i="1"/>
  <c r="P60" i="1"/>
  <c r="R60" i="1"/>
  <c r="J91" i="1"/>
  <c r="M91" i="1"/>
  <c r="L91" i="1" s="1"/>
  <c r="Q91" i="1" s="1"/>
  <c r="N91" i="1"/>
  <c r="O91" i="1"/>
  <c r="P91" i="1"/>
  <c r="R91" i="1"/>
  <c r="J47" i="1"/>
  <c r="M47" i="1"/>
  <c r="L47" i="1" s="1"/>
  <c r="Q47" i="1" s="1"/>
  <c r="N47" i="1"/>
  <c r="O47" i="1"/>
  <c r="P47" i="1"/>
  <c r="R47" i="1"/>
  <c r="J129" i="1"/>
  <c r="M129" i="1"/>
  <c r="L129" i="1" s="1"/>
  <c r="Q129" i="1" s="1"/>
  <c r="N129" i="1"/>
  <c r="O129" i="1"/>
  <c r="P129" i="1"/>
  <c r="R129" i="1"/>
  <c r="J43" i="1"/>
  <c r="M43" i="1"/>
  <c r="L43" i="1" s="1"/>
  <c r="Q43" i="1" s="1"/>
  <c r="N43" i="1"/>
  <c r="O43" i="1"/>
  <c r="P43" i="1"/>
  <c r="R43" i="1"/>
  <c r="J128" i="1"/>
  <c r="M128" i="1"/>
  <c r="L128" i="1" s="1"/>
  <c r="Q128" i="1" s="1"/>
  <c r="N128" i="1"/>
  <c r="O128" i="1"/>
  <c r="P128" i="1"/>
  <c r="R128" i="1"/>
  <c r="J39" i="1"/>
  <c r="M39" i="1"/>
  <c r="L39" i="1" s="1"/>
  <c r="N39" i="1"/>
  <c r="O39" i="1"/>
  <c r="J26" i="1"/>
  <c r="M26" i="1"/>
  <c r="L26" i="1" s="1"/>
  <c r="N26" i="1"/>
  <c r="O26" i="1"/>
  <c r="J57" i="1"/>
  <c r="M57" i="1"/>
  <c r="L57" i="1" s="1"/>
  <c r="N57" i="1"/>
  <c r="O57" i="1"/>
  <c r="J33" i="1"/>
  <c r="M33" i="1"/>
  <c r="L33" i="1" s="1"/>
  <c r="N33" i="1"/>
  <c r="O33" i="1"/>
  <c r="J86" i="1"/>
  <c r="M86" i="1"/>
  <c r="L86" i="1" s="1"/>
  <c r="N86" i="1"/>
  <c r="O86" i="1"/>
  <c r="J11" i="1"/>
  <c r="M11" i="1"/>
  <c r="L11" i="1" s="1"/>
  <c r="N11" i="1"/>
  <c r="O11" i="1"/>
  <c r="J2" i="1"/>
  <c r="M2" i="1"/>
  <c r="L2" i="1" s="1"/>
  <c r="N2" i="1"/>
  <c r="O2" i="1"/>
  <c r="J4" i="1"/>
  <c r="M4" i="1"/>
  <c r="L4" i="1" s="1"/>
  <c r="N4" i="1"/>
  <c r="O4" i="1"/>
  <c r="J85" i="1"/>
  <c r="M85" i="1"/>
  <c r="L85" i="1" s="1"/>
  <c r="N85" i="1"/>
  <c r="O85" i="1"/>
  <c r="J153" i="1"/>
  <c r="M153" i="1"/>
  <c r="L153" i="1" s="1"/>
  <c r="N153" i="1"/>
  <c r="O153" i="1"/>
  <c r="J149" i="1"/>
  <c r="M149" i="1"/>
  <c r="L149" i="1" s="1"/>
  <c r="N149" i="1"/>
  <c r="O149" i="1"/>
  <c r="J54" i="1"/>
  <c r="M54" i="1"/>
  <c r="L54" i="1" s="1"/>
  <c r="N54" i="1"/>
  <c r="O54" i="1"/>
  <c r="J15" i="1"/>
  <c r="K15" i="1"/>
  <c r="M15" i="1"/>
  <c r="L15" i="1" s="1"/>
  <c r="N15" i="1"/>
  <c r="O15" i="1"/>
  <c r="J16" i="1"/>
  <c r="M16" i="1"/>
  <c r="L16" i="1" s="1"/>
  <c r="N16" i="1"/>
  <c r="O16" i="1"/>
  <c r="J18" i="1"/>
  <c r="M18" i="1"/>
  <c r="L18" i="1" s="1"/>
  <c r="N18" i="1"/>
  <c r="O18" i="1"/>
  <c r="J45" i="1"/>
  <c r="M45" i="1"/>
  <c r="L45" i="1" s="1"/>
  <c r="N45" i="1"/>
  <c r="O45" i="1"/>
  <c r="J72" i="1"/>
  <c r="M72" i="1"/>
  <c r="L72" i="1" s="1"/>
  <c r="N72" i="1"/>
  <c r="O72" i="1"/>
  <c r="J24" i="1"/>
  <c r="M24" i="1"/>
  <c r="L24" i="1" s="1"/>
  <c r="N24" i="1"/>
  <c r="O24" i="1"/>
  <c r="J147" i="1"/>
  <c r="M147" i="1"/>
  <c r="L147" i="1" s="1"/>
  <c r="N147" i="1"/>
  <c r="O147" i="1"/>
  <c r="J117" i="1"/>
  <c r="M117" i="1"/>
  <c r="L117" i="1" s="1"/>
  <c r="N117" i="1"/>
  <c r="O117" i="1"/>
  <c r="J139" i="1"/>
  <c r="M139" i="1"/>
  <c r="L139" i="1" s="1"/>
  <c r="N139" i="1"/>
  <c r="O139" i="1"/>
  <c r="J176" i="1"/>
  <c r="M176" i="1"/>
  <c r="L176" i="1" s="1"/>
  <c r="N176" i="1"/>
  <c r="O176" i="1"/>
  <c r="J108" i="1"/>
  <c r="M108" i="1"/>
  <c r="L108" i="1" s="1"/>
  <c r="N108" i="1"/>
  <c r="O108" i="1"/>
  <c r="J196" i="1"/>
  <c r="M196" i="1"/>
  <c r="L196" i="1" s="1"/>
  <c r="N196" i="1"/>
  <c r="O196" i="1"/>
  <c r="J192" i="1"/>
  <c r="M192" i="1"/>
  <c r="L192" i="1" s="1"/>
  <c r="N192" i="1"/>
  <c r="O192" i="1"/>
  <c r="J52" i="1"/>
  <c r="M52" i="1"/>
  <c r="L52" i="1" s="1"/>
  <c r="N52" i="1"/>
  <c r="O52" i="1"/>
  <c r="J205" i="1"/>
  <c r="M205" i="1"/>
  <c r="L205" i="1" s="1"/>
  <c r="N205" i="1"/>
  <c r="O205" i="1"/>
  <c r="J107" i="1"/>
  <c r="M107" i="1"/>
  <c r="L107" i="1" s="1"/>
  <c r="N107" i="1"/>
  <c r="O107" i="1"/>
  <c r="J156" i="1"/>
  <c r="M156" i="1"/>
  <c r="L156" i="1" s="1"/>
  <c r="N156" i="1"/>
  <c r="O156" i="1"/>
  <c r="J105" i="1"/>
  <c r="M105" i="1"/>
  <c r="L105" i="1" s="1"/>
  <c r="N105" i="1"/>
  <c r="O105" i="1"/>
  <c r="J49" i="1"/>
  <c r="M49" i="1"/>
  <c r="L49" i="1" s="1"/>
  <c r="N49" i="1"/>
  <c r="O49" i="1"/>
  <c r="J74" i="1"/>
  <c r="M74" i="1"/>
  <c r="L74" i="1" s="1"/>
  <c r="N74" i="1"/>
  <c r="O74" i="1"/>
  <c r="J41" i="1"/>
  <c r="M41" i="1"/>
  <c r="L41" i="1" s="1"/>
  <c r="N41" i="1"/>
  <c r="O41" i="1"/>
  <c r="J168" i="1"/>
  <c r="M168" i="1"/>
  <c r="L168" i="1" s="1"/>
  <c r="N168" i="1"/>
  <c r="O168" i="1"/>
  <c r="J40" i="1"/>
  <c r="M40" i="1"/>
  <c r="L40" i="1" s="1"/>
  <c r="N40" i="1"/>
  <c r="O40" i="1"/>
  <c r="J146" i="1"/>
  <c r="M146" i="1"/>
  <c r="L146" i="1" s="1"/>
  <c r="N146" i="1"/>
  <c r="O146" i="1"/>
  <c r="J13" i="1"/>
  <c r="M13" i="1"/>
  <c r="L13" i="1" s="1"/>
  <c r="N13" i="1"/>
  <c r="O13" i="1"/>
  <c r="J188" i="1"/>
  <c r="M188" i="1"/>
  <c r="L188" i="1" s="1"/>
  <c r="N188" i="1"/>
  <c r="O188" i="1"/>
  <c r="J37" i="1"/>
  <c r="M37" i="1"/>
  <c r="L37" i="1" s="1"/>
  <c r="N37" i="1"/>
  <c r="O37" i="1"/>
  <c r="J53" i="1"/>
  <c r="M53" i="1"/>
  <c r="L53" i="1" s="1"/>
  <c r="N53" i="1"/>
  <c r="O53" i="1"/>
  <c r="J44" i="1"/>
  <c r="M44" i="1"/>
  <c r="L44" i="1" s="1"/>
  <c r="N44" i="1"/>
  <c r="O44" i="1"/>
  <c r="J20" i="1"/>
  <c r="M20" i="1"/>
  <c r="L20" i="1" s="1"/>
  <c r="N20" i="1"/>
  <c r="O20" i="1"/>
  <c r="J70" i="1"/>
  <c r="M70" i="1"/>
  <c r="L70" i="1" s="1"/>
  <c r="N70" i="1"/>
  <c r="O70" i="1"/>
  <c r="J162" i="1"/>
  <c r="M162" i="1"/>
  <c r="L162" i="1" s="1"/>
  <c r="N162" i="1"/>
  <c r="O162" i="1"/>
  <c r="J122" i="1"/>
  <c r="M122" i="1"/>
  <c r="L122" i="1" s="1"/>
  <c r="N122" i="1"/>
  <c r="O122" i="1"/>
  <c r="J9" i="1"/>
  <c r="M9" i="1"/>
  <c r="L9" i="1" s="1"/>
  <c r="N9" i="1"/>
  <c r="O9" i="1"/>
  <c r="J71" i="1"/>
  <c r="M71" i="1"/>
  <c r="L71" i="1" s="1"/>
  <c r="N71" i="1"/>
  <c r="O71" i="1"/>
  <c r="J19" i="1"/>
  <c r="M19" i="1"/>
  <c r="L19" i="1" s="1"/>
  <c r="N19" i="1"/>
  <c r="O19" i="1"/>
  <c r="J172" i="1"/>
  <c r="M172" i="1"/>
  <c r="L172" i="1" s="1"/>
  <c r="N172" i="1"/>
  <c r="O172" i="1"/>
  <c r="J34" i="1"/>
  <c r="M34" i="1"/>
  <c r="L34" i="1" s="1"/>
  <c r="N34" i="1"/>
  <c r="O34" i="1"/>
  <c r="J180" i="1"/>
  <c r="M180" i="1"/>
  <c r="L180" i="1" s="1"/>
  <c r="N180" i="1"/>
  <c r="O180" i="1"/>
  <c r="J100" i="1"/>
  <c r="M100" i="1"/>
  <c r="L100" i="1" s="1"/>
  <c r="N100" i="1"/>
  <c r="O100" i="1"/>
  <c r="J144" i="1"/>
  <c r="M144" i="1"/>
  <c r="L144" i="1" s="1"/>
  <c r="N144" i="1"/>
  <c r="O144" i="1"/>
  <c r="J193" i="1"/>
  <c r="M193" i="1"/>
  <c r="L193" i="1" s="1"/>
  <c r="N193" i="1"/>
  <c r="O193" i="1"/>
  <c r="J137" i="1"/>
  <c r="M137" i="1"/>
  <c r="L137" i="1" s="1"/>
  <c r="N137" i="1"/>
  <c r="O137" i="1"/>
  <c r="J48" i="1"/>
  <c r="M48" i="1"/>
  <c r="L48" i="1" s="1"/>
  <c r="N48" i="1"/>
  <c r="O48" i="1"/>
  <c r="J31" i="1"/>
  <c r="M31" i="1"/>
  <c r="L31" i="1" s="1"/>
  <c r="N31" i="1"/>
  <c r="O31" i="1"/>
  <c r="J200" i="1"/>
  <c r="M200" i="1"/>
  <c r="L200" i="1" s="1"/>
  <c r="N200" i="1"/>
  <c r="O200" i="1"/>
  <c r="J95" i="1"/>
  <c r="M95" i="1"/>
  <c r="L95" i="1" s="1"/>
  <c r="N95" i="1"/>
  <c r="O95" i="1"/>
  <c r="J142" i="1"/>
  <c r="M142" i="1"/>
  <c r="L142" i="1" s="1"/>
  <c r="N142" i="1"/>
  <c r="O142" i="1"/>
  <c r="J136" i="1"/>
  <c r="M136" i="1"/>
  <c r="L136" i="1" s="1"/>
  <c r="N136" i="1"/>
  <c r="O136" i="1"/>
  <c r="J92" i="1"/>
  <c r="M92" i="1"/>
  <c r="L92" i="1" s="1"/>
  <c r="N92" i="1"/>
  <c r="O92" i="1"/>
  <c r="J38" i="1"/>
  <c r="M38" i="1"/>
  <c r="L38" i="1" s="1"/>
  <c r="N38" i="1"/>
  <c r="O38" i="1"/>
  <c r="J184" i="1"/>
  <c r="M184" i="1"/>
  <c r="L184" i="1" s="1"/>
  <c r="N184" i="1"/>
  <c r="O184" i="1"/>
  <c r="J80" i="1"/>
  <c r="M80" i="1"/>
  <c r="L80" i="1" s="1"/>
  <c r="N80" i="1"/>
  <c r="O80" i="1"/>
  <c r="J201" i="1"/>
  <c r="M201" i="1"/>
  <c r="L201" i="1" s="1"/>
  <c r="N201" i="1"/>
  <c r="O201" i="1"/>
  <c r="J185" i="1"/>
  <c r="M185" i="1"/>
  <c r="L185" i="1" s="1"/>
  <c r="N185" i="1"/>
  <c r="O185" i="1"/>
  <c r="J69" i="1"/>
  <c r="M69" i="1"/>
  <c r="L69" i="1" s="1"/>
  <c r="N69" i="1"/>
  <c r="O69" i="1"/>
  <c r="J183" i="1"/>
  <c r="M183" i="1"/>
  <c r="L183" i="1" s="1"/>
  <c r="N183" i="1"/>
  <c r="O183" i="1"/>
  <c r="J138" i="1"/>
  <c r="M138" i="1"/>
  <c r="L138" i="1" s="1"/>
  <c r="N138" i="1"/>
  <c r="O138" i="1"/>
  <c r="J166" i="1"/>
  <c r="M166" i="1"/>
  <c r="L166" i="1" s="1"/>
  <c r="N166" i="1"/>
  <c r="O166" i="1"/>
  <c r="J152" i="1"/>
  <c r="M152" i="1"/>
  <c r="L152" i="1" s="1"/>
  <c r="N152" i="1"/>
  <c r="O152" i="1"/>
  <c r="J174" i="1"/>
  <c r="M174" i="1"/>
  <c r="L174" i="1" s="1"/>
  <c r="N174" i="1"/>
  <c r="O174" i="1"/>
  <c r="J76" i="1"/>
  <c r="M76" i="1"/>
  <c r="L76" i="1" s="1"/>
  <c r="N76" i="1"/>
  <c r="O76" i="1"/>
  <c r="J98" i="1"/>
  <c r="M98" i="1"/>
  <c r="L98" i="1" s="1"/>
  <c r="N98" i="1"/>
  <c r="O98" i="1"/>
  <c r="J197" i="1"/>
  <c r="M197" i="1"/>
  <c r="L197" i="1" s="1"/>
  <c r="N197" i="1"/>
  <c r="O197" i="1"/>
  <c r="J116" i="1"/>
  <c r="M116" i="1"/>
  <c r="L116" i="1" s="1"/>
  <c r="N116" i="1"/>
  <c r="O116" i="1"/>
  <c r="J65" i="1"/>
  <c r="M65" i="1"/>
  <c r="L65" i="1" s="1"/>
  <c r="N65" i="1"/>
  <c r="O65" i="1"/>
  <c r="J126" i="1"/>
  <c r="M126" i="1"/>
  <c r="L126" i="1" s="1"/>
  <c r="N126" i="1"/>
  <c r="O126" i="1"/>
  <c r="J169" i="1"/>
  <c r="M169" i="1"/>
  <c r="L169" i="1" s="1"/>
  <c r="N169" i="1"/>
  <c r="O169" i="1"/>
  <c r="J125" i="1"/>
  <c r="M125" i="1"/>
  <c r="L125" i="1" s="1"/>
  <c r="N125" i="1"/>
  <c r="O125" i="1"/>
  <c r="J175" i="1"/>
  <c r="M175" i="1"/>
  <c r="L175" i="1" s="1"/>
  <c r="N175" i="1"/>
  <c r="O175" i="1"/>
  <c r="J96" i="1"/>
  <c r="M96" i="1"/>
  <c r="L96" i="1" s="1"/>
  <c r="N96" i="1"/>
  <c r="O96" i="1"/>
  <c r="J67" i="1"/>
  <c r="M67" i="1"/>
  <c r="L67" i="1" s="1"/>
  <c r="N67" i="1"/>
  <c r="O67" i="1"/>
  <c r="J191" i="1"/>
  <c r="M191" i="1"/>
  <c r="L191" i="1" s="1"/>
  <c r="N191" i="1"/>
  <c r="O191" i="1"/>
  <c r="J106" i="1"/>
  <c r="M106" i="1"/>
  <c r="L106" i="1" s="1"/>
  <c r="N106" i="1"/>
  <c r="O106" i="1"/>
  <c r="J165" i="1"/>
  <c r="M165" i="1"/>
  <c r="L165" i="1" s="1"/>
  <c r="N165" i="1"/>
  <c r="O165" i="1"/>
  <c r="J8" i="1"/>
  <c r="M8" i="1"/>
  <c r="L8" i="1" s="1"/>
  <c r="N8" i="1"/>
  <c r="O8" i="1"/>
  <c r="J64" i="1"/>
  <c r="M64" i="1"/>
  <c r="L64" i="1" s="1"/>
  <c r="N64" i="1"/>
  <c r="O64" i="1"/>
  <c r="J51" i="1"/>
  <c r="M51" i="1"/>
  <c r="L51" i="1" s="1"/>
  <c r="N51" i="1"/>
  <c r="O51" i="1"/>
  <c r="J114" i="1"/>
  <c r="M114" i="1"/>
  <c r="L114" i="1" s="1"/>
  <c r="N114" i="1"/>
  <c r="O114" i="1"/>
  <c r="J131" i="1"/>
  <c r="M131" i="1"/>
  <c r="L131" i="1" s="1"/>
  <c r="N131" i="1"/>
  <c r="O131" i="1"/>
  <c r="J154" i="1"/>
  <c r="M154" i="1"/>
  <c r="L154" i="1" s="1"/>
  <c r="N154" i="1"/>
  <c r="O154" i="1"/>
  <c r="J202" i="1"/>
  <c r="M202" i="1"/>
  <c r="L202" i="1" s="1"/>
  <c r="N202" i="1"/>
  <c r="O202" i="1"/>
  <c r="J27" i="1"/>
  <c r="M27" i="1"/>
  <c r="L27" i="1" s="1"/>
  <c r="N27" i="1"/>
  <c r="O27" i="1"/>
  <c r="J81" i="1"/>
  <c r="M81" i="1"/>
  <c r="L81" i="1" s="1"/>
  <c r="N81" i="1"/>
  <c r="O81" i="1"/>
  <c r="J170" i="1"/>
  <c r="M170" i="1"/>
  <c r="L170" i="1" s="1"/>
  <c r="N170" i="1"/>
  <c r="O170" i="1"/>
  <c r="J204" i="1"/>
  <c r="M204" i="1"/>
  <c r="L204" i="1" s="1"/>
  <c r="N204" i="1"/>
  <c r="O204" i="1"/>
  <c r="J179" i="1"/>
  <c r="M179" i="1"/>
  <c r="L179" i="1" s="1"/>
  <c r="N179" i="1"/>
  <c r="O179" i="1"/>
  <c r="J123" i="1"/>
  <c r="M123" i="1"/>
  <c r="L123" i="1" s="1"/>
  <c r="N123" i="1"/>
  <c r="O123" i="1"/>
  <c r="J181" i="1"/>
  <c r="M181" i="1"/>
  <c r="L181" i="1" s="1"/>
  <c r="N181" i="1"/>
  <c r="O181" i="1"/>
  <c r="J66" i="1"/>
  <c r="M66" i="1"/>
  <c r="L66" i="1" s="1"/>
  <c r="N66" i="1"/>
  <c r="O66" i="1"/>
  <c r="J104" i="1"/>
  <c r="M104" i="1"/>
  <c r="L104" i="1" s="1"/>
  <c r="N104" i="1"/>
  <c r="O104" i="1"/>
  <c r="J21" i="1"/>
  <c r="M21" i="1"/>
  <c r="L21" i="1" s="1"/>
  <c r="N21" i="1"/>
  <c r="O21" i="1"/>
  <c r="J3" i="1"/>
  <c r="M3" i="1"/>
  <c r="L3" i="1" s="1"/>
  <c r="N3" i="1"/>
  <c r="O3" i="1"/>
  <c r="J118" i="1"/>
  <c r="M118" i="1"/>
  <c r="L118" i="1" s="1"/>
  <c r="N118" i="1"/>
  <c r="O118" i="1"/>
  <c r="J161" i="1"/>
  <c r="M161" i="1"/>
  <c r="L161" i="1" s="1"/>
  <c r="N161" i="1"/>
  <c r="O161" i="1"/>
  <c r="J148" i="1"/>
  <c r="M148" i="1"/>
  <c r="L148" i="1" s="1"/>
  <c r="N148" i="1"/>
  <c r="O148" i="1"/>
  <c r="J56" i="1"/>
  <c r="M56" i="1"/>
  <c r="L56" i="1" s="1"/>
  <c r="N56" i="1"/>
  <c r="O56" i="1"/>
  <c r="J199" i="1"/>
  <c r="M199" i="1"/>
  <c r="L199" i="1" s="1"/>
  <c r="N199" i="1"/>
  <c r="O199" i="1"/>
  <c r="J78" i="1"/>
  <c r="M78" i="1"/>
  <c r="L78" i="1" s="1"/>
  <c r="N78" i="1"/>
  <c r="O78" i="1"/>
  <c r="J46" i="1"/>
  <c r="M46" i="1"/>
  <c r="L46" i="1" s="1"/>
  <c r="N46" i="1"/>
  <c r="O46" i="1"/>
  <c r="J127" i="1"/>
  <c r="M127" i="1"/>
  <c r="L127" i="1" s="1"/>
  <c r="N127" i="1"/>
  <c r="O127" i="1"/>
  <c r="J5" i="1"/>
  <c r="M5" i="1"/>
  <c r="L5" i="1" s="1"/>
  <c r="N5" i="1"/>
  <c r="O5" i="1"/>
  <c r="J133" i="1"/>
  <c r="M133" i="1"/>
  <c r="L133" i="1" s="1"/>
  <c r="N133" i="1"/>
  <c r="O133" i="1"/>
  <c r="J203" i="1"/>
  <c r="M203" i="1"/>
  <c r="L203" i="1" s="1"/>
  <c r="N203" i="1"/>
  <c r="O203" i="1"/>
  <c r="J36" i="1"/>
  <c r="M36" i="1"/>
  <c r="L36" i="1" s="1"/>
  <c r="N36" i="1"/>
  <c r="O36" i="1"/>
  <c r="J42" i="1"/>
  <c r="M42" i="1"/>
  <c r="L42" i="1" s="1"/>
  <c r="N42" i="1"/>
  <c r="O42" i="1"/>
  <c r="J151" i="1"/>
  <c r="M151" i="1"/>
  <c r="L151" i="1" s="1"/>
  <c r="N151" i="1"/>
  <c r="O151" i="1"/>
  <c r="J14" i="1"/>
  <c r="M14" i="1"/>
  <c r="L14" i="1" s="1"/>
  <c r="N14" i="1"/>
  <c r="O14" i="1"/>
  <c r="J89" i="1"/>
  <c r="M89" i="1"/>
  <c r="L89" i="1" s="1"/>
  <c r="N89" i="1"/>
  <c r="O89" i="1"/>
  <c r="J30" i="1"/>
  <c r="M30" i="1"/>
  <c r="L30" i="1" s="1"/>
  <c r="N30" i="1"/>
  <c r="O30" i="1"/>
  <c r="J58" i="1"/>
  <c r="M58" i="1"/>
  <c r="L58" i="1" s="1"/>
  <c r="N58" i="1"/>
  <c r="O58" i="1"/>
  <c r="J208" i="1"/>
  <c r="M208" i="1"/>
  <c r="L208" i="1" s="1"/>
  <c r="N208" i="1"/>
  <c r="O208" i="1"/>
  <c r="J141" i="1"/>
  <c r="M141" i="1"/>
  <c r="L141" i="1" s="1"/>
  <c r="N141" i="1"/>
  <c r="O141" i="1"/>
  <c r="J29" i="1"/>
  <c r="M29" i="1"/>
  <c r="L29" i="1" s="1"/>
  <c r="N29" i="1"/>
  <c r="O29" i="1"/>
  <c r="J6" i="1"/>
  <c r="M6" i="1"/>
  <c r="L6" i="1" s="1"/>
  <c r="N6" i="1"/>
  <c r="O6" i="1"/>
  <c r="J177" i="1"/>
  <c r="M177" i="1"/>
  <c r="L177" i="1" s="1"/>
  <c r="N177" i="1"/>
  <c r="O177" i="1"/>
  <c r="J150" i="1"/>
  <c r="M150" i="1"/>
  <c r="L150" i="1" s="1"/>
  <c r="N150" i="1"/>
  <c r="O150" i="1"/>
  <c r="J124" i="1"/>
  <c r="M124" i="1"/>
  <c r="L124" i="1" s="1"/>
  <c r="N124" i="1"/>
  <c r="O124" i="1"/>
  <c r="J59" i="1"/>
  <c r="M59" i="1"/>
  <c r="L59" i="1" s="1"/>
  <c r="N59" i="1"/>
  <c r="O59" i="1"/>
  <c r="J132" i="1"/>
  <c r="M132" i="1"/>
  <c r="L132" i="1" s="1"/>
  <c r="N132" i="1"/>
  <c r="O132" i="1"/>
  <c r="J163" i="1"/>
  <c r="M163" i="1"/>
  <c r="L163" i="1" s="1"/>
  <c r="N163" i="1"/>
  <c r="O163" i="1"/>
  <c r="J101" i="1"/>
  <c r="M101" i="1"/>
  <c r="L101" i="1" s="1"/>
  <c r="N101" i="1"/>
  <c r="O101" i="1"/>
  <c r="J207" i="1"/>
  <c r="M207" i="1"/>
  <c r="L207" i="1" s="1"/>
  <c r="N207" i="1"/>
  <c r="O207" i="1"/>
  <c r="J94" i="1"/>
  <c r="M94" i="1"/>
  <c r="L94" i="1" s="1"/>
  <c r="N94" i="1"/>
  <c r="O94" i="1"/>
  <c r="J155" i="1"/>
  <c r="M155" i="1"/>
  <c r="L155" i="1" s="1"/>
  <c r="N155" i="1"/>
  <c r="O155" i="1"/>
  <c r="J187" i="1"/>
  <c r="M187" i="1"/>
  <c r="L187" i="1" s="1"/>
  <c r="N187" i="1"/>
  <c r="O187" i="1"/>
  <c r="J121" i="1"/>
  <c r="M121" i="1"/>
  <c r="L121" i="1" s="1"/>
  <c r="N121" i="1"/>
  <c r="O121" i="1"/>
  <c r="J28" i="1"/>
  <c r="M28" i="1"/>
  <c r="L28" i="1" s="1"/>
  <c r="N28" i="1"/>
  <c r="O28" i="1"/>
  <c r="J157" i="1"/>
  <c r="M157" i="1"/>
  <c r="L157" i="1" s="1"/>
  <c r="N157" i="1"/>
  <c r="O157" i="1"/>
  <c r="J113" i="1"/>
  <c r="M113" i="1"/>
  <c r="L113" i="1" s="1"/>
  <c r="N113" i="1"/>
  <c r="O113" i="1"/>
  <c r="J55" i="1"/>
  <c r="M55" i="1"/>
  <c r="L55" i="1" s="1"/>
  <c r="N55" i="1"/>
  <c r="O55" i="1"/>
  <c r="J134" i="1"/>
  <c r="M134" i="1"/>
  <c r="L134" i="1" s="1"/>
  <c r="N134" i="1"/>
  <c r="O134" i="1"/>
  <c r="J103" i="1"/>
  <c r="M103" i="1"/>
  <c r="L103" i="1" s="1"/>
  <c r="N103" i="1"/>
  <c r="O103" i="1"/>
  <c r="J135" i="1"/>
  <c r="M135" i="1"/>
  <c r="L135" i="1" s="1"/>
  <c r="N135" i="1"/>
  <c r="O135" i="1"/>
  <c r="J62" i="1"/>
  <c r="M62" i="1"/>
  <c r="L62" i="1" s="1"/>
  <c r="N62" i="1"/>
  <c r="O62" i="1"/>
  <c r="J23" i="1"/>
  <c r="M23" i="1"/>
  <c r="L23" i="1" s="1"/>
  <c r="N23" i="1"/>
  <c r="O23" i="1"/>
  <c r="J158" i="1"/>
  <c r="M158" i="1"/>
  <c r="L158" i="1" s="1"/>
  <c r="N158" i="1"/>
  <c r="O158" i="1"/>
  <c r="J79" i="1"/>
  <c r="M79" i="1"/>
  <c r="L79" i="1" s="1"/>
  <c r="N79" i="1"/>
  <c r="O79" i="1"/>
  <c r="J97" i="1"/>
  <c r="M97" i="1"/>
  <c r="L97" i="1" s="1"/>
  <c r="N97" i="1"/>
  <c r="O97" i="1"/>
  <c r="J73" i="1"/>
  <c r="M73" i="1"/>
  <c r="L73" i="1" s="1"/>
  <c r="N73" i="1"/>
  <c r="O73" i="1"/>
  <c r="J10" i="1"/>
  <c r="M10" i="1"/>
  <c r="L10" i="1" s="1"/>
  <c r="N10" i="1"/>
  <c r="O10" i="1"/>
  <c r="J206" i="1"/>
  <c r="M206" i="1"/>
  <c r="L206" i="1" s="1"/>
  <c r="N206" i="1"/>
  <c r="O206" i="1"/>
  <c r="J75" i="1"/>
  <c r="M75" i="1"/>
  <c r="L75" i="1" s="1"/>
  <c r="N75" i="1"/>
  <c r="O75" i="1"/>
  <c r="J83" i="1"/>
  <c r="M83" i="1"/>
  <c r="L83" i="1" s="1"/>
  <c r="N83" i="1"/>
  <c r="O83" i="1"/>
  <c r="J93" i="1"/>
  <c r="M93" i="1"/>
  <c r="L93" i="1" s="1"/>
  <c r="N93" i="1"/>
  <c r="O93" i="1"/>
  <c r="J182" i="1"/>
  <c r="M182" i="1"/>
  <c r="L182" i="1" s="1"/>
  <c r="N182" i="1"/>
  <c r="O182" i="1"/>
  <c r="J17" i="1"/>
  <c r="M17" i="1"/>
  <c r="L17" i="1" s="1"/>
  <c r="N17" i="1"/>
  <c r="O17" i="1"/>
  <c r="J140" i="1"/>
  <c r="M140" i="1"/>
  <c r="L140" i="1" s="1"/>
  <c r="N140" i="1"/>
  <c r="O140" i="1"/>
  <c r="J35" i="1"/>
  <c r="M35" i="1"/>
  <c r="L35" i="1" s="1"/>
  <c r="N35" i="1"/>
  <c r="O35" i="1"/>
  <c r="J171" i="1"/>
  <c r="M171" i="1"/>
  <c r="L171" i="1" s="1"/>
  <c r="N171" i="1"/>
  <c r="O171" i="1"/>
  <c r="J7" i="1"/>
  <c r="M7" i="1"/>
  <c r="L7" i="1" s="1"/>
  <c r="N7" i="1"/>
  <c r="O7" i="1"/>
  <c r="J110" i="1"/>
  <c r="M110" i="1"/>
  <c r="L110" i="1" s="1"/>
  <c r="N110" i="1"/>
  <c r="O110" i="1"/>
  <c r="J145" i="1"/>
  <c r="M145" i="1"/>
  <c r="L145" i="1" s="1"/>
  <c r="N145" i="1"/>
  <c r="O145" i="1"/>
  <c r="J130" i="1"/>
  <c r="M130" i="1"/>
  <c r="L130" i="1" s="1"/>
  <c r="N130" i="1"/>
  <c r="O130" i="1"/>
  <c r="J22" i="1"/>
  <c r="M22" i="1"/>
  <c r="L22" i="1" s="1"/>
  <c r="N22" i="1"/>
  <c r="O22" i="1"/>
  <c r="J112" i="1"/>
  <c r="M112" i="1"/>
  <c r="L112" i="1" s="1"/>
  <c r="N112" i="1"/>
  <c r="O112" i="1"/>
  <c r="J159" i="1"/>
  <c r="M159" i="1"/>
  <c r="L159" i="1" s="1"/>
  <c r="N159" i="1"/>
  <c r="O159" i="1"/>
  <c r="J143" i="1"/>
  <c r="M143" i="1"/>
  <c r="L143" i="1" s="1"/>
  <c r="N143" i="1"/>
  <c r="O143" i="1"/>
  <c r="J99" i="1"/>
  <c r="M99" i="1"/>
  <c r="L99" i="1" s="1"/>
  <c r="N99" i="1"/>
  <c r="O99" i="1"/>
  <c r="J167" i="1"/>
  <c r="M167" i="1"/>
  <c r="L167" i="1" s="1"/>
  <c r="N167" i="1"/>
  <c r="O167" i="1"/>
  <c r="J68" i="1"/>
  <c r="M68" i="1"/>
  <c r="L68" i="1" s="1"/>
  <c r="N68" i="1"/>
  <c r="O68" i="1"/>
  <c r="J84" i="1"/>
  <c r="M84" i="1"/>
  <c r="L84" i="1" s="1"/>
  <c r="N84" i="1"/>
  <c r="O84" i="1"/>
  <c r="J186" i="1"/>
  <c r="M186" i="1"/>
  <c r="L186" i="1" s="1"/>
  <c r="N186" i="1"/>
  <c r="O186" i="1"/>
  <c r="J189" i="1"/>
  <c r="M189" i="1"/>
  <c r="L189" i="1" s="1"/>
  <c r="N189" i="1"/>
  <c r="O189" i="1"/>
  <c r="J164" i="1"/>
  <c r="M164" i="1"/>
  <c r="L164" i="1" s="1"/>
  <c r="N164" i="1"/>
  <c r="O164" i="1"/>
  <c r="J12" i="1"/>
  <c r="M12" i="1"/>
  <c r="L12" i="1" s="1"/>
  <c r="N12" i="1"/>
  <c r="O12" i="1"/>
  <c r="J178" i="1"/>
  <c r="M178" i="1"/>
  <c r="L178" i="1" s="1"/>
  <c r="N178" i="1"/>
  <c r="O178" i="1"/>
  <c r="J119" i="1"/>
  <c r="M119" i="1"/>
  <c r="L119" i="1" s="1"/>
  <c r="N119" i="1"/>
  <c r="O119" i="1"/>
  <c r="J115" i="1"/>
  <c r="M115" i="1"/>
  <c r="L115" i="1" s="1"/>
  <c r="N115" i="1"/>
  <c r="O115" i="1"/>
  <c r="J63" i="1"/>
  <c r="M63" i="1"/>
  <c r="L63" i="1" s="1"/>
  <c r="N63" i="1"/>
  <c r="O63" i="1"/>
  <c r="J160" i="1"/>
  <c r="M160" i="1"/>
  <c r="L160" i="1" s="1"/>
  <c r="N160" i="1"/>
  <c r="O160" i="1"/>
  <c r="J82" i="1"/>
  <c r="M82" i="1"/>
  <c r="L82" i="1" s="1"/>
  <c r="N82" i="1"/>
  <c r="O82" i="1"/>
  <c r="J198" i="1"/>
  <c r="M198" i="1"/>
  <c r="L198" i="1" s="1"/>
  <c r="N198" i="1"/>
  <c r="O198" i="1"/>
  <c r="J88" i="1"/>
  <c r="M88" i="1"/>
  <c r="L88" i="1" s="1"/>
  <c r="N88" i="1"/>
  <c r="O88" i="1"/>
  <c r="J195" i="1"/>
  <c r="M195" i="1"/>
  <c r="L195" i="1" s="1"/>
  <c r="N195" i="1"/>
  <c r="O195" i="1"/>
  <c r="J32" i="1"/>
  <c r="M32" i="1"/>
  <c r="L32" i="1" s="1"/>
  <c r="N32" i="1"/>
  <c r="O32" i="1"/>
  <c r="J194" i="1"/>
  <c r="M194" i="1"/>
  <c r="L194" i="1" s="1"/>
  <c r="N194" i="1"/>
  <c r="O194" i="1"/>
  <c r="J173" i="1"/>
  <c r="M173" i="1"/>
  <c r="L173" i="1" s="1"/>
  <c r="N173" i="1"/>
  <c r="O173" i="1"/>
  <c r="J90" i="1"/>
  <c r="M90" i="1"/>
  <c r="L90" i="1" s="1"/>
  <c r="N90" i="1"/>
  <c r="O90" i="1"/>
  <c r="J102" i="1"/>
  <c r="M102" i="1"/>
  <c r="L102" i="1" s="1"/>
  <c r="N102" i="1"/>
  <c r="O102" i="1"/>
  <c r="J190" i="1"/>
  <c r="M190" i="1"/>
  <c r="L190" i="1" s="1"/>
  <c r="N190" i="1"/>
  <c r="O190" i="1"/>
  <c r="C139" i="4" l="1"/>
  <c r="C140" i="4" s="1"/>
  <c r="C141" i="4"/>
  <c r="S91" i="1"/>
  <c r="T91" i="1" s="1"/>
  <c r="S109" i="1"/>
  <c r="T109" i="1" s="1"/>
  <c r="S43" i="1"/>
  <c r="T43" i="1" s="1"/>
  <c r="S60" i="1"/>
  <c r="T60" i="1" s="1"/>
  <c r="S87" i="1"/>
  <c r="T87" i="1" s="1"/>
  <c r="S128" i="1"/>
  <c r="T128" i="1" s="1"/>
  <c r="S129" i="1"/>
  <c r="T129" i="1" s="1"/>
  <c r="S61" i="1"/>
  <c r="T61" i="1" s="1"/>
  <c r="S120" i="1"/>
  <c r="T120" i="1" s="1"/>
  <c r="S25" i="1"/>
  <c r="T25" i="1" s="1"/>
  <c r="S111" i="1"/>
  <c r="T111" i="1" s="1"/>
  <c r="S47" i="1"/>
  <c r="T47" i="1" s="1"/>
  <c r="S50" i="1"/>
  <c r="T50" i="1" s="1"/>
  <c r="S77" i="1"/>
  <c r="T77" i="1" s="1"/>
  <c r="M49" i="2"/>
  <c r="N49" i="2"/>
  <c r="O49" i="2"/>
  <c r="Q49" i="2"/>
  <c r="P49" i="2" s="1"/>
  <c r="U49" i="2" s="1"/>
  <c r="R49" i="2"/>
  <c r="S49" i="2"/>
  <c r="T49" i="2"/>
  <c r="V49" i="2"/>
  <c r="M50" i="2"/>
  <c r="N50" i="2"/>
  <c r="O50" i="2"/>
  <c r="Q50" i="2"/>
  <c r="P50" i="2" s="1"/>
  <c r="U50" i="2" s="1"/>
  <c r="R50" i="2"/>
  <c r="S50" i="2"/>
  <c r="T50" i="2"/>
  <c r="V50" i="2"/>
  <c r="M51" i="2"/>
  <c r="N51" i="2"/>
  <c r="O51" i="2"/>
  <c r="Q51" i="2"/>
  <c r="P51" i="2" s="1"/>
  <c r="U51" i="2" s="1"/>
  <c r="R51" i="2"/>
  <c r="S51" i="2"/>
  <c r="T51" i="2"/>
  <c r="V51" i="2"/>
  <c r="M52" i="2"/>
  <c r="N52" i="2"/>
  <c r="O52" i="2"/>
  <c r="Q52" i="2"/>
  <c r="P52" i="2" s="1"/>
  <c r="U52" i="2" s="1"/>
  <c r="R52" i="2"/>
  <c r="S52" i="2"/>
  <c r="T52" i="2"/>
  <c r="V52" i="2"/>
  <c r="M53" i="2"/>
  <c r="N53" i="2"/>
  <c r="O53" i="2"/>
  <c r="Q53" i="2"/>
  <c r="P53" i="2" s="1"/>
  <c r="U53" i="2" s="1"/>
  <c r="R53" i="2"/>
  <c r="S53" i="2"/>
  <c r="T53" i="2"/>
  <c r="V53" i="2"/>
  <c r="M54" i="2"/>
  <c r="N54" i="2"/>
  <c r="O54" i="2"/>
  <c r="Q54" i="2"/>
  <c r="P54" i="2" s="1"/>
  <c r="U54" i="2" s="1"/>
  <c r="R54" i="2"/>
  <c r="S54" i="2"/>
  <c r="T54" i="2"/>
  <c r="V54" i="2"/>
  <c r="M55" i="2"/>
  <c r="N55" i="2"/>
  <c r="O55" i="2"/>
  <c r="Q55" i="2"/>
  <c r="P55" i="2" s="1"/>
  <c r="U55" i="2" s="1"/>
  <c r="R55" i="2"/>
  <c r="S55" i="2"/>
  <c r="T55" i="2"/>
  <c r="V55" i="2"/>
  <c r="M56" i="2"/>
  <c r="N56" i="2"/>
  <c r="O56" i="2"/>
  <c r="Q56" i="2"/>
  <c r="P56" i="2" s="1"/>
  <c r="U56" i="2" s="1"/>
  <c r="R56" i="2"/>
  <c r="S56" i="2"/>
  <c r="T56" i="2"/>
  <c r="V56" i="2"/>
  <c r="M57" i="2"/>
  <c r="N57" i="2"/>
  <c r="O57" i="2"/>
  <c r="Q57" i="2"/>
  <c r="P57" i="2" s="1"/>
  <c r="U57" i="2" s="1"/>
  <c r="R57" i="2"/>
  <c r="S57" i="2"/>
  <c r="T57" i="2"/>
  <c r="V57" i="2"/>
  <c r="M58" i="2"/>
  <c r="N58" i="2"/>
  <c r="O58" i="2"/>
  <c r="Q58" i="2"/>
  <c r="P58" i="2" s="1"/>
  <c r="U58" i="2" s="1"/>
  <c r="R58" i="2"/>
  <c r="S58" i="2"/>
  <c r="T58" i="2"/>
  <c r="V58" i="2"/>
  <c r="M59" i="2"/>
  <c r="N59" i="2"/>
  <c r="O59" i="2"/>
  <c r="Q59" i="2"/>
  <c r="P59" i="2" s="1"/>
  <c r="U59" i="2" s="1"/>
  <c r="R59" i="2"/>
  <c r="S59" i="2"/>
  <c r="T59" i="2"/>
  <c r="V59" i="2"/>
  <c r="B134" i="4" l="1"/>
  <c r="B133" i="4"/>
  <c r="W51" i="2"/>
  <c r="X51" i="2" s="1"/>
  <c r="W58" i="2"/>
  <c r="X58" i="2" s="1"/>
  <c r="W54" i="2"/>
  <c r="X54" i="2" s="1"/>
  <c r="W56" i="2"/>
  <c r="X56" i="2" s="1"/>
  <c r="W50" i="2"/>
  <c r="X50" i="2" s="1"/>
  <c r="W59" i="2"/>
  <c r="X59" i="2" s="1"/>
  <c r="W52" i="2"/>
  <c r="X52" i="2" s="1"/>
  <c r="W53" i="2"/>
  <c r="X53" i="2" s="1"/>
  <c r="W49" i="2"/>
  <c r="X49" i="2" s="1"/>
  <c r="W55" i="2"/>
  <c r="X55" i="2" s="1"/>
  <c r="W57" i="2"/>
  <c r="X57" i="2" s="1"/>
  <c r="J131" i="3"/>
  <c r="J143" i="3"/>
  <c r="F111" i="3"/>
  <c r="E110" i="3"/>
  <c r="B135" i="4" l="1"/>
  <c r="B136" i="4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E102" i="4" l="1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B138" i="4" l="1"/>
  <c r="B137" i="4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B139" i="4" l="1"/>
  <c r="B140" i="4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B141" i="4" l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30" i="3"/>
  <c r="F80" i="3"/>
  <c r="F81" i="3"/>
  <c r="F82" i="3"/>
  <c r="F83" i="3"/>
  <c r="F84" i="3"/>
  <c r="F85" i="3"/>
  <c r="F86" i="3"/>
  <c r="F87" i="3"/>
  <c r="F88" i="3"/>
  <c r="D2" i="3"/>
  <c r="B215" i="1"/>
  <c r="C215" i="1"/>
  <c r="D215" i="1"/>
  <c r="E215" i="1"/>
  <c r="F215" i="1"/>
  <c r="G215" i="1"/>
  <c r="H215" i="1"/>
  <c r="I215" i="1"/>
  <c r="E15" i="3" l="1"/>
  <c r="E75" i="4"/>
  <c r="F75" i="4" s="1"/>
  <c r="F75" i="3"/>
  <c r="F76" i="3"/>
  <c r="F77" i="3"/>
  <c r="F78" i="3"/>
  <c r="F79" i="3"/>
  <c r="E74" i="4" l="1"/>
  <c r="F74" i="4" s="1"/>
  <c r="D73" i="4"/>
  <c r="F74" i="3"/>
  <c r="L123" i="3"/>
  <c r="M123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41" i="3"/>
  <c r="F32" i="3"/>
  <c r="F31" i="3"/>
  <c r="I139" i="3"/>
  <c r="J139" i="3" s="1"/>
  <c r="F30" i="3"/>
  <c r="I138" i="3"/>
  <c r="J138" i="3" s="1"/>
  <c r="F29" i="3"/>
  <c r="I137" i="3"/>
  <c r="J137" i="3" s="1"/>
  <c r="F28" i="3"/>
  <c r="I136" i="3"/>
  <c r="J136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29" i="3"/>
  <c r="J128" i="3"/>
  <c r="I127" i="3"/>
  <c r="I126" i="3"/>
  <c r="J126" i="3" s="1"/>
  <c r="I125" i="3"/>
  <c r="G7" i="3"/>
  <c r="G9" i="3" s="1"/>
  <c r="F7" i="3"/>
  <c r="I124" i="3"/>
  <c r="J124" i="3" s="1"/>
  <c r="G6" i="3"/>
  <c r="F6" i="3"/>
  <c r="K123" i="3"/>
  <c r="V43" i="2"/>
  <c r="T43" i="2"/>
  <c r="S43" i="2"/>
  <c r="R43" i="2"/>
  <c r="Q43" i="2"/>
  <c r="P43" i="2" s="1"/>
  <c r="U43" i="2" s="1"/>
  <c r="O43" i="2"/>
  <c r="N43" i="2"/>
  <c r="M43" i="2"/>
  <c r="V41" i="2"/>
  <c r="T41" i="2"/>
  <c r="S41" i="2"/>
  <c r="R41" i="2"/>
  <c r="Q41" i="2"/>
  <c r="P41" i="2" s="1"/>
  <c r="U41" i="2" s="1"/>
  <c r="O41" i="2"/>
  <c r="N41" i="2"/>
  <c r="M41" i="2"/>
  <c r="V34" i="2"/>
  <c r="T34" i="2"/>
  <c r="S34" i="2"/>
  <c r="R34" i="2"/>
  <c r="Q34" i="2"/>
  <c r="P34" i="2" s="1"/>
  <c r="U34" i="2" s="1"/>
  <c r="O34" i="2"/>
  <c r="N34" i="2"/>
  <c r="M34" i="2"/>
  <c r="V38" i="2"/>
  <c r="T38" i="2"/>
  <c r="S38" i="2"/>
  <c r="R38" i="2"/>
  <c r="Q38" i="2"/>
  <c r="P38" i="2" s="1"/>
  <c r="U38" i="2" s="1"/>
  <c r="O38" i="2"/>
  <c r="N38" i="2"/>
  <c r="M38" i="2"/>
  <c r="V42" i="2"/>
  <c r="T42" i="2"/>
  <c r="S42" i="2"/>
  <c r="R42" i="2"/>
  <c r="Q42" i="2"/>
  <c r="P42" i="2" s="1"/>
  <c r="U42" i="2" s="1"/>
  <c r="O42" i="2"/>
  <c r="N42" i="2"/>
  <c r="M42" i="2"/>
  <c r="V28" i="2"/>
  <c r="T28" i="2"/>
  <c r="S28" i="2"/>
  <c r="R28" i="2"/>
  <c r="Q28" i="2"/>
  <c r="P28" i="2" s="1"/>
  <c r="U28" i="2" s="1"/>
  <c r="O28" i="2"/>
  <c r="N28" i="2"/>
  <c r="M28" i="2"/>
  <c r="V14" i="2"/>
  <c r="T14" i="2"/>
  <c r="S14" i="2"/>
  <c r="R14" i="2"/>
  <c r="Q14" i="2"/>
  <c r="P14" i="2" s="1"/>
  <c r="U14" i="2" s="1"/>
  <c r="O14" i="2"/>
  <c r="N14" i="2"/>
  <c r="M14" i="2"/>
  <c r="V39" i="2"/>
  <c r="T39" i="2"/>
  <c r="S39" i="2"/>
  <c r="R39" i="2"/>
  <c r="Q39" i="2"/>
  <c r="P39" i="2" s="1"/>
  <c r="U39" i="2" s="1"/>
  <c r="O39" i="2"/>
  <c r="N39" i="2"/>
  <c r="M39" i="2"/>
  <c r="V15" i="2"/>
  <c r="T15" i="2"/>
  <c r="S15" i="2"/>
  <c r="R15" i="2"/>
  <c r="Q15" i="2"/>
  <c r="P15" i="2" s="1"/>
  <c r="U15" i="2" s="1"/>
  <c r="O15" i="2"/>
  <c r="N15" i="2"/>
  <c r="M15" i="2"/>
  <c r="V16" i="2"/>
  <c r="T16" i="2"/>
  <c r="S16" i="2"/>
  <c r="R16" i="2"/>
  <c r="Q16" i="2"/>
  <c r="P16" i="2" s="1"/>
  <c r="U16" i="2" s="1"/>
  <c r="O16" i="2"/>
  <c r="N16" i="2"/>
  <c r="M16" i="2"/>
  <c r="V18" i="2"/>
  <c r="T18" i="2"/>
  <c r="S18" i="2"/>
  <c r="R18" i="2"/>
  <c r="Q18" i="2"/>
  <c r="P18" i="2" s="1"/>
  <c r="U18" i="2" s="1"/>
  <c r="O18" i="2"/>
  <c r="N18" i="2"/>
  <c r="M18" i="2"/>
  <c r="V9" i="2"/>
  <c r="T9" i="2"/>
  <c r="S9" i="2"/>
  <c r="R9" i="2"/>
  <c r="Q9" i="2"/>
  <c r="P9" i="2" s="1"/>
  <c r="U9" i="2" s="1"/>
  <c r="O9" i="2"/>
  <c r="N9" i="2"/>
  <c r="M9" i="2"/>
  <c r="V27" i="2"/>
  <c r="T27" i="2"/>
  <c r="S27" i="2"/>
  <c r="R27" i="2"/>
  <c r="Q27" i="2"/>
  <c r="P27" i="2" s="1"/>
  <c r="U27" i="2" s="1"/>
  <c r="O27" i="2"/>
  <c r="N27" i="2"/>
  <c r="M27" i="2"/>
  <c r="V29" i="2"/>
  <c r="T29" i="2"/>
  <c r="S29" i="2"/>
  <c r="R29" i="2"/>
  <c r="Q29" i="2"/>
  <c r="P29" i="2" s="1"/>
  <c r="U29" i="2" s="1"/>
  <c r="O29" i="2"/>
  <c r="N29" i="2"/>
  <c r="M29" i="2"/>
  <c r="V5" i="2"/>
  <c r="T5" i="2"/>
  <c r="S5" i="2"/>
  <c r="R5" i="2"/>
  <c r="Q5" i="2"/>
  <c r="P5" i="2" s="1"/>
  <c r="U5" i="2" s="1"/>
  <c r="O5" i="2"/>
  <c r="N5" i="2"/>
  <c r="M5" i="2"/>
  <c r="V23" i="2"/>
  <c r="T23" i="2"/>
  <c r="S23" i="2"/>
  <c r="R23" i="2"/>
  <c r="Q23" i="2"/>
  <c r="P23" i="2" s="1"/>
  <c r="U23" i="2" s="1"/>
  <c r="O23" i="2"/>
  <c r="N23" i="2"/>
  <c r="M23" i="2"/>
  <c r="V20" i="2"/>
  <c r="T20" i="2"/>
  <c r="S20" i="2"/>
  <c r="R20" i="2"/>
  <c r="Q20" i="2"/>
  <c r="P20" i="2" s="1"/>
  <c r="U20" i="2" s="1"/>
  <c r="O20" i="2"/>
  <c r="N20" i="2"/>
  <c r="M20" i="2"/>
  <c r="V37" i="2"/>
  <c r="T37" i="2"/>
  <c r="S37" i="2"/>
  <c r="R37" i="2"/>
  <c r="Q37" i="2"/>
  <c r="P37" i="2" s="1"/>
  <c r="U37" i="2" s="1"/>
  <c r="O37" i="2"/>
  <c r="N37" i="2"/>
  <c r="M37" i="2"/>
  <c r="V10" i="2"/>
  <c r="T10" i="2"/>
  <c r="S10" i="2"/>
  <c r="R10" i="2"/>
  <c r="Q10" i="2"/>
  <c r="P10" i="2" s="1"/>
  <c r="U10" i="2" s="1"/>
  <c r="O10" i="2"/>
  <c r="N10" i="2"/>
  <c r="M10" i="2"/>
  <c r="V4" i="2"/>
  <c r="T4" i="2"/>
  <c r="S4" i="2"/>
  <c r="R4" i="2"/>
  <c r="Q4" i="2"/>
  <c r="P4" i="2" s="1"/>
  <c r="U4" i="2" s="1"/>
  <c r="O4" i="2"/>
  <c r="N4" i="2"/>
  <c r="M4" i="2"/>
  <c r="V33" i="2"/>
  <c r="T33" i="2"/>
  <c r="S33" i="2"/>
  <c r="R33" i="2"/>
  <c r="Q33" i="2"/>
  <c r="P33" i="2" s="1"/>
  <c r="U33" i="2" s="1"/>
  <c r="O33" i="2"/>
  <c r="N33" i="2"/>
  <c r="M33" i="2"/>
  <c r="V11" i="2"/>
  <c r="T11" i="2"/>
  <c r="S11" i="2"/>
  <c r="R11" i="2"/>
  <c r="Q11" i="2"/>
  <c r="P11" i="2" s="1"/>
  <c r="U11" i="2" s="1"/>
  <c r="O11" i="2"/>
  <c r="N11" i="2"/>
  <c r="M11" i="2"/>
  <c r="V24" i="2"/>
  <c r="T24" i="2"/>
  <c r="S24" i="2"/>
  <c r="R24" i="2"/>
  <c r="Q24" i="2"/>
  <c r="P24" i="2" s="1"/>
  <c r="U24" i="2" s="1"/>
  <c r="O24" i="2"/>
  <c r="N24" i="2"/>
  <c r="M24" i="2"/>
  <c r="V45" i="2"/>
  <c r="T45" i="2"/>
  <c r="S45" i="2"/>
  <c r="R45" i="2"/>
  <c r="Q45" i="2"/>
  <c r="P45" i="2" s="1"/>
  <c r="U45" i="2" s="1"/>
  <c r="O45" i="2"/>
  <c r="N45" i="2"/>
  <c r="M45" i="2"/>
  <c r="V44" i="2"/>
  <c r="T44" i="2"/>
  <c r="S44" i="2"/>
  <c r="R44" i="2"/>
  <c r="Q44" i="2"/>
  <c r="P44" i="2" s="1"/>
  <c r="U44" i="2" s="1"/>
  <c r="O44" i="2"/>
  <c r="N44" i="2"/>
  <c r="M44" i="2"/>
  <c r="V3" i="2"/>
  <c r="T3" i="2"/>
  <c r="S3" i="2"/>
  <c r="R3" i="2"/>
  <c r="Q3" i="2"/>
  <c r="P3" i="2" s="1"/>
  <c r="U3" i="2" s="1"/>
  <c r="O3" i="2"/>
  <c r="N3" i="2"/>
  <c r="M3" i="2"/>
  <c r="V31" i="2"/>
  <c r="T31" i="2"/>
  <c r="S31" i="2"/>
  <c r="R31" i="2"/>
  <c r="Q31" i="2"/>
  <c r="P31" i="2" s="1"/>
  <c r="U31" i="2" s="1"/>
  <c r="O31" i="2"/>
  <c r="N31" i="2"/>
  <c r="M31" i="2"/>
  <c r="V25" i="2"/>
  <c r="T25" i="2"/>
  <c r="S25" i="2"/>
  <c r="R25" i="2"/>
  <c r="Q25" i="2"/>
  <c r="P25" i="2" s="1"/>
  <c r="U25" i="2" s="1"/>
  <c r="O25" i="2"/>
  <c r="N25" i="2"/>
  <c r="M25" i="2"/>
  <c r="V21" i="2"/>
  <c r="T21" i="2"/>
  <c r="S21" i="2"/>
  <c r="R21" i="2"/>
  <c r="Q21" i="2"/>
  <c r="P21" i="2" s="1"/>
  <c r="U21" i="2" s="1"/>
  <c r="O21" i="2"/>
  <c r="N21" i="2"/>
  <c r="M21" i="2"/>
  <c r="V22" i="2"/>
  <c r="T22" i="2"/>
  <c r="S22" i="2"/>
  <c r="R22" i="2"/>
  <c r="Q22" i="2"/>
  <c r="P22" i="2" s="1"/>
  <c r="U22" i="2" s="1"/>
  <c r="O22" i="2"/>
  <c r="N22" i="2"/>
  <c r="M22" i="2"/>
  <c r="V46" i="2"/>
  <c r="T46" i="2"/>
  <c r="S46" i="2"/>
  <c r="R46" i="2"/>
  <c r="Q46" i="2"/>
  <c r="P46" i="2" s="1"/>
  <c r="U46" i="2" s="1"/>
  <c r="O46" i="2"/>
  <c r="N46" i="2"/>
  <c r="M46" i="2"/>
  <c r="V48" i="2"/>
  <c r="T48" i="2"/>
  <c r="S48" i="2"/>
  <c r="R48" i="2"/>
  <c r="Q48" i="2"/>
  <c r="P48" i="2" s="1"/>
  <c r="U48" i="2" s="1"/>
  <c r="O48" i="2"/>
  <c r="N48" i="2"/>
  <c r="M48" i="2"/>
  <c r="V13" i="2"/>
  <c r="T13" i="2"/>
  <c r="S13" i="2"/>
  <c r="R13" i="2"/>
  <c r="Q13" i="2"/>
  <c r="P13" i="2" s="1"/>
  <c r="U13" i="2" s="1"/>
  <c r="O13" i="2"/>
  <c r="N13" i="2"/>
  <c r="M13" i="2"/>
  <c r="V19" i="2"/>
  <c r="T19" i="2"/>
  <c r="S19" i="2"/>
  <c r="R19" i="2"/>
  <c r="Q19" i="2"/>
  <c r="P19" i="2" s="1"/>
  <c r="U19" i="2" s="1"/>
  <c r="O19" i="2"/>
  <c r="N19" i="2"/>
  <c r="M19" i="2"/>
  <c r="V36" i="2"/>
  <c r="T36" i="2"/>
  <c r="S36" i="2"/>
  <c r="R36" i="2"/>
  <c r="Q36" i="2"/>
  <c r="P36" i="2" s="1"/>
  <c r="U36" i="2" s="1"/>
  <c r="O36" i="2"/>
  <c r="N36" i="2"/>
  <c r="M36" i="2"/>
  <c r="V17" i="2"/>
  <c r="T17" i="2"/>
  <c r="S17" i="2"/>
  <c r="R17" i="2"/>
  <c r="Q17" i="2"/>
  <c r="P17" i="2" s="1"/>
  <c r="U17" i="2" s="1"/>
  <c r="O17" i="2"/>
  <c r="N17" i="2"/>
  <c r="M17" i="2"/>
  <c r="V8" i="2"/>
  <c r="T8" i="2"/>
  <c r="S8" i="2"/>
  <c r="R8" i="2"/>
  <c r="Q8" i="2"/>
  <c r="P8" i="2" s="1"/>
  <c r="U8" i="2" s="1"/>
  <c r="O8" i="2"/>
  <c r="N8" i="2"/>
  <c r="M8" i="2"/>
  <c r="V30" i="2"/>
  <c r="T30" i="2"/>
  <c r="S30" i="2"/>
  <c r="R30" i="2"/>
  <c r="Q30" i="2"/>
  <c r="P30" i="2" s="1"/>
  <c r="U30" i="2" s="1"/>
  <c r="O30" i="2"/>
  <c r="N30" i="2"/>
  <c r="M30" i="2"/>
  <c r="V6" i="2"/>
  <c r="T6" i="2"/>
  <c r="S6" i="2"/>
  <c r="R6" i="2"/>
  <c r="Q6" i="2"/>
  <c r="P6" i="2" s="1"/>
  <c r="U6" i="2" s="1"/>
  <c r="O6" i="2"/>
  <c r="N6" i="2"/>
  <c r="M6" i="2"/>
  <c r="V12" i="2"/>
  <c r="T12" i="2"/>
  <c r="S12" i="2"/>
  <c r="R12" i="2"/>
  <c r="Q12" i="2"/>
  <c r="P12" i="2" s="1"/>
  <c r="U12" i="2" s="1"/>
  <c r="O12" i="2"/>
  <c r="N12" i="2"/>
  <c r="M12" i="2"/>
  <c r="V26" i="2"/>
  <c r="T26" i="2"/>
  <c r="S26" i="2"/>
  <c r="R26" i="2"/>
  <c r="Q26" i="2"/>
  <c r="P26" i="2" s="1"/>
  <c r="U26" i="2" s="1"/>
  <c r="O26" i="2"/>
  <c r="N26" i="2"/>
  <c r="M26" i="2"/>
  <c r="V7" i="2"/>
  <c r="T7" i="2"/>
  <c r="S7" i="2"/>
  <c r="R7" i="2"/>
  <c r="Q7" i="2"/>
  <c r="P7" i="2" s="1"/>
  <c r="U7" i="2" s="1"/>
  <c r="O7" i="2"/>
  <c r="N7" i="2"/>
  <c r="M7" i="2"/>
  <c r="V2" i="2"/>
  <c r="T2" i="2"/>
  <c r="S2" i="2"/>
  <c r="R2" i="2"/>
  <c r="Q2" i="2"/>
  <c r="P2" i="2" s="1"/>
  <c r="U2" i="2" s="1"/>
  <c r="O2" i="2"/>
  <c r="N2" i="2"/>
  <c r="M2" i="2"/>
  <c r="V40" i="2"/>
  <c r="T40" i="2"/>
  <c r="S40" i="2"/>
  <c r="R40" i="2"/>
  <c r="Q40" i="2"/>
  <c r="P40" i="2" s="1"/>
  <c r="U40" i="2" s="1"/>
  <c r="O40" i="2"/>
  <c r="N40" i="2"/>
  <c r="M40" i="2"/>
  <c r="V47" i="2"/>
  <c r="T47" i="2"/>
  <c r="S47" i="2"/>
  <c r="R47" i="2"/>
  <c r="Q47" i="2"/>
  <c r="P47" i="2" s="1"/>
  <c r="U47" i="2" s="1"/>
  <c r="O47" i="2"/>
  <c r="N47" i="2"/>
  <c r="M47" i="2"/>
  <c r="V32" i="2"/>
  <c r="T32" i="2"/>
  <c r="S32" i="2"/>
  <c r="R32" i="2"/>
  <c r="Q32" i="2"/>
  <c r="P32" i="2" s="1"/>
  <c r="U32" i="2" s="1"/>
  <c r="O32" i="2"/>
  <c r="N32" i="2"/>
  <c r="M32" i="2"/>
  <c r="V35" i="2"/>
  <c r="T35" i="2"/>
  <c r="S35" i="2"/>
  <c r="R35" i="2"/>
  <c r="Q35" i="2"/>
  <c r="P35" i="2" s="1"/>
  <c r="U35" i="2" s="1"/>
  <c r="O35" i="2"/>
  <c r="N35" i="2"/>
  <c r="M35" i="2"/>
  <c r="R28" i="1"/>
  <c r="P28" i="1"/>
  <c r="Q28" i="1"/>
  <c r="R31" i="1"/>
  <c r="P31" i="1"/>
  <c r="Q31" i="1"/>
  <c r="R153" i="1"/>
  <c r="P153" i="1"/>
  <c r="Q153" i="1"/>
  <c r="R198" i="1"/>
  <c r="P198" i="1"/>
  <c r="Q198" i="1"/>
  <c r="R105" i="1"/>
  <c r="P105" i="1"/>
  <c r="Q105" i="1"/>
  <c r="R7" i="1"/>
  <c r="P7" i="1"/>
  <c r="Q7" i="1"/>
  <c r="R184" i="1"/>
  <c r="P184" i="1"/>
  <c r="Q184" i="1"/>
  <c r="R90" i="1"/>
  <c r="P90" i="1"/>
  <c r="Q90" i="1"/>
  <c r="R151" i="1"/>
  <c r="P151" i="1"/>
  <c r="Q151" i="1"/>
  <c r="R57" i="1"/>
  <c r="P57" i="1"/>
  <c r="Q57" i="1"/>
  <c r="R196" i="1"/>
  <c r="P196" i="1"/>
  <c r="Q196" i="1"/>
  <c r="R190" i="1"/>
  <c r="P190" i="1"/>
  <c r="Q190" i="1"/>
  <c r="R115" i="1"/>
  <c r="P115" i="1"/>
  <c r="Q115" i="1"/>
  <c r="R56" i="1"/>
  <c r="P56" i="1"/>
  <c r="Q56" i="1"/>
  <c r="R51" i="1"/>
  <c r="P51" i="1"/>
  <c r="Q51" i="1"/>
  <c r="R142" i="1"/>
  <c r="P142" i="1"/>
  <c r="Q142" i="1"/>
  <c r="R110" i="1"/>
  <c r="P110" i="1"/>
  <c r="Q110" i="1"/>
  <c r="R180" i="1"/>
  <c r="P180" i="1"/>
  <c r="Q180" i="1"/>
  <c r="R2" i="1"/>
  <c r="P2" i="1"/>
  <c r="Q2" i="1"/>
  <c r="R84" i="1"/>
  <c r="P84" i="1"/>
  <c r="Q84" i="1"/>
  <c r="R152" i="1"/>
  <c r="P152" i="1"/>
  <c r="Q152" i="1"/>
  <c r="R69" i="1"/>
  <c r="P69" i="1"/>
  <c r="Q69" i="1"/>
  <c r="R97" i="1"/>
  <c r="P97" i="1"/>
  <c r="Q97" i="1"/>
  <c r="R103" i="1"/>
  <c r="P103" i="1"/>
  <c r="Q103" i="1"/>
  <c r="R15" i="1"/>
  <c r="P15" i="1"/>
  <c r="Q15" i="1"/>
  <c r="R80" i="1"/>
  <c r="P80" i="1"/>
  <c r="Q80" i="1"/>
  <c r="R204" i="1"/>
  <c r="P204" i="1"/>
  <c r="Q204" i="1"/>
  <c r="R19" i="1"/>
  <c r="P19" i="1"/>
  <c r="Q19" i="1"/>
  <c r="R34" i="1"/>
  <c r="P34" i="1"/>
  <c r="Q34" i="1"/>
  <c r="R207" i="1"/>
  <c r="P207" i="1"/>
  <c r="Q207" i="1"/>
  <c r="R135" i="1"/>
  <c r="P135" i="1"/>
  <c r="Q135" i="1"/>
  <c r="R203" i="1"/>
  <c r="P203" i="1"/>
  <c r="Q203" i="1"/>
  <c r="R42" i="1"/>
  <c r="P42" i="1"/>
  <c r="Q42" i="1"/>
  <c r="R106" i="1"/>
  <c r="P106" i="1"/>
  <c r="Q106" i="1"/>
  <c r="R12" i="1"/>
  <c r="P12" i="1"/>
  <c r="Q12" i="1"/>
  <c r="R64" i="1"/>
  <c r="P64" i="1"/>
  <c r="Q64" i="1"/>
  <c r="R38" i="1"/>
  <c r="P38" i="1"/>
  <c r="Q38" i="1"/>
  <c r="R136" i="1"/>
  <c r="P136" i="1"/>
  <c r="Q136" i="1"/>
  <c r="R55" i="1"/>
  <c r="P55" i="1"/>
  <c r="Q55" i="1"/>
  <c r="R49" i="1"/>
  <c r="P49" i="1"/>
  <c r="Q49" i="1"/>
  <c r="R45" i="1"/>
  <c r="P45" i="1"/>
  <c r="Q45" i="1"/>
  <c r="R143" i="1"/>
  <c r="P143" i="1"/>
  <c r="Q143" i="1"/>
  <c r="R65" i="1"/>
  <c r="P65" i="1"/>
  <c r="Q65" i="1"/>
  <c r="R67" i="1"/>
  <c r="P67" i="1"/>
  <c r="Q67" i="1"/>
  <c r="R70" i="1"/>
  <c r="P70" i="1"/>
  <c r="Q70" i="1"/>
  <c r="R160" i="1"/>
  <c r="P160" i="1"/>
  <c r="Q160" i="1"/>
  <c r="R10" i="1"/>
  <c r="P10" i="1"/>
  <c r="Q10" i="1"/>
  <c r="R85" i="1"/>
  <c r="P85" i="1"/>
  <c r="Q85" i="1"/>
  <c r="R20" i="1"/>
  <c r="P20" i="1"/>
  <c r="Q20" i="1"/>
  <c r="R154" i="1"/>
  <c r="P154" i="1"/>
  <c r="Q154" i="1"/>
  <c r="R95" i="1"/>
  <c r="P95" i="1"/>
  <c r="Q95" i="1"/>
  <c r="R37" i="1"/>
  <c r="P37" i="1"/>
  <c r="Q37" i="1"/>
  <c r="R52" i="1"/>
  <c r="P52" i="1"/>
  <c r="Q52" i="1"/>
  <c r="R79" i="1"/>
  <c r="P79" i="1"/>
  <c r="Q79" i="1"/>
  <c r="R9" i="1"/>
  <c r="P9" i="1"/>
  <c r="Q9" i="1"/>
  <c r="R32" i="1"/>
  <c r="P32" i="1"/>
  <c r="Q32" i="1"/>
  <c r="R182" i="1"/>
  <c r="P182" i="1"/>
  <c r="Q182" i="1"/>
  <c r="R178" i="1"/>
  <c r="P178" i="1"/>
  <c r="Q178" i="1"/>
  <c r="R162" i="1"/>
  <c r="P162" i="1"/>
  <c r="Q162" i="1"/>
  <c r="R39" i="1"/>
  <c r="P39" i="1"/>
  <c r="Q39" i="1"/>
  <c r="R137" i="1"/>
  <c r="P137" i="1"/>
  <c r="Q137" i="1"/>
  <c r="R82" i="1"/>
  <c r="P82" i="1"/>
  <c r="Q82" i="1"/>
  <c r="R66" i="1"/>
  <c r="P66" i="1"/>
  <c r="Q66" i="1"/>
  <c r="R139" i="1"/>
  <c r="P139" i="1"/>
  <c r="Q139" i="1"/>
  <c r="R170" i="1"/>
  <c r="P170" i="1"/>
  <c r="Q170" i="1"/>
  <c r="R149" i="1"/>
  <c r="P149" i="1"/>
  <c r="Q149" i="1"/>
  <c r="R168" i="1"/>
  <c r="P168" i="1"/>
  <c r="Q168" i="1"/>
  <c r="R167" i="1"/>
  <c r="P167" i="1"/>
  <c r="Q167" i="1"/>
  <c r="R201" i="1"/>
  <c r="P201" i="1"/>
  <c r="Q201" i="1"/>
  <c r="R98" i="1"/>
  <c r="P98" i="1"/>
  <c r="Q98" i="1"/>
  <c r="R188" i="1"/>
  <c r="P188" i="1"/>
  <c r="Q188" i="1"/>
  <c r="R145" i="1"/>
  <c r="P145" i="1"/>
  <c r="Q145" i="1"/>
  <c r="R134" i="1"/>
  <c r="P134" i="1"/>
  <c r="Q134" i="1"/>
  <c r="R72" i="1"/>
  <c r="P72" i="1"/>
  <c r="Q72" i="1"/>
  <c r="R21" i="1"/>
  <c r="P21" i="1"/>
  <c r="Q21" i="1"/>
  <c r="R171" i="1"/>
  <c r="P171" i="1"/>
  <c r="Q171" i="1"/>
  <c r="R138" i="1"/>
  <c r="P138" i="1"/>
  <c r="Q138" i="1"/>
  <c r="R127" i="1"/>
  <c r="P127" i="1"/>
  <c r="Q127" i="1"/>
  <c r="R76" i="1"/>
  <c r="P76" i="1"/>
  <c r="Q76" i="1"/>
  <c r="R14" i="1"/>
  <c r="P14" i="1"/>
  <c r="Q14" i="1"/>
  <c r="R89" i="1"/>
  <c r="P89" i="1"/>
  <c r="Q89" i="1"/>
  <c r="R114" i="1"/>
  <c r="P114" i="1"/>
  <c r="Q114" i="1"/>
  <c r="R147" i="1"/>
  <c r="P147" i="1"/>
  <c r="Q147" i="1"/>
  <c r="R17" i="1"/>
  <c r="P17" i="1"/>
  <c r="Q17" i="1"/>
  <c r="R205" i="1"/>
  <c r="P205" i="1"/>
  <c r="Q205" i="1"/>
  <c r="R104" i="1"/>
  <c r="P104" i="1"/>
  <c r="Q104" i="1"/>
  <c r="R58" i="1"/>
  <c r="P58" i="1"/>
  <c r="Q58" i="1"/>
  <c r="R54" i="1"/>
  <c r="P54" i="1"/>
  <c r="Q54" i="1"/>
  <c r="R126" i="1"/>
  <c r="P126" i="1"/>
  <c r="Q126" i="1"/>
  <c r="R29" i="1"/>
  <c r="P29" i="1"/>
  <c r="Q29" i="1"/>
  <c r="R11" i="1"/>
  <c r="P11" i="1"/>
  <c r="Q11" i="1"/>
  <c r="R36" i="1"/>
  <c r="P36" i="1"/>
  <c r="Q36" i="1"/>
  <c r="R53" i="1"/>
  <c r="P53" i="1"/>
  <c r="Q53" i="1"/>
  <c r="R117" i="1"/>
  <c r="P117" i="1"/>
  <c r="Q117" i="1"/>
  <c r="R176" i="1"/>
  <c r="P176" i="1"/>
  <c r="R6" i="1"/>
  <c r="P6" i="1"/>
  <c r="Q6" i="1"/>
  <c r="R202" i="1"/>
  <c r="P202" i="1"/>
  <c r="Q202" i="1"/>
  <c r="R172" i="1"/>
  <c r="P172" i="1"/>
  <c r="Q172" i="1"/>
  <c r="R13" i="1"/>
  <c r="P13" i="1"/>
  <c r="Q13" i="1"/>
  <c r="R194" i="1"/>
  <c r="P194" i="1"/>
  <c r="Q194" i="1"/>
  <c r="R130" i="1"/>
  <c r="P130" i="1"/>
  <c r="Q130" i="1"/>
  <c r="R71" i="1"/>
  <c r="P71" i="1"/>
  <c r="Q71" i="1"/>
  <c r="R119" i="1"/>
  <c r="P119" i="1"/>
  <c r="Q119" i="1"/>
  <c r="R18" i="1"/>
  <c r="P18" i="1"/>
  <c r="Q18" i="1"/>
  <c r="R118" i="1"/>
  <c r="P118" i="1"/>
  <c r="Q118" i="1"/>
  <c r="R189" i="1"/>
  <c r="P189" i="1"/>
  <c r="Q189" i="1"/>
  <c r="R108" i="1"/>
  <c r="P108" i="1"/>
  <c r="Q108" i="1"/>
  <c r="R125" i="1"/>
  <c r="P125" i="1"/>
  <c r="Q125" i="1"/>
  <c r="R78" i="1"/>
  <c r="P78" i="1"/>
  <c r="Q78" i="1"/>
  <c r="R116" i="1"/>
  <c r="P116" i="1"/>
  <c r="Q116" i="1"/>
  <c r="R102" i="1"/>
  <c r="P102" i="1"/>
  <c r="Q102" i="1"/>
  <c r="R193" i="1"/>
  <c r="P193" i="1"/>
  <c r="Q193" i="1"/>
  <c r="R173" i="1"/>
  <c r="P173" i="1"/>
  <c r="Q173" i="1"/>
  <c r="R155" i="1"/>
  <c r="P155" i="1"/>
  <c r="Q155" i="1"/>
  <c r="R92" i="1"/>
  <c r="P92" i="1"/>
  <c r="Q92" i="1"/>
  <c r="R156" i="1"/>
  <c r="P156" i="1"/>
  <c r="Q156" i="1"/>
  <c r="R150" i="1"/>
  <c r="P150" i="1"/>
  <c r="Q150" i="1"/>
  <c r="R44" i="1"/>
  <c r="P44" i="1"/>
  <c r="Q44" i="1"/>
  <c r="R169" i="1"/>
  <c r="P169" i="1"/>
  <c r="Q169" i="1"/>
  <c r="R75" i="1"/>
  <c r="P75" i="1"/>
  <c r="Q75" i="1"/>
  <c r="R140" i="1"/>
  <c r="P140" i="1"/>
  <c r="Q140" i="1"/>
  <c r="R35" i="1"/>
  <c r="P35" i="1"/>
  <c r="Q35" i="1"/>
  <c r="R174" i="1"/>
  <c r="P174" i="1"/>
  <c r="Q174" i="1"/>
  <c r="R197" i="1"/>
  <c r="P197" i="1"/>
  <c r="Q197" i="1"/>
  <c r="R192" i="1"/>
  <c r="P192" i="1"/>
  <c r="Q192" i="1"/>
  <c r="R113" i="1"/>
  <c r="P113" i="1"/>
  <c r="Q113" i="1"/>
  <c r="R81" i="1"/>
  <c r="P81" i="1"/>
  <c r="Q81" i="1"/>
  <c r="R86" i="1"/>
  <c r="P86" i="1"/>
  <c r="Q86" i="1"/>
  <c r="R199" i="1"/>
  <c r="P199" i="1"/>
  <c r="Q199" i="1"/>
  <c r="R74" i="1"/>
  <c r="P74" i="1"/>
  <c r="Q74" i="1"/>
  <c r="R62" i="1"/>
  <c r="P62" i="1"/>
  <c r="Q62" i="1"/>
  <c r="R146" i="1"/>
  <c r="P146" i="1"/>
  <c r="Q146" i="1"/>
  <c r="R141" i="1"/>
  <c r="P141" i="1"/>
  <c r="Q141" i="1"/>
  <c r="R165" i="1"/>
  <c r="P165" i="1"/>
  <c r="Q165" i="1"/>
  <c r="R48" i="1"/>
  <c r="P48" i="1"/>
  <c r="Q48" i="1"/>
  <c r="R24" i="1"/>
  <c r="P24" i="1"/>
  <c r="Q24" i="1"/>
  <c r="R166" i="1"/>
  <c r="P166" i="1"/>
  <c r="Q166" i="1"/>
  <c r="R179" i="1"/>
  <c r="P179" i="1"/>
  <c r="Q179" i="1"/>
  <c r="R27" i="1"/>
  <c r="P27" i="1"/>
  <c r="Q27" i="1"/>
  <c r="R96" i="1"/>
  <c r="P96" i="1"/>
  <c r="Q96" i="1"/>
  <c r="R33" i="1"/>
  <c r="P33" i="1"/>
  <c r="Q33" i="1"/>
  <c r="R3" i="1"/>
  <c r="P3" i="1"/>
  <c r="Q3" i="1"/>
  <c r="R186" i="1"/>
  <c r="P186" i="1"/>
  <c r="Q186" i="1"/>
  <c r="R144" i="1"/>
  <c r="P144" i="1"/>
  <c r="Q144" i="1"/>
  <c r="R206" i="1"/>
  <c r="P206" i="1"/>
  <c r="Q206" i="1"/>
  <c r="R73" i="1"/>
  <c r="P73" i="1"/>
  <c r="Q73" i="1"/>
  <c r="R26" i="1"/>
  <c r="P26" i="1"/>
  <c r="Q26" i="1"/>
  <c r="R157" i="1"/>
  <c r="P157" i="1"/>
  <c r="Q157" i="1"/>
  <c r="R158" i="1"/>
  <c r="P158" i="1"/>
  <c r="Q158" i="1"/>
  <c r="R30" i="1"/>
  <c r="P30" i="1"/>
  <c r="Q30" i="1"/>
  <c r="R181" i="1"/>
  <c r="P181" i="1"/>
  <c r="Q181" i="1"/>
  <c r="R185" i="1"/>
  <c r="P185" i="1"/>
  <c r="Q185" i="1"/>
  <c r="R121" i="1"/>
  <c r="P121" i="1"/>
  <c r="Q121" i="1"/>
  <c r="R46" i="1"/>
  <c r="P46" i="1"/>
  <c r="Q46" i="1"/>
  <c r="R22" i="1"/>
  <c r="P22" i="1"/>
  <c r="Q22" i="1"/>
  <c r="R63" i="1"/>
  <c r="P63" i="1"/>
  <c r="Q63" i="1"/>
  <c r="R101" i="1"/>
  <c r="P101" i="1"/>
  <c r="Q101" i="1"/>
  <c r="R187" i="1"/>
  <c r="P187" i="1"/>
  <c r="Q187" i="1"/>
  <c r="R8" i="1"/>
  <c r="P8" i="1"/>
  <c r="Q8" i="1"/>
  <c r="R191" i="1"/>
  <c r="P191" i="1"/>
  <c r="Q191" i="1"/>
  <c r="R161" i="1"/>
  <c r="P161" i="1"/>
  <c r="Q161" i="1"/>
  <c r="R163" i="1"/>
  <c r="P163" i="1"/>
  <c r="Q163" i="1"/>
  <c r="R40" i="1"/>
  <c r="P40" i="1"/>
  <c r="Q40" i="1"/>
  <c r="R148" i="1"/>
  <c r="P148" i="1"/>
  <c r="Q148" i="1"/>
  <c r="R88" i="1"/>
  <c r="P88" i="1"/>
  <c r="Q88" i="1"/>
  <c r="R68" i="1"/>
  <c r="P68" i="1"/>
  <c r="Q68" i="1"/>
  <c r="R183" i="1"/>
  <c r="P183" i="1"/>
  <c r="Q183" i="1"/>
  <c r="R83" i="1"/>
  <c r="P83" i="1"/>
  <c r="Q83" i="1"/>
  <c r="R93" i="1"/>
  <c r="P93" i="1"/>
  <c r="Q93" i="1"/>
  <c r="R159" i="1"/>
  <c r="P159" i="1"/>
  <c r="Q159" i="1"/>
  <c r="R124" i="1"/>
  <c r="P124" i="1"/>
  <c r="Q124" i="1"/>
  <c r="R200" i="1"/>
  <c r="P200" i="1"/>
  <c r="Q200" i="1"/>
  <c r="R23" i="1"/>
  <c r="P23" i="1"/>
  <c r="Q23" i="1"/>
  <c r="R177" i="1"/>
  <c r="P177" i="1"/>
  <c r="Q177" i="1"/>
  <c r="R16" i="1"/>
  <c r="P16" i="1"/>
  <c r="Q16" i="1"/>
  <c r="R122" i="1"/>
  <c r="P122" i="1"/>
  <c r="Q122" i="1"/>
  <c r="R112" i="1"/>
  <c r="P112" i="1"/>
  <c r="Q112" i="1"/>
  <c r="R94" i="1"/>
  <c r="P94" i="1"/>
  <c r="Q94" i="1"/>
  <c r="R41" i="1"/>
  <c r="P41" i="1"/>
  <c r="Q41" i="1"/>
  <c r="R131" i="1"/>
  <c r="P131" i="1"/>
  <c r="Q131" i="1"/>
  <c r="R100" i="1"/>
  <c r="P100" i="1"/>
  <c r="Q100" i="1"/>
  <c r="R5" i="1"/>
  <c r="P5" i="1"/>
  <c r="Q5" i="1"/>
  <c r="R208" i="1"/>
  <c r="P208" i="1"/>
  <c r="Q208" i="1"/>
  <c r="R59" i="1"/>
  <c r="P59" i="1"/>
  <c r="Q59" i="1"/>
  <c r="R4" i="1"/>
  <c r="P4" i="1"/>
  <c r="Q4" i="1"/>
  <c r="R195" i="1"/>
  <c r="P195" i="1"/>
  <c r="Q195" i="1"/>
  <c r="R99" i="1"/>
  <c r="P99" i="1"/>
  <c r="Q99" i="1"/>
  <c r="R123" i="1"/>
  <c r="P123" i="1"/>
  <c r="Q123" i="1"/>
  <c r="R175" i="1"/>
  <c r="P175" i="1"/>
  <c r="Q175" i="1"/>
  <c r="R107" i="1"/>
  <c r="P107" i="1"/>
  <c r="Q107" i="1"/>
  <c r="R164" i="1"/>
  <c r="P164" i="1"/>
  <c r="Q164" i="1"/>
  <c r="R132" i="1"/>
  <c r="P132" i="1"/>
  <c r="Q132" i="1"/>
  <c r="R133" i="1"/>
  <c r="P133" i="1"/>
  <c r="Q133" i="1"/>
  <c r="J125" i="3" l="1"/>
  <c r="J127" i="3"/>
  <c r="G10" i="3"/>
  <c r="W2" i="2"/>
  <c r="X2" i="2" s="1"/>
  <c r="W36" i="2"/>
  <c r="X36" i="2" s="1"/>
  <c r="W31" i="2"/>
  <c r="X31" i="2" s="1"/>
  <c r="W33" i="2"/>
  <c r="X33" i="2" s="1"/>
  <c r="W27" i="2"/>
  <c r="X27" i="2" s="1"/>
  <c r="W28" i="2"/>
  <c r="X28" i="2" s="1"/>
  <c r="S133" i="1"/>
  <c r="T133" i="1" s="1"/>
  <c r="S175" i="1"/>
  <c r="T175" i="1" s="1"/>
  <c r="S195" i="1"/>
  <c r="T195" i="1" s="1"/>
  <c r="S5" i="1"/>
  <c r="T5" i="1" s="1"/>
  <c r="S94" i="1"/>
  <c r="T94" i="1" s="1"/>
  <c r="S177" i="1"/>
  <c r="T177" i="1" s="1"/>
  <c r="S159" i="1"/>
  <c r="T159" i="1" s="1"/>
  <c r="S183" i="1"/>
  <c r="T183" i="1" s="1"/>
  <c r="S40" i="1"/>
  <c r="T40" i="1" s="1"/>
  <c r="S161" i="1"/>
  <c r="T161" i="1" s="1"/>
  <c r="S46" i="1"/>
  <c r="T46" i="1" s="1"/>
  <c r="S30" i="1"/>
  <c r="T30" i="1" s="1"/>
  <c r="S73" i="1"/>
  <c r="T73" i="1" s="1"/>
  <c r="S3" i="1"/>
  <c r="T3" i="1" s="1"/>
  <c r="S179" i="1"/>
  <c r="T179" i="1" s="1"/>
  <c r="S165" i="1"/>
  <c r="T165" i="1" s="1"/>
  <c r="S74" i="1"/>
  <c r="T74" i="1" s="1"/>
  <c r="S113" i="1"/>
  <c r="T113" i="1" s="1"/>
  <c r="S35" i="1"/>
  <c r="T35" i="1" s="1"/>
  <c r="S44" i="1"/>
  <c r="T44" i="1" s="1"/>
  <c r="S155" i="1"/>
  <c r="T155" i="1" s="1"/>
  <c r="S108" i="1"/>
  <c r="T108" i="1" s="1"/>
  <c r="S119" i="1"/>
  <c r="T119" i="1" s="1"/>
  <c r="S13" i="1"/>
  <c r="T13" i="1" s="1"/>
  <c r="S176" i="1"/>
  <c r="T176" i="1" s="1"/>
  <c r="S11" i="1"/>
  <c r="T11" i="1" s="1"/>
  <c r="S58" i="1"/>
  <c r="T58" i="1" s="1"/>
  <c r="S147" i="1"/>
  <c r="T147" i="1" s="1"/>
  <c r="S76" i="1"/>
  <c r="T76" i="1" s="1"/>
  <c r="S21" i="1"/>
  <c r="T21" i="1" s="1"/>
  <c r="S188" i="1"/>
  <c r="T188" i="1" s="1"/>
  <c r="S170" i="1"/>
  <c r="T170" i="1" s="1"/>
  <c r="S137" i="1"/>
  <c r="T137" i="1" s="1"/>
  <c r="S182" i="1"/>
  <c r="T182" i="1" s="1"/>
  <c r="S52" i="1"/>
  <c r="T52" i="1" s="1"/>
  <c r="S20" i="1"/>
  <c r="T20" i="1" s="1"/>
  <c r="S70" i="1"/>
  <c r="T70" i="1" s="1"/>
  <c r="S45" i="1"/>
  <c r="T45" i="1" s="1"/>
  <c r="S38" i="1"/>
  <c r="T38" i="1" s="1"/>
  <c r="S42" i="1"/>
  <c r="T42" i="1" s="1"/>
  <c r="S34" i="1"/>
  <c r="T34" i="1" s="1"/>
  <c r="S15" i="1"/>
  <c r="T15" i="1" s="1"/>
  <c r="S152" i="1"/>
  <c r="T152" i="1" s="1"/>
  <c r="S110" i="1"/>
  <c r="T110" i="1" s="1"/>
  <c r="S115" i="1"/>
  <c r="T115" i="1" s="1"/>
  <c r="S7" i="1"/>
  <c r="T7" i="1" s="1"/>
  <c r="S31" i="1"/>
  <c r="T31" i="1" s="1"/>
  <c r="S132" i="1"/>
  <c r="T132" i="1" s="1"/>
  <c r="S4" i="1"/>
  <c r="T4" i="1" s="1"/>
  <c r="S100" i="1"/>
  <c r="T100" i="1" s="1"/>
  <c r="S112" i="1"/>
  <c r="T112" i="1" s="1"/>
  <c r="S23" i="1"/>
  <c r="T23" i="1" s="1"/>
  <c r="S93" i="1"/>
  <c r="T93" i="1" s="1"/>
  <c r="S68" i="1"/>
  <c r="T68" i="1" s="1"/>
  <c r="S191" i="1"/>
  <c r="T191" i="1" s="1"/>
  <c r="S101" i="1"/>
  <c r="T101" i="1" s="1"/>
  <c r="S121" i="1"/>
  <c r="T121" i="1" s="1"/>
  <c r="S158" i="1"/>
  <c r="T158" i="1" s="1"/>
  <c r="S206" i="1"/>
  <c r="T206" i="1" s="1"/>
  <c r="S33" i="1"/>
  <c r="T33" i="1" s="1"/>
  <c r="S166" i="1"/>
  <c r="T166" i="1" s="1"/>
  <c r="S141" i="1"/>
  <c r="T141" i="1" s="1"/>
  <c r="S199" i="1"/>
  <c r="T199" i="1" s="1"/>
  <c r="S192" i="1"/>
  <c r="T192" i="1" s="1"/>
  <c r="S140" i="1"/>
  <c r="T140" i="1" s="1"/>
  <c r="S150" i="1"/>
  <c r="T150" i="1" s="1"/>
  <c r="S173" i="1"/>
  <c r="T173" i="1" s="1"/>
  <c r="S116" i="1"/>
  <c r="T116" i="1" s="1"/>
  <c r="S189" i="1"/>
  <c r="T189" i="1" s="1"/>
  <c r="S71" i="1"/>
  <c r="T71" i="1" s="1"/>
  <c r="S172" i="1"/>
  <c r="T172" i="1" s="1"/>
  <c r="S117" i="1"/>
  <c r="T117" i="1" s="1"/>
  <c r="S29" i="1"/>
  <c r="T29" i="1" s="1"/>
  <c r="S104" i="1"/>
  <c r="T104" i="1" s="1"/>
  <c r="S114" i="1"/>
  <c r="T114" i="1" s="1"/>
  <c r="S127" i="1"/>
  <c r="T127" i="1" s="1"/>
  <c r="S72" i="1"/>
  <c r="T72" i="1" s="1"/>
  <c r="S167" i="1"/>
  <c r="T167" i="1" s="1"/>
  <c r="S139" i="1"/>
  <c r="T139" i="1" s="1"/>
  <c r="S39" i="1"/>
  <c r="T39" i="1" s="1"/>
  <c r="S32" i="1"/>
  <c r="T32" i="1" s="1"/>
  <c r="S37" i="1"/>
  <c r="T37" i="1" s="1"/>
  <c r="S85" i="1"/>
  <c r="T85" i="1" s="1"/>
  <c r="S67" i="1"/>
  <c r="T67" i="1" s="1"/>
  <c r="S64" i="1"/>
  <c r="T64" i="1" s="1"/>
  <c r="S203" i="1"/>
  <c r="T203" i="1" s="1"/>
  <c r="S19" i="1"/>
  <c r="T19" i="1" s="1"/>
  <c r="S103" i="1"/>
  <c r="T103" i="1" s="1"/>
  <c r="S84" i="1"/>
  <c r="T84" i="1" s="1"/>
  <c r="S142" i="1"/>
  <c r="T142" i="1" s="1"/>
  <c r="S190" i="1"/>
  <c r="T190" i="1" s="1"/>
  <c r="S151" i="1"/>
  <c r="T151" i="1" s="1"/>
  <c r="S105" i="1"/>
  <c r="T105" i="1" s="1"/>
  <c r="S28" i="1"/>
  <c r="T28" i="1" s="1"/>
  <c r="S107" i="1"/>
  <c r="T107" i="1" s="1"/>
  <c r="S99" i="1"/>
  <c r="T99" i="1" s="1"/>
  <c r="S208" i="1"/>
  <c r="T208" i="1" s="1"/>
  <c r="S41" i="1"/>
  <c r="T41" i="1" s="1"/>
  <c r="S16" i="1"/>
  <c r="T16" i="1" s="1"/>
  <c r="S124" i="1"/>
  <c r="T124" i="1" s="1"/>
  <c r="S83" i="1"/>
  <c r="T83" i="1" s="1"/>
  <c r="S148" i="1"/>
  <c r="T148" i="1" s="1"/>
  <c r="S187" i="1"/>
  <c r="T187" i="1" s="1"/>
  <c r="S22" i="1"/>
  <c r="T22" i="1" s="1"/>
  <c r="S181" i="1"/>
  <c r="T181" i="1" s="1"/>
  <c r="S26" i="1"/>
  <c r="T26" i="1" s="1"/>
  <c r="S186" i="1"/>
  <c r="T186" i="1" s="1"/>
  <c r="S27" i="1"/>
  <c r="T27" i="1" s="1"/>
  <c r="S48" i="1"/>
  <c r="T48" i="1" s="1"/>
  <c r="S62" i="1"/>
  <c r="T62" i="1" s="1"/>
  <c r="S81" i="1"/>
  <c r="T81" i="1" s="1"/>
  <c r="S174" i="1"/>
  <c r="T174" i="1" s="1"/>
  <c r="S169" i="1"/>
  <c r="T169" i="1" s="1"/>
  <c r="S92" i="1"/>
  <c r="T92" i="1" s="1"/>
  <c r="S102" i="1"/>
  <c r="T102" i="1" s="1"/>
  <c r="S125" i="1"/>
  <c r="T125" i="1" s="1"/>
  <c r="S18" i="1"/>
  <c r="T18" i="1" s="1"/>
  <c r="S194" i="1"/>
  <c r="T194" i="1" s="1"/>
  <c r="S6" i="1"/>
  <c r="T6" i="1" s="1"/>
  <c r="S36" i="1"/>
  <c r="T36" i="1" s="1"/>
  <c r="S54" i="1"/>
  <c r="T54" i="1" s="1"/>
  <c r="S17" i="1"/>
  <c r="T17" i="1" s="1"/>
  <c r="S14" i="1"/>
  <c r="T14" i="1" s="1"/>
  <c r="S171" i="1"/>
  <c r="T171" i="1" s="1"/>
  <c r="S145" i="1"/>
  <c r="T145" i="1" s="1"/>
  <c r="S201" i="1"/>
  <c r="T201" i="1" s="1"/>
  <c r="S149" i="1"/>
  <c r="T149" i="1" s="1"/>
  <c r="S82" i="1"/>
  <c r="T82" i="1" s="1"/>
  <c r="S178" i="1"/>
  <c r="T178" i="1" s="1"/>
  <c r="S79" i="1"/>
  <c r="T79" i="1" s="1"/>
  <c r="S154" i="1"/>
  <c r="T154" i="1" s="1"/>
  <c r="S160" i="1"/>
  <c r="T160" i="1" s="1"/>
  <c r="S143" i="1"/>
  <c r="T143" i="1" s="1"/>
  <c r="S136" i="1"/>
  <c r="T136" i="1" s="1"/>
  <c r="S106" i="1"/>
  <c r="T106" i="1" s="1"/>
  <c r="S207" i="1"/>
  <c r="T207" i="1" s="1"/>
  <c r="S80" i="1"/>
  <c r="T80" i="1" s="1"/>
  <c r="S69" i="1"/>
  <c r="T69" i="1" s="1"/>
  <c r="S180" i="1"/>
  <c r="T180" i="1" s="1"/>
  <c r="S56" i="1"/>
  <c r="T56" i="1" s="1"/>
  <c r="S57" i="1"/>
  <c r="T57" i="1" s="1"/>
  <c r="S184" i="1"/>
  <c r="T184" i="1" s="1"/>
  <c r="S153" i="1"/>
  <c r="T153" i="1" s="1"/>
  <c r="S164" i="1"/>
  <c r="T164" i="1" s="1"/>
  <c r="S123" i="1"/>
  <c r="T123" i="1" s="1"/>
  <c r="S59" i="1"/>
  <c r="T59" i="1" s="1"/>
  <c r="S131" i="1"/>
  <c r="T131" i="1" s="1"/>
  <c r="S122" i="1"/>
  <c r="T122" i="1" s="1"/>
  <c r="S200" i="1"/>
  <c r="T200" i="1" s="1"/>
  <c r="S88" i="1"/>
  <c r="T88" i="1" s="1"/>
  <c r="S163" i="1"/>
  <c r="T163" i="1" s="1"/>
  <c r="S8" i="1"/>
  <c r="T8" i="1" s="1"/>
  <c r="S63" i="1"/>
  <c r="T63" i="1" s="1"/>
  <c r="S185" i="1"/>
  <c r="T185" i="1" s="1"/>
  <c r="S157" i="1"/>
  <c r="T157" i="1" s="1"/>
  <c r="S144" i="1"/>
  <c r="T144" i="1" s="1"/>
  <c r="S96" i="1"/>
  <c r="T96" i="1" s="1"/>
  <c r="S24" i="1"/>
  <c r="T24" i="1" s="1"/>
  <c r="S146" i="1"/>
  <c r="T146" i="1" s="1"/>
  <c r="S86" i="1"/>
  <c r="T86" i="1" s="1"/>
  <c r="S197" i="1"/>
  <c r="T197" i="1" s="1"/>
  <c r="S75" i="1"/>
  <c r="T75" i="1" s="1"/>
  <c r="S156" i="1"/>
  <c r="T156" i="1" s="1"/>
  <c r="S193" i="1"/>
  <c r="T193" i="1" s="1"/>
  <c r="S78" i="1"/>
  <c r="T78" i="1" s="1"/>
  <c r="S118" i="1"/>
  <c r="T118" i="1" s="1"/>
  <c r="S130" i="1"/>
  <c r="T130" i="1" s="1"/>
  <c r="S202" i="1"/>
  <c r="T202" i="1" s="1"/>
  <c r="S53" i="1"/>
  <c r="T53" i="1" s="1"/>
  <c r="S126" i="1"/>
  <c r="T126" i="1" s="1"/>
  <c r="S205" i="1"/>
  <c r="T205" i="1" s="1"/>
  <c r="S89" i="1"/>
  <c r="T89" i="1" s="1"/>
  <c r="S138" i="1"/>
  <c r="T138" i="1" s="1"/>
  <c r="S134" i="1"/>
  <c r="T134" i="1" s="1"/>
  <c r="S98" i="1"/>
  <c r="T98" i="1" s="1"/>
  <c r="S168" i="1"/>
  <c r="T168" i="1" s="1"/>
  <c r="S66" i="1"/>
  <c r="T66" i="1" s="1"/>
  <c r="S162" i="1"/>
  <c r="T162" i="1" s="1"/>
  <c r="S9" i="1"/>
  <c r="T9" i="1" s="1"/>
  <c r="S95" i="1"/>
  <c r="T95" i="1" s="1"/>
  <c r="S10" i="1"/>
  <c r="T10" i="1" s="1"/>
  <c r="S65" i="1"/>
  <c r="T65" i="1" s="1"/>
  <c r="S55" i="1"/>
  <c r="T55" i="1" s="1"/>
  <c r="S12" i="1"/>
  <c r="T12" i="1" s="1"/>
  <c r="S135" i="1"/>
  <c r="T135" i="1" s="1"/>
  <c r="S204" i="1"/>
  <c r="T204" i="1" s="1"/>
  <c r="S97" i="1"/>
  <c r="T97" i="1" s="1"/>
  <c r="S2" i="1"/>
  <c r="T2" i="1" s="1"/>
  <c r="S51" i="1"/>
  <c r="T51" i="1" s="1"/>
  <c r="S196" i="1"/>
  <c r="T196" i="1" s="1"/>
  <c r="S90" i="1"/>
  <c r="T90" i="1" s="1"/>
  <c r="S198" i="1"/>
  <c r="T198" i="1" s="1"/>
  <c r="W32" i="2"/>
  <c r="X32" i="2" s="1"/>
  <c r="W30" i="2"/>
  <c r="X30" i="2" s="1"/>
  <c r="W22" i="2"/>
  <c r="X22" i="2" s="1"/>
  <c r="W24" i="2"/>
  <c r="X24" i="2" s="1"/>
  <c r="W23" i="2"/>
  <c r="X23" i="2" s="1"/>
  <c r="W39" i="2"/>
  <c r="X39" i="2" s="1"/>
  <c r="W7" i="2"/>
  <c r="X7" i="2" s="1"/>
  <c r="W19" i="2"/>
  <c r="X19" i="2" s="1"/>
  <c r="W3" i="2"/>
  <c r="X3" i="2" s="1"/>
  <c r="W4" i="2"/>
  <c r="X4" i="2" s="1"/>
  <c r="W9" i="2"/>
  <c r="X9" i="2" s="1"/>
  <c r="W42" i="2"/>
  <c r="X42" i="2" s="1"/>
  <c r="W35" i="2"/>
  <c r="X35" i="2" s="1"/>
  <c r="W6" i="2"/>
  <c r="X6" i="2" s="1"/>
  <c r="W46" i="2"/>
  <c r="X46" i="2" s="1"/>
  <c r="W45" i="2"/>
  <c r="X45" i="2" s="1"/>
  <c r="W20" i="2"/>
  <c r="X20" i="2" s="1"/>
  <c r="W41" i="2"/>
  <c r="X41" i="2" s="1"/>
  <c r="W26" i="2"/>
  <c r="X26" i="2" s="1"/>
  <c r="W13" i="2"/>
  <c r="X13" i="2" s="1"/>
  <c r="W44" i="2"/>
  <c r="X44" i="2" s="1"/>
  <c r="W10" i="2"/>
  <c r="X10" i="2" s="1"/>
  <c r="W18" i="2"/>
  <c r="X18" i="2" s="1"/>
  <c r="W38" i="2"/>
  <c r="X38" i="2" s="1"/>
  <c r="W12" i="2"/>
  <c r="X12" i="2" s="1"/>
  <c r="W48" i="2"/>
  <c r="X48" i="2" s="1"/>
  <c r="W37" i="2"/>
  <c r="X37" i="2" s="1"/>
  <c r="W16" i="2"/>
  <c r="X16" i="2" s="1"/>
  <c r="W34" i="2"/>
  <c r="X34" i="2" s="1"/>
  <c r="W47" i="2"/>
  <c r="X47" i="2" s="1"/>
  <c r="W8" i="2"/>
  <c r="X8" i="2" s="1"/>
  <c r="W21" i="2"/>
  <c r="X21" i="2" s="1"/>
  <c r="W5" i="2"/>
  <c r="X5" i="2" s="1"/>
  <c r="W14" i="2"/>
  <c r="X14" i="2" s="1"/>
  <c r="W43" i="2"/>
  <c r="X43" i="2" s="1"/>
  <c r="W40" i="2"/>
  <c r="X40" i="2" s="1"/>
  <c r="W17" i="2"/>
  <c r="X17" i="2" s="1"/>
  <c r="W25" i="2"/>
  <c r="X25" i="2" s="1"/>
  <c r="W11" i="2"/>
  <c r="X11" i="2" s="1"/>
  <c r="W29" i="2"/>
  <c r="X29" i="2" s="1"/>
  <c r="W15" i="2"/>
  <c r="X15" i="2" s="1"/>
  <c r="S49" i="1"/>
  <c r="T49" i="1" s="1"/>
  <c r="O215" i="1"/>
  <c r="P215" i="1"/>
  <c r="J215" i="1"/>
  <c r="K215" i="1"/>
  <c r="R215" i="1"/>
  <c r="Q176" i="1"/>
  <c r="Q215" i="1" s="1"/>
  <c r="L215" i="1"/>
  <c r="M215" i="1"/>
  <c r="N215" i="1"/>
  <c r="L137" i="3"/>
  <c r="M137" i="3" s="1"/>
  <c r="F9" i="4"/>
  <c r="G8" i="3"/>
  <c r="E7" i="4"/>
  <c r="F8" i="3"/>
  <c r="F7" i="4"/>
  <c r="J138" i="4"/>
  <c r="L126" i="3"/>
  <c r="M126" i="3" s="1"/>
  <c r="K124" i="3"/>
  <c r="K138" i="3"/>
  <c r="L139" i="3"/>
  <c r="M139" i="3" s="1"/>
  <c r="K139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25" i="3"/>
  <c r="M125" i="3" s="1"/>
  <c r="K125" i="3"/>
  <c r="L127" i="3"/>
  <c r="M127" i="3" s="1"/>
  <c r="K127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40" i="3"/>
  <c r="J149" i="4"/>
  <c r="F9" i="3"/>
  <c r="F10" i="3" s="1"/>
  <c r="E76" i="4" l="1"/>
  <c r="F76" i="4" s="1"/>
  <c r="K137" i="3"/>
  <c r="K138" i="4"/>
  <c r="L138" i="4" s="1"/>
  <c r="J142" i="3"/>
  <c r="K126" i="3"/>
  <c r="L124" i="3"/>
  <c r="M124" i="3" s="1"/>
  <c r="L138" i="3"/>
  <c r="M138" i="3" s="1"/>
  <c r="L136" i="3"/>
  <c r="M136" i="3" s="1"/>
  <c r="K136" i="3"/>
  <c r="L135" i="3"/>
  <c r="M135" i="3" s="1"/>
  <c r="K135" i="3"/>
  <c r="E77" i="4" l="1"/>
  <c r="F77" i="4" s="1"/>
  <c r="E78" i="4" l="1"/>
  <c r="F78" i="4" s="1"/>
  <c r="E79" i="4" l="1"/>
  <c r="F79" i="4" s="1"/>
  <c r="E80" i="4" l="1"/>
  <c r="F80" i="4" s="1"/>
  <c r="I156" i="4"/>
  <c r="F119" i="4" l="1"/>
  <c r="F120" i="4" l="1"/>
  <c r="F121" i="4" l="1"/>
  <c r="F122" i="4" l="1"/>
  <c r="F123" i="4" l="1"/>
  <c r="F124" i="4" l="1"/>
  <c r="F125" i="4" l="1"/>
  <c r="I158" i="4" l="1"/>
  <c r="I146" i="4"/>
  <c r="F126" i="4"/>
  <c r="F127" i="4" l="1"/>
  <c r="F128" i="4" l="1"/>
  <c r="E129" i="4" l="1"/>
  <c r="F129" i="4" s="1"/>
  <c r="E130" i="4" l="1"/>
  <c r="F130" i="4" s="1"/>
  <c r="E131" i="4" l="1"/>
  <c r="E132" i="4" l="1"/>
  <c r="E133" i="4" l="1"/>
  <c r="E134" i="4" l="1"/>
  <c r="E135" i="4" l="1"/>
  <c r="E130" i="3"/>
  <c r="E129" i="3"/>
  <c r="E136" i="4" l="1"/>
  <c r="E137" i="4" l="1"/>
  <c r="E131" i="3"/>
  <c r="E138" i="4" l="1"/>
  <c r="E132" i="3"/>
  <c r="I157" i="4"/>
  <c r="E139" i="4" l="1"/>
  <c r="E134" i="3"/>
  <c r="E133" i="3"/>
  <c r="D74" i="4"/>
  <c r="E140" i="4" l="1"/>
  <c r="E135" i="3"/>
  <c r="I144" i="4"/>
  <c r="D78" i="4"/>
  <c r="D79" i="4"/>
  <c r="D77" i="4"/>
  <c r="D75" i="4"/>
  <c r="D76" i="4"/>
  <c r="E141" i="4" l="1"/>
  <c r="E136" i="3"/>
  <c r="F129" i="3"/>
  <c r="D141" i="4" l="1"/>
  <c r="D130" i="4"/>
  <c r="D129" i="4"/>
  <c r="D131" i="4"/>
  <c r="D132" i="4"/>
  <c r="D133" i="4"/>
  <c r="D134" i="4"/>
  <c r="D135" i="4"/>
  <c r="D137" i="4"/>
  <c r="D136" i="4"/>
  <c r="D138" i="4"/>
  <c r="D139" i="4"/>
  <c r="D140" i="4"/>
  <c r="E137" i="3"/>
  <c r="F130" i="3"/>
  <c r="E138" i="3" l="1"/>
  <c r="F131" i="3"/>
  <c r="I145" i="4"/>
  <c r="E139" i="3" l="1"/>
  <c r="F132" i="3"/>
  <c r="E140" i="3" l="1"/>
  <c r="F133" i="3"/>
  <c r="F134" i="3" l="1"/>
  <c r="F135" i="3" l="1"/>
  <c r="E141" i="3"/>
  <c r="F136" i="3" l="1"/>
  <c r="F137" i="3" l="1"/>
  <c r="F138" i="3" l="1"/>
  <c r="F139" i="3" l="1"/>
  <c r="F140" i="3" l="1"/>
  <c r="F141" i="3" l="1"/>
  <c r="J1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5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2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37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38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<sst xmlns="http://schemas.openxmlformats.org/spreadsheetml/2006/main" count="511" uniqueCount="343">
  <si>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</si>
  <si>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</si>
  <si>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</si>
  <si>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</si>
  <si>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</si>
  <si>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</si>
  <si>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</si>
  <si>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</si>
  <si>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</si>
  <si>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</si>
  <si>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</si>
  <si>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</si>
  <si>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</si>
  <si>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</si>
  <si>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</si>
  <si>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</si>
  <si>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</si>
  <si>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</si>
  <si>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</si>
  <si>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</si>
  <si>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</si>
  <si>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</si>
  <si>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</si>
  <si>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</si>
  <si>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</si>
  <si>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</si>
  <si>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</si>
  <si>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</si>
  <si>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</si>
  <si>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</si>
  <si>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</si>
  <si>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</si>
  <si>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</si>
  <si>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</si>
  <si>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</si>
  <si>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</si>
  <si>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</si>
  <si>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</si>
  <si>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</si>
  <si>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</si>
  <si>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</si>
  <si>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</si>
  <si>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</si>
  <si>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</si>
  <si>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</si>
  <si>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</si>
  <si>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</si>
  <si>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</si>
  <si>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</si>
  <si>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</si>
  <si>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</si>
  <si>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</si>
  <si>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</si>
  <si>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</si>
  <si>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</si>
  <si>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</si>
  <si>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</si>
  <si>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</si>
  <si>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</si>
  <si>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</si>
  <si>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</si>
  <si>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</si>
  <si>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</si>
  <si>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</si>
  <si>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</si>
  <si>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</si>
  <si>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</si>
  <si>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</si>
  <si>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</si>
  <si>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</si>
  <si>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</si>
  <si>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</si>
  <si>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</si>
  <si>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</si>
  <si>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</si>
  <si>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</si>
  <si>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</si>
  <si>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</si>
  <si>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</si>
  <si>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</si>
  <si>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</si>
  <si>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</si>
  <si>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</si>
  <si>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</si>
  <si>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</si>
  <si>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</si>
  <si>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</si>
  <si>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</si>
  <si>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</si>
  <si>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</si>
  <si>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</si>
  <si>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</si>
  <si>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</si>
  <si>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</si>
  <si>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</si>
  <si>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</si>
  <si>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</si>
  <si>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</si>
  <si>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</si>
  <si>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</si>
  <si>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</si>
  <si>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</si>
  <si>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</si>
  <si>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</si>
  <si>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</si>
  <si>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</si>
  <si>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</si>
  <si>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</si>
  <si>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</si>
  <si>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</si>
  <si>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</si>
  <si>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</si>
  <si>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</si>
  <si>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</si>
  <si>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</si>
  <si>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</si>
  <si>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</si>
  <si>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</si>
  <si>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</si>
  <si>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</si>
  <si>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</si>
  <si>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</si>
  <si>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</si>
  <si>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</si>
  <si>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</si>
  <si>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</si>
  <si>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</si>
  <si>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</si>
  <si>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</si>
  <si>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</si>
  <si>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</si>
  <si>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</si>
  <si>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</si>
  <si>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</si>
  <si>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</si>
  <si>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</si>
  <si>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</si>
  <si>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</si>
  <si>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</si>
  <si>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</si>
  <si>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</si>
  <si>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</si>
  <si>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</si>
  <si>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</si>
  <si>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</si>
  <si>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</si>
  <si>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</si>
  <si>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</si>
  <si>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</si>
  <si>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</si>
  <si>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</si>
  <si>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</si>
  <si>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</si>
  <si>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</si>
  <si>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</si>
  <si>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</si>
  <si>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</si>
  <si>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</si>
  <si>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</si>
  <si>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</si>
  <si>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</si>
  <si>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</si>
  <si>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</si>
  <si>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</si>
  <si>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</si>
  <si>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</si>
  <si>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</si>
  <si>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</si>
  <si>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</si>
  <si>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</si>
  <si>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</si>
  <si>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</si>
  <si>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</si>
  <si>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</si>
  <si>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</si>
  <si>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</si>
  <si>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</si>
  <si>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</si>
  <si>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</si>
  <si>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</si>
  <si>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</si>
  <si>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</si>
  <si>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</si>
  <si>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</si>
  <si>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</si>
  <si>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</si>
  <si>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</si>
  <si>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</si>
  <si>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</si>
  <si>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</si>
  <si>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</si>
  <si>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</si>
  <si>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</si>
  <si>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</si>
  <si>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</si>
  <si>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</si>
  <si>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</si>
  <si>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</si>
  <si>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</si>
  <si>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</si>
  <si>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</si>
  <si>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</si>
  <si>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</si>
  <si>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</si>
  <si>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</si>
  <si>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</si>
  <si>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</si>
  <si>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</si>
  <si>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</si>
  <si>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</si>
  <si>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</si>
  <si>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</si>
  <si>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</si>
  <si>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</si>
  <si>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</si>
  <si>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</si>
  <si>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</si>
  <si>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</si>
  <si>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</si>
  <si>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</si>
  <si>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</si>
  <si>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</si>
  <si>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</si>
  <si>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</si>
  <si>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</si>
  <si>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</si>
  <si>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</si>
  <si>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</si>
  <si>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</si>
  <si>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</si>
  <si>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</si>
  <si>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</si>
  <si>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</si>
  <si>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</si>
  <si>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</si>
  <si>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</si>
  <si>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</si>
  <si>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</si>
  <si>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</si>
  <si>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</si>
  <si>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</si>
  <si>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</si>
  <si>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</si>
  <si>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</si>
  <si>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</si>
  <si>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</si>
  <si>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</si>
  <si>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</si>
  <si>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</si>
  <si>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</si>
  <si>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</si>
  <si>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</si>
  <si>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</si>
  <si>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</si>
  <si>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</si>
  <si>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</si>
  <si>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</si>
  <si>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</si>
  <si>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</si>
  <si>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</si>
  <si>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</si>
  <si>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</si>
  <si>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</si>
  <si>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</si>
  <si>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</si>
  <si>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</si>
  <si>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</si>
  <si>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</si>
  <si>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</si>
  <si>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</si>
  <si>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</si>
  <si>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</si>
  <si>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</si>
  <si>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</si>
  <si>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</si>
  <si>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</si>
  <si>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</si>
  <si>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</si>
  <si>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</si>
  <si>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</si>
  <si>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</si>
  <si>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</si>
  <si>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</si>
  <si>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</si>
  <si>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</si>
  <si>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</si>
  <si>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</si>
  <si>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</si>
  <si>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</si>
  <si>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</si>
  <si>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</si>
  <si>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</si>
  <si>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</si>
  <si>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</si>
  <si>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</si>
  <si>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</si>
  <si>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</si>
  <si>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</si>
  <si>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</si>
  <si>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</si>
  <si>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</si>
  <si>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</si>
  <si>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</si>
  <si>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</si>
  <si>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</si>
  <si>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</si>
  <si>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</si>
  <si>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</si>
  <si>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</si>
  <si>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</si>
  <si>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</si>
  <si>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</si>
  <si>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</si>
  <si>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</si>
  <si>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</si>
  <si>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</si>
  <si>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</si>
  <si>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</si>
  <si>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</si>
  <si>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</si>
  <si>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</si>
  <si>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</si>
  <si>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</si>
  <si>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</si>
  <si>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</si>
  <si>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</si>
  <si>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</si>
  <si>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</si>
  <si>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</si>
  <si>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</si>
  <si>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</si>
  <si>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</si>
  <si>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t>July so far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</si>
  <si>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</si>
  <si>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</si>
  <si>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</si>
  <si>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</si>
  <si>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</si>
  <si>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</si>
  <si>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</si>
  <si>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</si>
  <si>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</si>
  <si>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https://www.nhpr.org/post/explore-data-tracking-covid-19-new-hampshire#stream/0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</si>
</sst>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</numFmts>
  <fonts count="17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Alignment="1">
      <alignment horizontal="right" vertical="top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2" fillId="0" borderId="5" xfId="2" applyBorder="1"/>
    <xf numFmtId="0" fontId="2" fillId="0" borderId="4" xfId="2" applyBorder="1"/>
    <xf numFmtId="0" fontId="0" fillId="5" borderId="6" xfId="0" applyFill="1" applyBorder="1"/>
    <xf numFmtId="43" fontId="0" fillId="0" borderId="0" xfId="3" applyFont="1" applyAlignmen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8" xfId="0" applyFill="1" applyBorder="1"/>
    <xf numFmtId="0" fontId="0" fillId="5" borderId="3" xfId="0" applyFill="1" applyBorder="1"/>
    <xf numFmtId="0" fontId="13" fillId="8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6" fillId="5" borderId="4" xfId="0" applyFont="1" applyFill="1" applyBorder="1" applyAlignment="1">
      <alignment horizontal="left" vertical="top" wrapText="1"/>
    </xf>
    <xf numFmtId="0" fontId="16" fillId="9" borderId="7" xfId="0" applyFont="1" applyFill="1" applyBorder="1" applyAlignment="1">
      <alignment horizontal="left" vertical="top" wrapText="1"/>
    </xf>
    <xf numFmtId="3" fontId="12" fillId="9" borderId="5" xfId="0" applyNumberFormat="1" applyFont="1" applyFill="1" applyBorder="1" applyAlignment="1">
      <alignment horizontal="right" vertical="top" wrapText="1"/>
    </xf>
    <xf numFmtId="0" fontId="12" fillId="9" borderId="5" xfId="0" applyFont="1" applyFill="1" applyBorder="1" applyAlignment="1">
      <alignment horizontal="right" vertical="top" wrapText="1"/>
    </xf>
    <xf numFmtId="0" fontId="10" fillId="9" borderId="5" xfId="0" applyFont="1" applyFill="1" applyBorder="1" applyAlignment="1">
      <alignment horizontal="right" vertical="top" wrapText="1"/>
    </xf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2" fillId="0" borderId="0" xfId="2"/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10" fillId="7" borderId="7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right" vertical="top" wrapText="1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/>
        <right style="medium">
          <color rgb="FFDDDDDD"/>
        </right>
        <top style="medium">
          <color rgb="FFDDDDDD"/>
        </top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Analysis'!$B$20:$B$127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</c:numCache>
            </c:numRef>
          </c:cat>
          <c:val>
            <c:numRef>
              <c:f>'USA Analysis'!$F$20:$F$127</c:f>
              <c:numCache>
                <c:formatCode>General</c:formatCode>
                <c:ptCount val="108"/>
                <c:pt idx="0">
                  <c:v>1.2478022736687071</c:v>
                </c:pt>
                <c:pt idx="1">
                  <c:v>1.2959461750884163</c:v>
                </c:pt>
                <c:pt idx="2">
                  <c:v>1.287796846658295</c:v>
                </c:pt>
                <c:pt idx="3">
                  <c:v>1.2502703482084925</c:v>
                </c:pt>
                <c:pt idx="4">
                  <c:v>0.90735615732237673</c:v>
                </c:pt>
                <c:pt idx="5">
                  <c:v>1.0671090347764713</c:v>
                </c:pt>
                <c:pt idx="6">
                  <c:v>1.098801208926893</c:v>
                </c:pt>
                <c:pt idx="7">
                  <c:v>1.0231192825515274</c:v>
                </c:pt>
                <c:pt idx="8">
                  <c:v>1.0559012258264371</c:v>
                </c:pt>
                <c:pt idx="9">
                  <c:v>1.0548160404134634</c:v>
                </c:pt>
                <c:pt idx="10">
                  <c:v>0.95679073228904221</c:v>
                </c:pt>
                <c:pt idx="11">
                  <c:v>0.86670547923897734</c:v>
                </c:pt>
                <c:pt idx="12">
                  <c:v>0.8606851608979974</c:v>
                </c:pt>
                <c:pt idx="13">
                  <c:v>0.89874933911017318</c:v>
                </c:pt>
                <c:pt idx="14">
                  <c:v>1.013417402507917</c:v>
                </c:pt>
                <c:pt idx="15">
                  <c:v>1.0146913140911584</c:v>
                </c:pt>
                <c:pt idx="16">
                  <c:v>1.1031726786874752</c:v>
                </c:pt>
                <c:pt idx="17">
                  <c:v>0.99730604237126841</c:v>
                </c:pt>
                <c:pt idx="18">
                  <c:v>0.90227809486321597</c:v>
                </c:pt>
                <c:pt idx="19">
                  <c:v>0.96665818523447899</c:v>
                </c:pt>
                <c:pt idx="20">
                  <c:v>0.90402382300100903</c:v>
                </c:pt>
                <c:pt idx="21">
                  <c:v>1.0460615205578074</c:v>
                </c:pt>
                <c:pt idx="22">
                  <c:v>1.0966520779195406</c:v>
                </c:pt>
                <c:pt idx="23">
                  <c:v>1.2957639187891232</c:v>
                </c:pt>
                <c:pt idx="24">
                  <c:v>1.1423183465713591</c:v>
                </c:pt>
                <c:pt idx="25">
                  <c:v>0.85346124215855312</c:v>
                </c:pt>
                <c:pt idx="26">
                  <c:v>0.76422340779947162</c:v>
                </c:pt>
                <c:pt idx="27">
                  <c:v>0.84259503323103568</c:v>
                </c:pt>
                <c:pt idx="28">
                  <c:v>0.94981066896964061</c:v>
                </c:pt>
                <c:pt idx="29">
                  <c:v>1.0349646347337946</c:v>
                </c:pt>
                <c:pt idx="30">
                  <c:v>1.2245690760351609</c:v>
                </c:pt>
                <c:pt idx="31">
                  <c:v>1.0399397173879525</c:v>
                </c:pt>
                <c:pt idx="32">
                  <c:v>0.9512785842706647</c:v>
                </c:pt>
                <c:pt idx="33">
                  <c:v>0.85210059244327541</c:v>
                </c:pt>
                <c:pt idx="34">
                  <c:v>0.86007073412551616</c:v>
                </c:pt>
                <c:pt idx="35">
                  <c:v>0.89651201217741372</c:v>
                </c:pt>
                <c:pt idx="36">
                  <c:v>1.0460987008272962</c:v>
                </c:pt>
                <c:pt idx="37">
                  <c:v>1.0707929478609626</c:v>
                </c:pt>
                <c:pt idx="38">
                  <c:v>0.97759430195790353</c:v>
                </c:pt>
                <c:pt idx="39">
                  <c:v>0.80407649778739088</c:v>
                </c:pt>
                <c:pt idx="40">
                  <c:v>0.74746690565757712</c:v>
                </c:pt>
                <c:pt idx="41">
                  <c:v>0.93001569568830211</c:v>
                </c:pt>
                <c:pt idx="42">
                  <c:v>0.92135584452230346</c:v>
                </c:pt>
                <c:pt idx="43">
                  <c:v>1.1667358803986712</c:v>
                </c:pt>
                <c:pt idx="44">
                  <c:v>1.1586415166694628</c:v>
                </c:pt>
                <c:pt idx="45">
                  <c:v>1.0323354890326022</c:v>
                </c:pt>
                <c:pt idx="46">
                  <c:v>0.8602864234784513</c:v>
                </c:pt>
                <c:pt idx="47">
                  <c:v>0.97394937621521316</c:v>
                </c:pt>
                <c:pt idx="48">
                  <c:v>0.87197130298348358</c:v>
                </c:pt>
                <c:pt idx="49">
                  <c:v>0.94880072697706674</c:v>
                </c:pt>
                <c:pt idx="50">
                  <c:v>1.201711731550974</c:v>
                </c:pt>
                <c:pt idx="51">
                  <c:v>1.0460623171108514</c:v>
                </c:pt>
                <c:pt idx="52">
                  <c:v>0.9441001807384457</c:v>
                </c:pt>
                <c:pt idx="53">
                  <c:v>0.85907817358908833</c:v>
                </c:pt>
                <c:pt idx="54">
                  <c:v>0.87824049580530572</c:v>
                </c:pt>
                <c:pt idx="55">
                  <c:v>0.8629290021668542</c:v>
                </c:pt>
                <c:pt idx="56">
                  <c:v>0.93454613291477173</c:v>
                </c:pt>
                <c:pt idx="57">
                  <c:v>1.0795021844562909</c:v>
                </c:pt>
                <c:pt idx="58">
                  <c:v>1.1934251119588655</c:v>
                </c:pt>
                <c:pt idx="59">
                  <c:v>1.09041029439721</c:v>
                </c:pt>
                <c:pt idx="60">
                  <c:v>0.94725963983465256</c:v>
                </c:pt>
                <c:pt idx="61">
                  <c:v>1.007261763479488</c:v>
                </c:pt>
                <c:pt idx="62">
                  <c:v>0.98259768724964103</c:v>
                </c:pt>
                <c:pt idx="63">
                  <c:v>0.91795982348016036</c:v>
                </c:pt>
                <c:pt idx="64">
                  <c:v>1.0084229639250002</c:v>
                </c:pt>
                <c:pt idx="65">
                  <c:v>1.1240653261253979</c:v>
                </c:pt>
                <c:pt idx="66">
                  <c:v>1.0164567494267767</c:v>
                </c:pt>
                <c:pt idx="67">
                  <c:v>0.85162670847764765</c:v>
                </c:pt>
                <c:pt idx="68">
                  <c:v>0.87668380851049854</c:v>
                </c:pt>
                <c:pt idx="69">
                  <c:v>0.89626787068034386</c:v>
                </c:pt>
                <c:pt idx="70">
                  <c:v>0.9866948936797395</c:v>
                </c:pt>
                <c:pt idx="71">
                  <c:v>1.0968873827598629</c:v>
                </c:pt>
                <c:pt idx="72">
                  <c:v>1.2630362645176583</c:v>
                </c:pt>
                <c:pt idx="73">
                  <c:v>1.154797038417728</c:v>
                </c:pt>
                <c:pt idx="74">
                  <c:v>0.90695300462249606</c:v>
                </c:pt>
                <c:pt idx="75">
                  <c:v>0.92839103507792264</c:v>
                </c:pt>
                <c:pt idx="76">
                  <c:v>1.0931942659055325</c:v>
                </c:pt>
                <c:pt idx="77">
                  <c:v>1.0852690749772671</c:v>
                </c:pt>
                <c:pt idx="78">
                  <c:v>1.1260757513001058</c:v>
                </c:pt>
                <c:pt idx="79">
                  <c:v>1.3059013715980867</c:v>
                </c:pt>
                <c:pt idx="80">
                  <c:v>1.2451024208566108</c:v>
                </c:pt>
                <c:pt idx="81">
                  <c:v>0.94295130668894767</c:v>
                </c:pt>
                <c:pt idx="82">
                  <c:v>1.0794136629442022</c:v>
                </c:pt>
                <c:pt idx="83">
                  <c:v>1.1744822196170379</c:v>
                </c:pt>
                <c:pt idx="84">
                  <c:v>1.1844954277890047</c:v>
                </c:pt>
                <c:pt idx="85">
                  <c:v>1.1764666569202817</c:v>
                </c:pt>
                <c:pt idx="86">
                  <c:v>1.3095209883564782</c:v>
                </c:pt>
                <c:pt idx="87">
                  <c:v>1.1588610094320995</c:v>
                </c:pt>
                <c:pt idx="88">
                  <c:v>1.0221021522600711</c:v>
                </c:pt>
                <c:pt idx="89">
                  <c:v>1.0766973511048803</c:v>
                </c:pt>
                <c:pt idx="90">
                  <c:v>1.0713834890179248</c:v>
                </c:pt>
                <c:pt idx="91">
                  <c:v>1.163714468048628</c:v>
                </c:pt>
                <c:pt idx="92">
                  <c:v>1.211904324768472</c:v>
                </c:pt>
                <c:pt idx="93">
                  <c:v>1.2114059964644721</c:v>
                </c:pt>
                <c:pt idx="94">
                  <c:v>0.99740669073789623</c:v>
                </c:pt>
                <c:pt idx="95">
                  <c:v>0.9042471995869531</c:v>
                </c:pt>
                <c:pt idx="96">
                  <c:v>0.9807220537387239</c:v>
                </c:pt>
                <c:pt idx="97">
                  <c:v>1.0505905998430798</c:v>
                </c:pt>
                <c:pt idx="98">
                  <c:v>1.1412846341674059</c:v>
                </c:pt>
                <c:pt idx="99">
                  <c:v>1.1161845175357954</c:v>
                </c:pt>
                <c:pt idx="100">
                  <c:v>1.2686328395334143</c:v>
                </c:pt>
                <c:pt idx="101">
                  <c:v>1.0564996093150965</c:v>
                </c:pt>
                <c:pt idx="102">
                  <c:v>0.96916641867539599</c:v>
                </c:pt>
                <c:pt idx="103">
                  <c:v>1.0504151270471238</c:v>
                </c:pt>
                <c:pt idx="104">
                  <c:v>1.0305921375264149</c:v>
                </c:pt>
                <c:pt idx="105">
                  <c:v>1.0997471193644601</c:v>
                </c:pt>
                <c:pt idx="106">
                  <c:v>1.092703554100648</c:v>
                </c:pt>
                <c:pt idx="107">
                  <c:v>1.1101150067041421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Analysis'!$B$20:$B$127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</c:numCache>
            </c:numRef>
          </c:cat>
          <c:val>
            <c:numRef>
              <c:f>'USA Analysis'!$C$20:$C$127</c:f>
              <c:numCache>
                <c:formatCode>General</c:formatCode>
                <c:ptCount val="108"/>
                <c:pt idx="0">
                  <c:v>1259</c:v>
                </c:pt>
                <c:pt idx="1">
                  <c:v>1211</c:v>
                </c:pt>
                <c:pt idx="2">
                  <c:v>1282</c:v>
                </c:pt>
                <c:pt idx="3">
                  <c:v>1577</c:v>
                </c:pt>
                <c:pt idx="4" formatCode="0">
                  <c:v>1423</c:v>
                </c:pt>
                <c:pt idx="5" formatCode="0">
                  <c:v>1523</c:v>
                </c:pt>
                <c:pt idx="6" formatCode="0">
                  <c:v>2267</c:v>
                </c:pt>
                <c:pt idx="7" formatCode="0">
                  <c:v>2210</c:v>
                </c:pt>
                <c:pt idx="8" formatCode="0">
                  <c:v>2146</c:v>
                </c:pt>
                <c:pt idx="9" formatCode="0">
                  <c:v>2280</c:v>
                </c:pt>
                <c:pt idx="10" formatCode="0">
                  <c:v>2066</c:v>
                </c:pt>
                <c:pt idx="11" formatCode="0">
                  <c:v>1756</c:v>
                </c:pt>
                <c:pt idx="12" formatCode="0">
                  <c:v>1746</c:v>
                </c:pt>
                <c:pt idx="13" formatCode="0">
                  <c:v>2626</c:v>
                </c:pt>
                <c:pt idx="14" formatCode="0">
                  <c:v>2690</c:v>
                </c:pt>
                <c:pt idx="15" formatCode="0">
                  <c:v>2254</c:v>
                </c:pt>
                <c:pt idx="16" formatCode="0">
                  <c:v>2596</c:v>
                </c:pt>
                <c:pt idx="17" formatCode="0">
                  <c:v>1921</c:v>
                </c:pt>
                <c:pt idx="18" formatCode="0">
                  <c:v>1594</c:v>
                </c:pt>
                <c:pt idx="19" formatCode="0">
                  <c:v>1981</c:v>
                </c:pt>
                <c:pt idx="20" formatCode="0">
                  <c:v>2749</c:v>
                </c:pt>
                <c:pt idx="21" formatCode="0">
                  <c:v>2409</c:v>
                </c:pt>
                <c:pt idx="22" formatCode="0">
                  <c:v>2402</c:v>
                </c:pt>
                <c:pt idx="23" formatCode="0">
                  <c:v>1992</c:v>
                </c:pt>
                <c:pt idx="24" formatCode="0">
                  <c:v>2110</c:v>
                </c:pt>
                <c:pt idx="25" formatCode="0">
                  <c:v>1170</c:v>
                </c:pt>
                <c:pt idx="26" formatCode="0">
                  <c:v>1403</c:v>
                </c:pt>
                <c:pt idx="27" formatCode="0">
                  <c:v>2537</c:v>
                </c:pt>
                <c:pt idx="28" formatCode="0">
                  <c:v>2442</c:v>
                </c:pt>
                <c:pt idx="29" formatCode="0">
                  <c:v>2274</c:v>
                </c:pt>
                <c:pt idx="30" formatCode="0">
                  <c:v>1947</c:v>
                </c:pt>
                <c:pt idx="31" formatCode="0">
                  <c:v>1730</c:v>
                </c:pt>
                <c:pt idx="32" formatCode="0">
                  <c:v>1175</c:v>
                </c:pt>
                <c:pt idx="33" formatCode="0">
                  <c:v>1338</c:v>
                </c:pt>
                <c:pt idx="34" formatCode="0">
                  <c:v>2404</c:v>
                </c:pt>
                <c:pt idx="35" formatCode="0">
                  <c:v>2574</c:v>
                </c:pt>
                <c:pt idx="36" formatCode="0">
                  <c:v>2173</c:v>
                </c:pt>
                <c:pt idx="37" formatCode="0">
                  <c:v>1713</c:v>
                </c:pt>
                <c:pt idx="38" formatCode="0">
                  <c:v>1451</c:v>
                </c:pt>
                <c:pt idx="39" formatCode="0">
                  <c:v>1215</c:v>
                </c:pt>
                <c:pt idx="40" formatCode="0">
                  <c:v>1075</c:v>
                </c:pt>
                <c:pt idx="41" formatCode="0">
                  <c:v>1912</c:v>
                </c:pt>
                <c:pt idx="42" formatCode="0">
                  <c:v>1857</c:v>
                </c:pt>
                <c:pt idx="43" formatCode="0">
                  <c:v>1791</c:v>
                </c:pt>
                <c:pt idx="44" formatCode="0">
                  <c:v>1637</c:v>
                </c:pt>
                <c:pt idx="45" formatCode="0">
                  <c:v>1239</c:v>
                </c:pt>
                <c:pt idx="46" formatCode="0">
                  <c:v>882</c:v>
                </c:pt>
                <c:pt idx="47" formatCode="0">
                  <c:v>1018</c:v>
                </c:pt>
                <c:pt idx="48" formatCode="0">
                  <c:v>1582</c:v>
                </c:pt>
                <c:pt idx="49" formatCode="0">
                  <c:v>1432</c:v>
                </c:pt>
                <c:pt idx="50" formatCode="0">
                  <c:v>1432</c:v>
                </c:pt>
                <c:pt idx="51" formatCode="0">
                  <c:v>1322</c:v>
                </c:pt>
                <c:pt idx="52" formatCode="0">
                  <c:v>1053</c:v>
                </c:pt>
                <c:pt idx="53" formatCode="0">
                  <c:v>626</c:v>
                </c:pt>
                <c:pt idx="54" formatCode="0">
                  <c:v>636</c:v>
                </c:pt>
                <c:pt idx="55" formatCode="0">
                  <c:v>783</c:v>
                </c:pt>
                <c:pt idx="56" formatCode="0">
                  <c:v>1563</c:v>
                </c:pt>
                <c:pt idx="57" formatCode="0">
                  <c:v>1239</c:v>
                </c:pt>
                <c:pt idx="58" formatCode="0">
                  <c:v>1234</c:v>
                </c:pt>
                <c:pt idx="59" formatCode="0">
                  <c:v>1033</c:v>
                </c:pt>
                <c:pt idx="60" formatCode="0">
                  <c:v>651</c:v>
                </c:pt>
                <c:pt idx="61" formatCode="0">
                  <c:v>695</c:v>
                </c:pt>
                <c:pt idx="62" formatCode="0">
                  <c:v>1147</c:v>
                </c:pt>
                <c:pt idx="63" formatCode="0">
                  <c:v>1104</c:v>
                </c:pt>
                <c:pt idx="64" formatCode="0">
                  <c:v>1050</c:v>
                </c:pt>
                <c:pt idx="65" formatCode="0">
                  <c:v>988</c:v>
                </c:pt>
                <c:pt idx="66" formatCode="0">
                  <c:v>717</c:v>
                </c:pt>
                <c:pt idx="67" formatCode="0">
                  <c:v>384</c:v>
                </c:pt>
                <c:pt idx="68" formatCode="0">
                  <c:v>598</c:v>
                </c:pt>
                <c:pt idx="69" formatCode="0">
                  <c:v>1105</c:v>
                </c:pt>
                <c:pt idx="70" formatCode="0">
                  <c:v>998</c:v>
                </c:pt>
                <c:pt idx="71" formatCode="0">
                  <c:v>918</c:v>
                </c:pt>
                <c:pt idx="72" formatCode="0">
                  <c:v>800</c:v>
                </c:pt>
                <c:pt idx="73" formatCode="0">
                  <c:v>716</c:v>
                </c:pt>
                <c:pt idx="74" formatCode="0">
                  <c:v>336</c:v>
                </c:pt>
                <c:pt idx="75" formatCode="0">
                  <c:v>432</c:v>
                </c:pt>
                <c:pt idx="76" formatCode="0">
                  <c:v>858</c:v>
                </c:pt>
                <c:pt idx="77" formatCode="0">
                  <c:v>819</c:v>
                </c:pt>
                <c:pt idx="78" formatCode="0">
                  <c:v>756</c:v>
                </c:pt>
                <c:pt idx="79" formatCode="0">
                  <c:v>729</c:v>
                </c:pt>
                <c:pt idx="80" formatCode="0">
                  <c:v>582</c:v>
                </c:pt>
                <c:pt idx="81" formatCode="0">
                  <c:v>270</c:v>
                </c:pt>
                <c:pt idx="82" formatCode="0">
                  <c:v>369</c:v>
                </c:pt>
                <c:pt idx="83" formatCode="0">
                  <c:v>871</c:v>
                </c:pt>
                <c:pt idx="84" formatCode="0">
                  <c:v>819</c:v>
                </c:pt>
                <c:pt idx="85" formatCode="0">
                  <c:v>653</c:v>
                </c:pt>
                <c:pt idx="86" formatCode="0">
                  <c:v>663</c:v>
                </c:pt>
                <c:pt idx="87" formatCode="0">
                  <c:v>512</c:v>
                </c:pt>
                <c:pt idx="88" formatCode="0">
                  <c:v>285</c:v>
                </c:pt>
                <c:pt idx="89" formatCode="0">
                  <c:v>366</c:v>
                </c:pt>
                <c:pt idx="90" formatCode="0">
                  <c:v>726</c:v>
                </c:pt>
                <c:pt idx="91" formatCode="0">
                  <c:v>676</c:v>
                </c:pt>
                <c:pt idx="92" formatCode="0">
                  <c:v>687</c:v>
                </c:pt>
                <c:pt idx="93" formatCode="0">
                  <c:v>626</c:v>
                </c:pt>
                <c:pt idx="94" formatCode="0">
                  <c:v>266</c:v>
                </c:pt>
                <c:pt idx="95" formatCode="0">
                  <c:v>263</c:v>
                </c:pt>
                <c:pt idx="96" formatCode="0">
                  <c:v>378</c:v>
                </c:pt>
                <c:pt idx="97" formatCode="0">
                  <c:v>993</c:v>
                </c:pt>
                <c:pt idx="98" formatCode="0">
                  <c:v>891</c:v>
                </c:pt>
                <c:pt idx="99" formatCode="0">
                  <c:v>961</c:v>
                </c:pt>
                <c:pt idx="100" formatCode="0">
                  <c:v>848</c:v>
                </c:pt>
                <c:pt idx="101" formatCode="0">
                  <c:v>732</c:v>
                </c:pt>
                <c:pt idx="102" formatCode="0">
                  <c:v>381</c:v>
                </c:pt>
                <c:pt idx="103" formatCode="0">
                  <c:v>465</c:v>
                </c:pt>
                <c:pt idx="104" formatCode="0">
                  <c:v>936</c:v>
                </c:pt>
                <c:pt idx="105" formatCode="0">
                  <c:v>1002</c:v>
                </c:pt>
                <c:pt idx="106" formatCode="0">
                  <c:v>963</c:v>
                </c:pt>
                <c:pt idx="107" formatCode="0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Analysis'!$B$14:$B$127</c:f>
              <c:numCache>
                <c:formatCode>d\-mmm</c:formatCode>
                <c:ptCount val="114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</c:numCache>
            </c:numRef>
          </c:cat>
          <c:val>
            <c:numRef>
              <c:f>'USA Analysis'!$D$14:$D$127</c:f>
              <c:numCache>
                <c:formatCode>General</c:formatCode>
                <c:ptCount val="114"/>
                <c:pt idx="0">
                  <c:v>17532</c:v>
                </c:pt>
                <c:pt idx="1">
                  <c:v>18916</c:v>
                </c:pt>
                <c:pt idx="2">
                  <c:v>19666</c:v>
                </c:pt>
                <c:pt idx="3">
                  <c:v>20276</c:v>
                </c:pt>
                <c:pt idx="4">
                  <c:v>23296</c:v>
                </c:pt>
                <c:pt idx="5">
                  <c:v>25292</c:v>
                </c:pt>
                <c:pt idx="6">
                  <c:v>27111</c:v>
                </c:pt>
                <c:pt idx="7">
                  <c:v>30571</c:v>
                </c:pt>
                <c:pt idx="8">
                  <c:v>32963</c:v>
                </c:pt>
                <c:pt idx="9">
                  <c:v>34685</c:v>
                </c:pt>
                <c:pt idx="10">
                  <c:v>25901</c:v>
                </c:pt>
                <c:pt idx="11">
                  <c:v>31750</c:v>
                </c:pt>
                <c:pt idx="12">
                  <c:v>34071</c:v>
                </c:pt>
                <c:pt idx="13">
                  <c:v>32514</c:v>
                </c:pt>
                <c:pt idx="14">
                  <c:v>34086</c:v>
                </c:pt>
                <c:pt idx="15" formatCode="0">
                  <c:v>34244</c:v>
                </c:pt>
                <c:pt idx="16" formatCode="0">
                  <c:v>30488</c:v>
                </c:pt>
                <c:pt idx="17" formatCode="0">
                  <c:v>27860</c:v>
                </c:pt>
                <c:pt idx="18" formatCode="0">
                  <c:v>27094</c:v>
                </c:pt>
                <c:pt idx="19" formatCode="0">
                  <c:v>27441</c:v>
                </c:pt>
                <c:pt idx="20" formatCode="0">
                  <c:v>30676</c:v>
                </c:pt>
                <c:pt idx="21" formatCode="0">
                  <c:v>30143</c:v>
                </c:pt>
                <c:pt idx="22" formatCode="0">
                  <c:v>32496</c:v>
                </c:pt>
                <c:pt idx="23" formatCode="0">
                  <c:v>29193</c:v>
                </c:pt>
                <c:pt idx="24" formatCode="0">
                  <c:v>26197</c:v>
                </c:pt>
                <c:pt idx="25" formatCode="0">
                  <c:v>28222</c:v>
                </c:pt>
                <c:pt idx="26" formatCode="0">
                  <c:v>26238</c:v>
                </c:pt>
                <c:pt idx="27" formatCode="0">
                  <c:v>30305</c:v>
                </c:pt>
                <c:pt idx="28" formatCode="0">
                  <c:v>32073</c:v>
                </c:pt>
                <c:pt idx="29" formatCode="0">
                  <c:v>39123</c:v>
                </c:pt>
                <c:pt idx="30" formatCode="0">
                  <c:v>35523</c:v>
                </c:pt>
                <c:pt idx="31" formatCode="0">
                  <c:v>26588</c:v>
                </c:pt>
                <c:pt idx="32" formatCode="0">
                  <c:v>23267</c:v>
                </c:pt>
                <c:pt idx="33" formatCode="0">
                  <c:v>25573</c:v>
                </c:pt>
                <c:pt idx="34" formatCode="0">
                  <c:v>28595</c:v>
                </c:pt>
                <c:pt idx="35" formatCode="0">
                  <c:v>31000</c:v>
                </c:pt>
                <c:pt idx="36" formatCode="0">
                  <c:v>36161</c:v>
                </c:pt>
                <c:pt idx="37" formatCode="0">
                  <c:v>29869</c:v>
                </c:pt>
                <c:pt idx="38" formatCode="0">
                  <c:v>27438</c:v>
                </c:pt>
                <c:pt idx="39" formatCode="0">
                  <c:v>24759</c:v>
                </c:pt>
                <c:pt idx="40" formatCode="0">
                  <c:v>24909</c:v>
                </c:pt>
                <c:pt idx="41" formatCode="0">
                  <c:v>25578</c:v>
                </c:pt>
                <c:pt idx="42" formatCode="0">
                  <c:v>29643</c:v>
                </c:pt>
                <c:pt idx="43" formatCode="0">
                  <c:v>29292</c:v>
                </c:pt>
                <c:pt idx="44" formatCode="0">
                  <c:v>26235</c:v>
                </c:pt>
                <c:pt idx="45" formatCode="0">
                  <c:v>20818</c:v>
                </c:pt>
                <c:pt idx="46" formatCode="0">
                  <c:v>18706</c:v>
                </c:pt>
                <c:pt idx="47" formatCode="0">
                  <c:v>23024</c:v>
                </c:pt>
                <c:pt idx="48" formatCode="0">
                  <c:v>22390</c:v>
                </c:pt>
                <c:pt idx="49" formatCode="0">
                  <c:v>28095</c:v>
                </c:pt>
                <c:pt idx="50" formatCode="0">
                  <c:v>27624</c:v>
                </c:pt>
                <c:pt idx="51" formatCode="0">
                  <c:v>24332</c:v>
                </c:pt>
                <c:pt idx="52" formatCode="0">
                  <c:v>20201</c:v>
                </c:pt>
                <c:pt idx="53" formatCode="0">
                  <c:v>23543</c:v>
                </c:pt>
                <c:pt idx="54" formatCode="0">
                  <c:v>20801</c:v>
                </c:pt>
                <c:pt idx="55" formatCode="0">
                  <c:v>22672</c:v>
                </c:pt>
                <c:pt idx="56" formatCode="0">
                  <c:v>28844</c:v>
                </c:pt>
                <c:pt idx="57" formatCode="0">
                  <c:v>24666</c:v>
                </c:pt>
                <c:pt idx="58" formatCode="0">
                  <c:v>21939</c:v>
                </c:pt>
                <c:pt idx="59" formatCode="0">
                  <c:v>19930</c:v>
                </c:pt>
                <c:pt idx="60" formatCode="0">
                  <c:v>19920</c:v>
                </c:pt>
                <c:pt idx="61" formatCode="0">
                  <c:v>19400</c:v>
                </c:pt>
                <c:pt idx="62" formatCode="0">
                  <c:v>20754</c:v>
                </c:pt>
                <c:pt idx="63" formatCode="0">
                  <c:v>23085</c:v>
                </c:pt>
                <c:pt idx="64" formatCode="0">
                  <c:v>25697</c:v>
                </c:pt>
                <c:pt idx="65" formatCode="0">
                  <c:v>23763</c:v>
                </c:pt>
                <c:pt idx="66" formatCode="0">
                  <c:v>20755</c:v>
                </c:pt>
                <c:pt idx="67" formatCode="0">
                  <c:v>22431</c:v>
                </c:pt>
                <c:pt idx="68" formatCode="0">
                  <c:v>22287</c:v>
                </c:pt>
                <c:pt idx="69" formatCode="0">
                  <c:v>20831</c:v>
                </c:pt>
                <c:pt idx="70" formatCode="0">
                  <c:v>22850</c:v>
                </c:pt>
                <c:pt idx="71" formatCode="0">
                  <c:v>25427</c:v>
                </c:pt>
                <c:pt idx="72" formatCode="0">
                  <c:v>22862</c:v>
                </c:pt>
                <c:pt idx="73" formatCode="0">
                  <c:v>18933</c:v>
                </c:pt>
                <c:pt idx="74" formatCode="0">
                  <c:v>19069</c:v>
                </c:pt>
                <c:pt idx="75" formatCode="0">
                  <c:v>19085</c:v>
                </c:pt>
                <c:pt idx="76" formatCode="0">
                  <c:v>21040</c:v>
                </c:pt>
                <c:pt idx="77" formatCode="0">
                  <c:v>23490</c:v>
                </c:pt>
                <c:pt idx="78" formatCode="0">
                  <c:v>27405</c:v>
                </c:pt>
                <c:pt idx="79" formatCode="0">
                  <c:v>25490</c:v>
                </c:pt>
                <c:pt idx="80" formatCode="0">
                  <c:v>20181</c:v>
                </c:pt>
                <c:pt idx="81" formatCode="0">
                  <c:v>20901</c:v>
                </c:pt>
                <c:pt idx="82" formatCode="0">
                  <c:v>25634</c:v>
                </c:pt>
                <c:pt idx="83" formatCode="0">
                  <c:v>26257</c:v>
                </c:pt>
                <c:pt idx="84" formatCode="0">
                  <c:v>27964</c:v>
                </c:pt>
                <c:pt idx="85" formatCode="0">
                  <c:v>33582</c:v>
                </c:pt>
                <c:pt idx="86" formatCode="0">
                  <c:v>33431</c:v>
                </c:pt>
                <c:pt idx="87" formatCode="0">
                  <c:v>26118</c:v>
                </c:pt>
                <c:pt idx="88" formatCode="0">
                  <c:v>31538</c:v>
                </c:pt>
                <c:pt idx="89" formatCode="0">
                  <c:v>36066</c:v>
                </c:pt>
                <c:pt idx="90" formatCode="0">
                  <c:v>38434</c:v>
                </c:pt>
                <c:pt idx="91" formatCode="0">
                  <c:v>40236</c:v>
                </c:pt>
                <c:pt idx="92" formatCode="0">
                  <c:v>47365</c:v>
                </c:pt>
                <c:pt idx="93" formatCode="0">
                  <c:v>43599</c:v>
                </c:pt>
                <c:pt idx="94" formatCode="0">
                  <c:v>40563</c:v>
                </c:pt>
                <c:pt idx="95" formatCode="0">
                  <c:v>44764</c:v>
                </c:pt>
                <c:pt idx="96" formatCode="0">
                  <c:v>46075</c:v>
                </c:pt>
                <c:pt idx="97" formatCode="0">
                  <c:v>52361</c:v>
                </c:pt>
                <c:pt idx="98" formatCode="0">
                  <c:v>57522</c:v>
                </c:pt>
                <c:pt idx="99" formatCode="0">
                  <c:v>59619</c:v>
                </c:pt>
                <c:pt idx="100" formatCode="0">
                  <c:v>49999</c:v>
                </c:pt>
                <c:pt idx="101" formatCode="0">
                  <c:v>46036</c:v>
                </c:pt>
                <c:pt idx="102" formatCode="0">
                  <c:v>50771</c:v>
                </c:pt>
                <c:pt idx="103" formatCode="0">
                  <c:v>55856</c:v>
                </c:pt>
                <c:pt idx="104" formatCode="0">
                  <c:v>62298</c:v>
                </c:pt>
                <c:pt idx="105" formatCode="0">
                  <c:v>61574</c:v>
                </c:pt>
                <c:pt idx="106" formatCode="0">
                  <c:v>72278</c:v>
                </c:pt>
                <c:pt idx="107" formatCode="0">
                  <c:v>62004</c:v>
                </c:pt>
                <c:pt idx="108" formatCode="0">
                  <c:v>58621</c:v>
                </c:pt>
                <c:pt idx="109" formatCode="0">
                  <c:v>65789</c:v>
                </c:pt>
                <c:pt idx="110" formatCode="0">
                  <c:v>66048</c:v>
                </c:pt>
                <c:pt idx="111" formatCode="0">
                  <c:v>72005</c:v>
                </c:pt>
                <c:pt idx="112" formatCode="0">
                  <c:v>73388</c:v>
                </c:pt>
                <c:pt idx="113" formatCode="0">
                  <c:v>74987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Analysis'!$A$20:$A$124</c:f>
              <c:numCache>
                <c:formatCode>d\-mmm</c:formatCode>
                <c:ptCount val="10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</c:numCache>
            </c:numRef>
          </c:cat>
          <c:val>
            <c:numRef>
              <c:f>'NH Analysis'!$E$20:$E$124</c:f>
              <c:numCache>
                <c:formatCode>General</c:formatCode>
                <c:ptCount val="105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  <c:pt idx="102">
                  <c:v>1.1921079958463137</c:v>
                </c:pt>
                <c:pt idx="103">
                  <c:v>1.1558307533539731</c:v>
                </c:pt>
                <c:pt idx="104">
                  <c:v>1.0082304526748971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Analysis'!$A$20:$A$124</c:f>
              <c:numCache>
                <c:formatCode>d\-mmm</c:formatCode>
                <c:ptCount val="10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</c:numCache>
            </c:numRef>
          </c:cat>
          <c:val>
            <c:numRef>
              <c:f>'NH Analysis'!$B$20:$B$124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  <c:pt idx="102" formatCode="0">
                  <c:v>0</c:v>
                </c:pt>
                <c:pt idx="103" formatCode="0">
                  <c:v>0</c:v>
                </c:pt>
                <c:pt idx="104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Analysis'!$A$20:$A$124</c:f>
              <c:numCache>
                <c:formatCode>d\-mmm</c:formatCode>
                <c:ptCount val="10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</c:numCache>
            </c:numRef>
          </c:cat>
          <c:val>
            <c:numRef>
              <c:f>'NH Analysis'!$C$20:$C$124</c:f>
              <c:numCache>
                <c:formatCode>General</c:formatCode>
                <c:ptCount val="105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  <c:pt idx="102" formatCode="0">
                  <c:v>31</c:v>
                </c:pt>
                <c:pt idx="103" formatCode="0">
                  <c:v>16</c:v>
                </c:pt>
                <c:pt idx="104" formatCode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98930</xdr:colOff>
      <xdr:row>82</xdr:row>
      <xdr:rowOff>162440</xdr:rowOff>
    </xdr:from>
    <xdr:to>
      <xdr:col>13</xdr:col>
      <xdr:colOff>4005</xdr:colOff>
      <xdr:row>94</xdr:row>
      <xdr:rowOff>34810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95755</xdr:colOff>
      <xdr:row>94</xdr:row>
      <xdr:rowOff>73200</xdr:rowOff>
    </xdr:from>
    <xdr:to>
      <xdr:col>12</xdr:col>
      <xdr:colOff>873955</xdr:colOff>
      <xdr:row>105</xdr:row>
      <xdr:rowOff>188200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95250</xdr:colOff>
      <xdr:row>106</xdr:row>
      <xdr:rowOff>57150</xdr:rowOff>
    </xdr:from>
    <xdr:to>
      <xdr:col>12</xdr:col>
      <xdr:colOff>873450</xdr:colOff>
      <xdr:row>117</xdr:row>
      <xdr:rowOff>168975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5" totalsRowCount="1">
  <autoFilter ref="B1:T214" xr:uid="{00000000-0009-0000-0100-000001000000}"/>
  <sortState xmlns:xlrd2="http://schemas.microsoft.com/office/spreadsheetml/2017/richdata2" ref="B2:T214">
    <sortCondition ref="J1:J214"/>
  </sortState>
  <tableColumns count="19">
    <tableColumn id="1" xr3:uid="{00000000-0010-0000-0000-000001000000}" name="Rank" totalsRowFunction="custom" totalsRowDxfId="18">
      <totalsRowFormula>AVERAGE(Table1[Rank])</totalsRowFormula>
    </tableColumn>
    <tableColumn id="2" xr3:uid="{00000000-0010-0000-0000-000002000000}" name="Country" totalsRowFunction="custom" totalsRowDxfId="17">
      <totalsRowFormula>AVERAGE(Table1[Country])</totalsRowFormula>
    </tableColumn>
    <tableColumn id="3" xr3:uid="{00000000-0010-0000-0000-000003000000}" name="Cases" totalsRowFunction="custom" totalsRowDxfId="16">
      <totalsRowFormula>AVERAGE(Table1[Cases])</totalsRowFormula>
    </tableColumn>
    <tableColumn id="5" xr3:uid="{00000000-0010-0000-0000-000005000000}" name="Deaths" totalsRowFunction="custom" totalsRowDxfId="15">
      <totalsRowFormula>AVERAGE(Table1[Deaths])</totalsRowFormula>
    </tableColumn>
    <tableColumn id="7" xr3:uid="{00000000-0010-0000-0000-000007000000}" name="Recovered" totalsRowFunction="custom" totalsRowDxfId="14">
      <totalsRowFormula>AVERAGE(Table1[Recovered])</totalsRowFormula>
    </tableColumn>
    <tableColumn id="8" xr3:uid="{00000000-0010-0000-0000-000008000000}" name="Active" totalsRowFunction="custom" totalsRowDxfId="13">
      <totalsRowFormula>AVERAGE(Table1[Active])</totalsRowFormula>
    </tableColumn>
    <tableColumn id="9" xr3:uid="{00000000-0010-0000-0000-000009000000}" name="Serious, Critical" totalsRowFunction="custom" totalsRowDxfId="12">
      <totalsRowFormula>AVERAGE(Table1[Serious, Critical])</totalsRowFormula>
    </tableColumn>
    <tableColumn id="14" xr3:uid="{00000000-0010-0000-0000-00000E000000}" name="Population" totalsRowFunction="custom" dataDxfId="19" totalsRowDxfId="11" dataCellStyle="Hyperlink">
      <totalsRowFormula>AVERAGE(Table1[Population])</totalsRowFormula>
    </tableColumn>
    <tableColumn id="15" xr3:uid="{00000000-0010-0000-0000-00000F000000}" name="1/# " totalsRowFunction="custom" totalsRowDxfId="10">
      <totalsRowFormula>AVERAGE(Table1[1/'# ])</totalsRowFormula>
    </tableColumn>
    <tableColumn id="16" xr3:uid="{00000000-0010-0000-0000-000010000000}" name="1/# Deaths" totalsRowFunction="custom" totalsRowDxfId="9">
      <totalsRowFormula>AVERAGE(Table1[1/'# Deaths])</totalsRowFormula>
    </tableColumn>
    <tableColumn id="17" xr3:uid="{00000000-0010-0000-0000-000011000000}" name="Ex(Deaths)" totalsRowFunction="custom" totalsRowDxfId="8">
      <totalsRowFormula>AVERAGE(Table1[Ex(Deaths)])</totalsRowFormula>
    </tableColumn>
    <tableColumn id="18" xr3:uid="{00000000-0010-0000-0000-000012000000}" name="Death Rate" totalsRowFunction="custom" totalsRowDxfId="7">
      <totalsRowFormula>AVERAGE(Table1[Death Rate])</totalsRowFormula>
    </tableColumn>
    <tableColumn id="19" xr3:uid="{00000000-0010-0000-0000-000013000000}" name="Cases per Death" totalsRowFunction="custom" totalsRowDxfId="6">
      <totalsRowFormula>AVERAGE(Table1[Cases per Death])</totalsRowFormula>
    </tableColumn>
    <tableColumn id="20" xr3:uid="{00000000-0010-0000-0000-000014000000}" name="Percent Infected" totalsRowFunction="custom" totalsRowDxfId="5">
      <totalsRowFormula>AVERAGE(Table1[Percent Infected])</totalsRowFormula>
    </tableColumn>
    <tableColumn id="21" xr3:uid="{00000000-0010-0000-0000-000015000000}" name="Percent Dead" totalsRowFunction="custom" totalsRowDxfId="4">
      <totalsRowFormula>AVERAGE(Table1[Percent Dead])</totalsRowFormula>
    </tableColumn>
    <tableColumn id="22" xr3:uid="{00000000-0010-0000-0000-000016000000}" name="Percent Ex(Death)" totalsRowFunction="custom" totalsRowDxfId="3">
      <totalsRowFormula>AVERAGE(Table1[Percent Ex(Death)])</totalsRowFormula>
    </tableColumn>
    <tableColumn id="25" xr3:uid="{00000000-0010-0000-0000-000019000000}" name="% Active" totalsRowFunction="custom" totalsRowDxfId="2">
      <totalsRowFormula>AVERAGE(Table1[% Active])</totalsRowFormula>
    </tableColumn>
    <tableColumn id="4" xr3:uid="{C5BC61F0-787C-4B13-B094-7F65C2839684}" name="Percent Actively Infected" dataDxfId="23" totalsRowDxfId="1">
      <calculatedColumnFormula>Table1[[#This Row],[Percent Infected]]*Table1[[#This Row],[% Active]]</calculatedColumnFormula>
    </tableColumn>
    <tableColumn id="6" xr3:uid="{C200E07E-202A-4F23-AD30-2B5D0B3475C7}" name="1/# Active" dataDxfId="22" totalsRowDxfId="0">
      <calculatedColumnFormula>1/Table1[[#This Row],[Percent Actively Infected]]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62" totalsRowShown="0">
  <autoFilter ref="A1:X62" xr:uid="{00000000-0009-0000-0100-000002000000}"/>
  <sortState xmlns:xlrd2="http://schemas.microsoft.com/office/spreadsheetml/2017/richdata2" ref="A2:X58">
    <sortCondition ref="X1:X58"/>
  </sortState>
  <tableColumns count="24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1">
      <calculatedColumnFormula>Table2[[#This Row],[Percent Infected]]*Table2[[#This Row],[% Active]]</calculatedColumnFormula>
    </tableColumn>
    <tableColumn id="24" xr3:uid="{6B6B44B4-3DE3-4BD0-979D-79BA94F42EB9}" name="1/# Active" dataDxfId="20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ustria-population/" TargetMode="External"/><Relationship Id="rId299" Type="http://schemas.openxmlformats.org/officeDocument/2006/relationships/hyperlink" Target="https://www.worldometers.info/coronavirus/country/angol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south-korea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guinea-bissau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jamaica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sint-maarten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ethiopi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zambia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south-kore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coronavirus/country/guatemal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democratic-republic-of-the-congo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iceland/" TargetMode="External"/><Relationship Id="rId259" Type="http://schemas.openxmlformats.org/officeDocument/2006/relationships/hyperlink" Target="https://www.worldometers.info/coronavirus/country/zimbabwe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romani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ethiopia-population/" TargetMode="External"/><Relationship Id="rId368" Type="http://schemas.openxmlformats.org/officeDocument/2006/relationships/hyperlink" Target="https://www.worldometers.info/world-population/sint-maarte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estonia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zimbabw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world-population/guatemal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tate-of-palestine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iceland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romani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esto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witzerland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state-of-palestine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bahrai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denmark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belaru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switzer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bahrain-population/" TargetMode="External"/><Relationship Id="rId112" Type="http://schemas.openxmlformats.org/officeDocument/2006/relationships/hyperlink" Target="https://www.worldometers.info/coronavirus/country/serbia/" TargetMode="External"/><Relationship Id="rId133" Type="http://schemas.openxmlformats.org/officeDocument/2006/relationships/hyperlink" Target="https://www.worldometers.info/world-population/denmark-population/" TargetMode="External"/><Relationship Id="rId154" Type="http://schemas.openxmlformats.org/officeDocument/2006/relationships/hyperlink" Target="https://www.worldometers.info/coronavirus/country/malaysia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libya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belarus-population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indonesia/" TargetMode="External"/><Relationship Id="rId69" Type="http://schemas.openxmlformats.org/officeDocument/2006/relationships/hyperlink" Target="https://www.worldometers.info/coronavirus/country/united-arab-emirates/" TargetMode="External"/><Relationship Id="rId113" Type="http://schemas.openxmlformats.org/officeDocument/2006/relationships/hyperlink" Target="https://www.worldometers.info/world-population/serb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malays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libya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nited-arab-emirates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yotte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indonesia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burkina-faso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angol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coronavirus/country/singapore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negal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namib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bolivia/" TargetMode="External"/><Relationship Id="rId92" Type="http://schemas.openxmlformats.org/officeDocument/2006/relationships/hyperlink" Target="https://www.worldometers.info/coronavirus/country/afghanistan/" TargetMode="External"/><Relationship Id="rId213" Type="http://schemas.openxmlformats.org/officeDocument/2006/relationships/hyperlink" Target="https://www.worldometers.info/world-population/mayotte-population/" TargetMode="External"/><Relationship Id="rId234" Type="http://schemas.openxmlformats.org/officeDocument/2006/relationships/hyperlink" Target="https://www.worldometers.info/coronavirus/country/cabo-verd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burkina-faso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senegal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philippines/" TargetMode="External"/><Relationship Id="rId82" Type="http://schemas.openxmlformats.org/officeDocument/2006/relationships/hyperlink" Target="https://www.worldometers.info/world-population/singapore-population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world-population/namib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bolivia-population/" TargetMode="External"/><Relationship Id="rId93" Type="http://schemas.openxmlformats.org/officeDocument/2006/relationships/hyperlink" Target="https://www.worldometers.info/world-population/afghanista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cabo-verde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ust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philippines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ierra-leone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norway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guinea-bissau/" TargetMode="External"/><Relationship Id="rId257" Type="http://schemas.openxmlformats.org/officeDocument/2006/relationships/hyperlink" Target="https://www.worldometers.info/coronavirus/country/mozambique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ierra-leone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jamaica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norway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democratic-republic-of-the-congo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zambique-popula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coronavirus/usa/louisiana/" TargetMode="External"/><Relationship Id="rId117" Type="http://schemas.openxmlformats.org/officeDocument/2006/relationships/hyperlink" Target="https://covid19.healthdata.org/united-states-of-america/hawaii" TargetMode="External"/><Relationship Id="rId21" Type="http://schemas.openxmlformats.org/officeDocument/2006/relationships/hyperlink" Target="https://covid19.healthdata.org/united-states-of-america/massachusetts" TargetMode="External"/><Relationship Id="rId42" Type="http://schemas.openxmlformats.org/officeDocument/2006/relationships/hyperlink" Target="https://alpublichealth.maps.arcgis.com/apps/opsdashboard/index.html" TargetMode="External"/><Relationship Id="rId47" Type="http://schemas.openxmlformats.org/officeDocument/2006/relationships/hyperlink" Target="https://covid19.healthdata.org/united-states-of-america/connecticut" TargetMode="External"/><Relationship Id="rId63" Type="http://schemas.openxmlformats.org/officeDocument/2006/relationships/hyperlink" Target="https://www.worldometers.info/coronavirus/usa/nevada/" TargetMode="External"/><Relationship Id="rId68" Type="http://schemas.openxmlformats.org/officeDocument/2006/relationships/hyperlink" Target="https://www.worldometers.info/coronavirus/usa/arkansas/" TargetMode="External"/><Relationship Id="rId84" Type="http://schemas.openxmlformats.org/officeDocument/2006/relationships/hyperlink" Target="https://covid19.healthdata.org/united-states-of-america/oregon" TargetMode="External"/><Relationship Id="rId89" Type="http://schemas.openxmlformats.org/officeDocument/2006/relationships/hyperlink" Target="https://covid19.healthdata.org/united-states-of-america/delaware" TargetMode="External"/><Relationship Id="rId112" Type="http://schemas.openxmlformats.org/officeDocument/2006/relationships/hyperlink" Target="https://covid19.healthdata.org/united-states-of-america/alaska" TargetMode="External"/><Relationship Id="rId16" Type="http://schemas.openxmlformats.org/officeDocument/2006/relationships/hyperlink" Target="https://www.worldometers.info/coronavirus/usa/georgia/" TargetMode="External"/><Relationship Id="rId107" Type="http://schemas.openxmlformats.org/officeDocument/2006/relationships/hyperlink" Target="https://covid19.healthdata.org/united-states-of-america/montana" TargetMode="External"/><Relationship Id="rId11" Type="http://schemas.openxmlformats.org/officeDocument/2006/relationships/hyperlink" Target="https://www.worldometers.info/coronavirus/usa/illinois/" TargetMode="External"/><Relationship Id="rId32" Type="http://schemas.openxmlformats.org/officeDocument/2006/relationships/hyperlink" Target="https://covid19.healthdata.org/united-states-of-america/maryland" TargetMode="External"/><Relationship Id="rId37" Type="http://schemas.openxmlformats.org/officeDocument/2006/relationships/hyperlink" Target="https://www.worldometers.info/coronavirus/usa/ohio/" TargetMode="External"/><Relationship Id="rId53" Type="http://schemas.openxmlformats.org/officeDocument/2006/relationships/hyperlink" Target="https://covid19.healthdata.org/united-states-of-america/mississippi" TargetMode="External"/><Relationship Id="rId58" Type="http://schemas.openxmlformats.org/officeDocument/2006/relationships/hyperlink" Target="https://covid19.healthdata.org/united-states-of-america/colorado" TargetMode="External"/><Relationship Id="rId74" Type="http://schemas.openxmlformats.org/officeDocument/2006/relationships/hyperlink" Target="https://www.worldometers.info/coronavirus/usa/kansas/" TargetMode="External"/><Relationship Id="rId79" Type="http://schemas.openxmlformats.org/officeDocument/2006/relationships/hyperlink" Target="https://docs.google.com/spreadsheets/d/1c2QrNMz8pIbYEKzMJL7Uh2dtThOJa2j1sSMwiDo5Gz4/edit" TargetMode="External"/><Relationship Id="rId102" Type="http://schemas.openxmlformats.org/officeDocument/2006/relationships/hyperlink" Target="https://dhhr.wv.gov/COVID-19/Pages/default.aspx" TargetMode="External"/><Relationship Id="rId5" Type="http://schemas.openxmlformats.org/officeDocument/2006/relationships/hyperlink" Target="https://www.worldometers.info/coronavirus/usa/florida/" TargetMode="External"/><Relationship Id="rId61" Type="http://schemas.openxmlformats.org/officeDocument/2006/relationships/hyperlink" Target="https://www.worldometers.info/coronavirus/usa/missouri/" TargetMode="External"/><Relationship Id="rId82" Type="http://schemas.openxmlformats.org/officeDocument/2006/relationships/hyperlink" Target="https://covid19.healthdata.org/united-states-of-america/new-mexico" TargetMode="External"/><Relationship Id="rId90" Type="http://schemas.openxmlformats.org/officeDocument/2006/relationships/hyperlink" Target="https://www.worldometers.info/coronavirus/usa/district-of-columbia/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azdhs.gov/preparedness/epidemiology-disease-control/infectious-disease-epidemiology/covid-19/dashboards/index.php" TargetMode="External"/><Relationship Id="rId22" Type="http://schemas.openxmlformats.org/officeDocument/2006/relationships/hyperlink" Target="https://www.worldometers.info/coronavirus/usa/pennsylvania/" TargetMode="External"/><Relationship Id="rId27" Type="http://schemas.openxmlformats.org/officeDocument/2006/relationships/hyperlink" Target="https://covid19.healthdata.org/united-states-of-america/louisiana" TargetMode="External"/><Relationship Id="rId30" Type="http://schemas.openxmlformats.org/officeDocument/2006/relationships/hyperlink" Target="https://www.worldometers.info/coronavirus/usa/maryland/" TargetMode="External"/><Relationship Id="rId35" Type="http://schemas.openxmlformats.org/officeDocument/2006/relationships/hyperlink" Target="https://www.worldometers.info/coronavirus/usa/tennessee/" TargetMode="External"/><Relationship Id="rId43" Type="http://schemas.openxmlformats.org/officeDocument/2006/relationships/hyperlink" Target="https://covid19.healthdata.org/united-states-of-america/alabama" TargetMode="External"/><Relationship Id="rId48" Type="http://schemas.openxmlformats.org/officeDocument/2006/relationships/hyperlink" Target="https://www.worldometers.info/coronavirus/usa/washington/" TargetMode="External"/><Relationship Id="rId56" Type="http://schemas.openxmlformats.org/officeDocument/2006/relationships/hyperlink" Target="https://www.worldometers.info/coronavirus/usa/colorado/" TargetMode="External"/><Relationship Id="rId64" Type="http://schemas.openxmlformats.org/officeDocument/2006/relationships/hyperlink" Target="https://covid19.healthdata.org/united-states-of-america/nevada" TargetMode="External"/><Relationship Id="rId69" Type="http://schemas.openxmlformats.org/officeDocument/2006/relationships/hyperlink" Target="https://covid19.healthdata.org/united-states-of-america/arkansas" TargetMode="External"/><Relationship Id="rId77" Type="http://schemas.openxmlformats.org/officeDocument/2006/relationships/hyperlink" Target="https://covid19.healthdata.org/united-states-of-america/kentucky" TargetMode="External"/><Relationship Id="rId100" Type="http://schemas.openxmlformats.org/officeDocument/2006/relationships/hyperlink" Target="https://covid19.healthdata.org/united-states-of-america/north-dakota" TargetMode="External"/><Relationship Id="rId105" Type="http://schemas.openxmlformats.org/officeDocument/2006/relationships/hyperlink" Target="https://covid19.healthdata.org/united-states-of-america/maine" TargetMode="External"/><Relationship Id="rId113" Type="http://schemas.openxmlformats.org/officeDocument/2006/relationships/hyperlink" Target="https://www.worldometers.info/coronavirus/usa/vermont/" TargetMode="External"/><Relationship Id="rId118" Type="http://schemas.openxmlformats.org/officeDocument/2006/relationships/hyperlink" Target="http://dphss.guam.gov/covid-19/" TargetMode="External"/><Relationship Id="rId8" Type="http://schemas.openxmlformats.org/officeDocument/2006/relationships/hyperlink" Target="https://covid19.healthdata.org/united-states-of-america/texas" TargetMode="External"/><Relationship Id="rId51" Type="http://schemas.openxmlformats.org/officeDocument/2006/relationships/hyperlink" Target="https://covid19.healthdata.org/united-states-of-america/minnesota" TargetMode="External"/><Relationship Id="rId72" Type="http://schemas.openxmlformats.org/officeDocument/2006/relationships/hyperlink" Target="https://www.worldometers.info/coronavirus/usa/nebraska/" TargetMode="External"/><Relationship Id="rId80" Type="http://schemas.openxmlformats.org/officeDocument/2006/relationships/hyperlink" Target="https://covid19.healthdata.org/united-states-of-america/rhode-island" TargetMode="External"/><Relationship Id="rId85" Type="http://schemas.openxmlformats.org/officeDocument/2006/relationships/hyperlink" Target="https://www.worldometers.info/coronavirus/usa/idaho/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covid19.healthdata.org/united-states-of-america/new-hampshire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www.worldometers.info/coronavirus/usa/california/" TargetMode="External"/><Relationship Id="rId12" Type="http://schemas.openxmlformats.org/officeDocument/2006/relationships/hyperlink" Target="https://covid19.healthdata.org/united-states-of-america/illinois" TargetMode="External"/><Relationship Id="rId17" Type="http://schemas.openxmlformats.org/officeDocument/2006/relationships/hyperlink" Target="https://dph.georgia.gov/covid-19-daily-status-report" TargetMode="External"/><Relationship Id="rId25" Type="http://schemas.openxmlformats.org/officeDocument/2006/relationships/hyperlink" Target="https://covid19.healthdata.org/united-states-of-america/north-carolina" TargetMode="External"/><Relationship Id="rId33" Type="http://schemas.openxmlformats.org/officeDocument/2006/relationships/hyperlink" Target="https://www.worldometers.info/coronavirus/usa/virginia/" TargetMode="External"/><Relationship Id="rId38" Type="http://schemas.openxmlformats.org/officeDocument/2006/relationships/hyperlink" Target="https://covid19.healthdata.org/united-states-of-america/ohio" TargetMode="External"/><Relationship Id="rId46" Type="http://schemas.openxmlformats.org/officeDocument/2006/relationships/hyperlink" Target="https://www.worldometers.info/coronavirus/usa/connecticut/" TargetMode="External"/><Relationship Id="rId59" Type="http://schemas.openxmlformats.org/officeDocument/2006/relationships/hyperlink" Target="https://www.worldometers.info/coronavirus/usa/iowa/" TargetMode="External"/><Relationship Id="rId67" Type="http://schemas.openxmlformats.org/officeDocument/2006/relationships/hyperlink" Target="https://covid19.healthdata.org/united-states-of-america/utah" TargetMode="External"/><Relationship Id="rId103" Type="http://schemas.openxmlformats.org/officeDocument/2006/relationships/hyperlink" Target="https://covid19.healthdata.org/united-states-of-america/west-virginia" TargetMode="External"/><Relationship Id="rId108" Type="http://schemas.openxmlformats.org/officeDocument/2006/relationships/hyperlink" Target="https://www.worldometers.info/coronavirus/usa/wyoming/" TargetMode="External"/><Relationship Id="rId116" Type="http://schemas.openxmlformats.org/officeDocument/2006/relationships/hyperlink" Target="https://www.worldometers.info/coronavirus/usa/hawaii/" TargetMode="External"/><Relationship Id="rId20" Type="http://schemas.openxmlformats.org/officeDocument/2006/relationships/hyperlink" Target="https://www.mass.gov/doc/covid-19-dashboard-july-17-2020/download" TargetMode="External"/><Relationship Id="rId41" Type="http://schemas.openxmlformats.org/officeDocument/2006/relationships/hyperlink" Target="https://www.worldometers.info/coronavirus/usa/alabama/" TargetMode="External"/><Relationship Id="rId54" Type="http://schemas.openxmlformats.org/officeDocument/2006/relationships/hyperlink" Target="https://www.worldometers.info/coronavirus/usa/wisconsin/" TargetMode="External"/><Relationship Id="rId62" Type="http://schemas.openxmlformats.org/officeDocument/2006/relationships/hyperlink" Target="https://covid19.healthdata.org/united-states-of-america/missouri" TargetMode="External"/><Relationship Id="rId70" Type="http://schemas.openxmlformats.org/officeDocument/2006/relationships/hyperlink" Target="https://www.worldometers.info/coronavirus/usa/oklahoma/" TargetMode="External"/><Relationship Id="rId75" Type="http://schemas.openxmlformats.org/officeDocument/2006/relationships/hyperlink" Target="https://covid19.healthdata.org/united-states-of-america/kansas" TargetMode="External"/><Relationship Id="rId83" Type="http://schemas.openxmlformats.org/officeDocument/2006/relationships/hyperlink" Target="https://www.worldometers.info/coronavirus/usa/oregon/" TargetMode="External"/><Relationship Id="rId88" Type="http://schemas.openxmlformats.org/officeDocument/2006/relationships/hyperlink" Target="https://coronavirus.delaware.gov/" TargetMode="External"/><Relationship Id="rId91" Type="http://schemas.openxmlformats.org/officeDocument/2006/relationships/hyperlink" Target="https://coronavirus.dc.gov/page/coronavirus-data" TargetMode="External"/><Relationship Id="rId96" Type="http://schemas.openxmlformats.org/officeDocument/2006/relationships/hyperlink" Target="https://www.worldometers.info/coronavirus/usa/new-hampshire/" TargetMode="External"/><Relationship Id="rId111" Type="http://schemas.openxmlformats.org/officeDocument/2006/relationships/hyperlink" Target="http://dhss.alaska.gov/dph/Epi/id/Pages/COVID-19/monitoring.aspx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covid19.healthdata.org/united-states-of-america/florida" TargetMode="External"/><Relationship Id="rId15" Type="http://schemas.openxmlformats.org/officeDocument/2006/relationships/hyperlink" Target="https://covid19.healthdata.org/united-states-of-america/arizona" TargetMode="External"/><Relationship Id="rId23" Type="http://schemas.openxmlformats.org/officeDocument/2006/relationships/hyperlink" Target="https://covid19.healthdata.org/united-states-of-america/pennsylvania" TargetMode="External"/><Relationship Id="rId28" Type="http://schemas.openxmlformats.org/officeDocument/2006/relationships/hyperlink" Target="https://www.worldometers.info/coronavirus/usa/michigan/" TargetMode="External"/><Relationship Id="rId36" Type="http://schemas.openxmlformats.org/officeDocument/2006/relationships/hyperlink" Target="https://covid19.healthdata.org/united-states-of-america/tennessee" TargetMode="External"/><Relationship Id="rId49" Type="http://schemas.openxmlformats.org/officeDocument/2006/relationships/hyperlink" Target="https://covid19.healthdata.org/united-states-of-america/washington" TargetMode="External"/><Relationship Id="rId57" Type="http://schemas.openxmlformats.org/officeDocument/2006/relationships/hyperlink" Target="https://covid19.colorado.gov/case-data" TargetMode="External"/><Relationship Id="rId106" Type="http://schemas.openxmlformats.org/officeDocument/2006/relationships/hyperlink" Target="https://www.worldometers.info/coronavirus/usa/montana/" TargetMode="External"/><Relationship Id="rId114" Type="http://schemas.openxmlformats.org/officeDocument/2006/relationships/hyperlink" Target="https://www.healthvermont.gov/response/coronavirus-covid-19/current-activity-vermont" TargetMode="External"/><Relationship Id="rId119" Type="http://schemas.openxmlformats.org/officeDocument/2006/relationships/hyperlink" Target="https://www.covid19usvi.com/" TargetMode="External"/><Relationship Id="rId10" Type="http://schemas.openxmlformats.org/officeDocument/2006/relationships/hyperlink" Target="https://covid19.healthdata.org/united-states-of-america/new-jersey" TargetMode="External"/><Relationship Id="rId31" Type="http://schemas.openxmlformats.org/officeDocument/2006/relationships/hyperlink" Target="https://coronavirus.maryland.gov/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mississippi/" TargetMode="External"/><Relationship Id="rId60" Type="http://schemas.openxmlformats.org/officeDocument/2006/relationships/hyperlink" Target="https://covid19.healthdata.org/united-states-of-america/iowa" TargetMode="External"/><Relationship Id="rId65" Type="http://schemas.openxmlformats.org/officeDocument/2006/relationships/hyperlink" Target="https://www.worldometers.info/coronavirus/usa/utah/" TargetMode="External"/><Relationship Id="rId73" Type="http://schemas.openxmlformats.org/officeDocument/2006/relationships/hyperlink" Target="https://covid19.healthdata.org/united-states-of-america/nebraska" TargetMode="External"/><Relationship Id="rId78" Type="http://schemas.openxmlformats.org/officeDocument/2006/relationships/hyperlink" Target="https://www.worldometers.info/coronavirus/usa/rhode-island/" TargetMode="External"/><Relationship Id="rId81" Type="http://schemas.openxmlformats.org/officeDocument/2006/relationships/hyperlink" Target="https://www.worldometers.info/coronavirus/usa/new-mexico/" TargetMode="External"/><Relationship Id="rId86" Type="http://schemas.openxmlformats.org/officeDocument/2006/relationships/hyperlink" Target="https://covid19.healthdata.org/united-states-of-america/idaho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www.worldometers.info/coronavirus/usa/north-dakota/" TargetMode="External"/><Relationship Id="rId101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covid19.healthdata.org/united-states-of-america/california" TargetMode="External"/><Relationship Id="rId9" Type="http://schemas.openxmlformats.org/officeDocument/2006/relationships/hyperlink" Target="https://www.worldometers.info/coronavirus/usa/new-jersey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covid19.healthdata.org/united-states-of-america/georgia" TargetMode="External"/><Relationship Id="rId39" Type="http://schemas.openxmlformats.org/officeDocument/2006/relationships/hyperlink" Target="https://www.worldometers.info/coronavirus/usa/south-carolina/" TargetMode="External"/><Relationship Id="rId109" Type="http://schemas.openxmlformats.org/officeDocument/2006/relationships/hyperlink" Target="https://covid19.healthdata.org/united-states-of-america/wyoming" TargetMode="External"/><Relationship Id="rId34" Type="http://schemas.openxmlformats.org/officeDocument/2006/relationships/hyperlink" Target="https://covid19.healthdata.org/united-states-of-america/virginia" TargetMode="External"/><Relationship Id="rId50" Type="http://schemas.openxmlformats.org/officeDocument/2006/relationships/hyperlink" Target="https://www.worldometers.info/coronavirus/usa/minnesota/" TargetMode="External"/><Relationship Id="rId55" Type="http://schemas.openxmlformats.org/officeDocument/2006/relationships/hyperlink" Target="https://covid19.healthdata.org/united-states-of-america/wisconsin" TargetMode="External"/><Relationship Id="rId76" Type="http://schemas.openxmlformats.org/officeDocument/2006/relationships/hyperlink" Target="https://www.worldometers.info/coronavirus/usa/kentucky/" TargetMode="External"/><Relationship Id="rId97" Type="http://schemas.openxmlformats.org/officeDocument/2006/relationships/hyperlink" Target="https://www.nh.gov/covid19/" TargetMode="External"/><Relationship Id="rId104" Type="http://schemas.openxmlformats.org/officeDocument/2006/relationships/hyperlink" Target="https://www.worldometers.info/coronavirus/usa/maine/" TargetMode="External"/><Relationship Id="rId120" Type="http://schemas.openxmlformats.org/officeDocument/2006/relationships/hyperlink" Target="https://www.bop.gov/coronavirus/" TargetMode="External"/><Relationship Id="rId7" Type="http://schemas.openxmlformats.org/officeDocument/2006/relationships/hyperlink" Target="https://www.worldometers.info/coronavirus/usa/texas/" TargetMode="External"/><Relationship Id="rId71" Type="http://schemas.openxmlformats.org/officeDocument/2006/relationships/hyperlink" Target="https://covid19.healthdata.org/united-states-of-america/oklahoma" TargetMode="External"/><Relationship Id="rId92" Type="http://schemas.openxmlformats.org/officeDocument/2006/relationships/hyperlink" Target="https://covid19.healthdata.org/united-states-of-america/district-of-columbia" TargetMode="External"/><Relationship Id="rId2" Type="http://schemas.openxmlformats.org/officeDocument/2006/relationships/hyperlink" Target="https://covid19.healthdata.org/united-states-of-america/new-york" TargetMode="External"/><Relationship Id="rId29" Type="http://schemas.openxmlformats.org/officeDocument/2006/relationships/hyperlink" Target="https://covid19.healthdata.org/united-states-of-america/michigan" TargetMode="External"/><Relationship Id="rId24" Type="http://schemas.openxmlformats.org/officeDocument/2006/relationships/hyperlink" Target="https://www.worldometers.info/coronavirus/usa/north-carolina/" TargetMode="External"/><Relationship Id="rId40" Type="http://schemas.openxmlformats.org/officeDocument/2006/relationships/hyperlink" Target="https://covid19.healthdata.org/united-states-of-america/south-carolina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coronavirus.utah.gov/case-counts/" TargetMode="External"/><Relationship Id="rId87" Type="http://schemas.openxmlformats.org/officeDocument/2006/relationships/hyperlink" Target="https://www.worldometers.info/coronavirus/usa/delaware/" TargetMode="External"/><Relationship Id="rId110" Type="http://schemas.openxmlformats.org/officeDocument/2006/relationships/hyperlink" Target="https://www.worldometers.info/coronavirus/usa/alaska/" TargetMode="External"/><Relationship Id="rId115" Type="http://schemas.openxmlformats.org/officeDocument/2006/relationships/hyperlink" Target="https://covid19.healthdata.org/united-states-of-america/vermo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5"/>
  <sheetViews>
    <sheetView topLeftCell="A196" zoomScaleNormal="100" workbookViewId="0">
      <selection activeCell="J208" sqref="J208:T214"/>
    </sheetView>
  </sheetViews>
  <sheetFormatPr defaultColWidth="8.7109375" defaultRowHeight="15" x14ac:dyDescent="0.25"/>
  <cols>
    <col min="1" max="1" width="8.7109375" style="35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0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328</v>
      </c>
      <c r="T1" s="7" t="s">
        <v>329</v>
      </c>
      <c r="AMC1"/>
    </row>
    <row r="2" spans="1:1017" s="1" customFormat="1" ht="16.5" thickBot="1" x14ac:dyDescent="0.3">
      <c r="A2" s="1">
        <v>3</v>
      </c>
      <c r="B2" s="52">
        <v>22</v>
      </c>
      <c r="C2" s="43" t="s">
        <v>23</v>
      </c>
      <c r="D2" s="48">
        <v>106308</v>
      </c>
      <c r="E2" s="49">
        <v>154</v>
      </c>
      <c r="F2" s="48">
        <v>103023</v>
      </c>
      <c r="G2" s="48">
        <v>3131</v>
      </c>
      <c r="H2" s="49">
        <v>132</v>
      </c>
      <c r="I2" s="43">
        <v>2807805</v>
      </c>
      <c r="J2" s="8">
        <f>Table1[[#This Row],[Population]]/Table1[[#This Row],[Cases]]</f>
        <v>26.411982165029912</v>
      </c>
      <c r="K2" s="8">
        <f>Table1[[#This Row],[Population]]/Table1[[#This Row],[Deaths]]</f>
        <v>18232.5</v>
      </c>
      <c r="L2" s="9">
        <f>Table1[[#This Row],[Deaths]]+Table1[[#This Row],[Active]]*Table1[[#This Row],[Death Rate]]</f>
        <v>158.53563231365467</v>
      </c>
      <c r="M2" s="10">
        <f>Table1[[#This Row],[Deaths]]/Table1[[#This Row],[Cases]]</f>
        <v>1.4486209880723935E-3</v>
      </c>
      <c r="N2" s="11">
        <f>Table1[[#This Row],[Cases]]/Table1[[#This Row],[Deaths]]</f>
        <v>690.31168831168827</v>
      </c>
      <c r="O2" s="12">
        <f>Table1[[#This Row],[Cases]]/Table1[[#This Row],[Population]]</f>
        <v>3.7861603637004707E-2</v>
      </c>
      <c r="P2" s="12">
        <f>Table1[[#This Row],[Deaths]]/Table1[[#This Row],[Population]]</f>
        <v>5.484711367064308E-5</v>
      </c>
      <c r="Q2" s="13">
        <f>1-Table1[[#This Row],[Deaths]]/Table1[[#This Row],[Ex(Deaths)]]</f>
        <v>2.8609545043357554E-2</v>
      </c>
      <c r="R2" s="14">
        <f>G2/D2</f>
        <v>2.9452157880874439E-2</v>
      </c>
      <c r="S2" s="12">
        <f>Table1[[#This Row],[Percent Infected]]*Table1[[#This Row],[% Active]]</f>
        <v>1.1151059279401526E-3</v>
      </c>
      <c r="T2" s="8">
        <f>1/Table1[[#This Row],[Percent Actively Infected]]</f>
        <v>896.77579048227403</v>
      </c>
      <c r="AMC2"/>
    </row>
    <row r="3" spans="1:1017" s="1" customFormat="1" ht="16.5" thickBot="1" x14ac:dyDescent="0.3">
      <c r="A3" s="1">
        <v>4</v>
      </c>
      <c r="B3" s="52">
        <v>89</v>
      </c>
      <c r="C3" s="43" t="s">
        <v>83</v>
      </c>
      <c r="D3" s="48">
        <v>6509</v>
      </c>
      <c r="E3" s="49">
        <v>34</v>
      </c>
      <c r="F3" s="48">
        <v>3932</v>
      </c>
      <c r="G3" s="48">
        <v>2543</v>
      </c>
      <c r="H3" s="49">
        <v>25</v>
      </c>
      <c r="I3" s="43">
        <v>298960</v>
      </c>
      <c r="J3" s="8">
        <f>Table1[[#This Row],[Population]]/Table1[[#This Row],[Cases]]</f>
        <v>45.930250422491937</v>
      </c>
      <c r="K3" s="8">
        <f>Table1[[#This Row],[Population]]/Table1[[#This Row],[Deaths]]</f>
        <v>8792.9411764705874</v>
      </c>
      <c r="L3" s="9">
        <f>Table1[[#This Row],[Deaths]]+Table1[[#This Row],[Active]]*Table1[[#This Row],[Death Rate]]</f>
        <v>47.283453679520662</v>
      </c>
      <c r="M3" s="10">
        <f>Table1[[#This Row],[Deaths]]/Table1[[#This Row],[Cases]]</f>
        <v>5.223536641573206E-3</v>
      </c>
      <c r="N3" s="11">
        <f>Table1[[#This Row],[Cases]]/Table1[[#This Row],[Deaths]]</f>
        <v>191.44117647058823</v>
      </c>
      <c r="O3" s="12">
        <f>Table1[[#This Row],[Cases]]/Table1[[#This Row],[Population]]</f>
        <v>2.1772143430559273E-2</v>
      </c>
      <c r="P3" s="12">
        <f>Table1[[#This Row],[Deaths]]/Table1[[#This Row],[Population]]</f>
        <v>1.1372758897511373E-4</v>
      </c>
      <c r="Q3" s="13">
        <f>1-Table1[[#This Row],[Deaths]]/Table1[[#This Row],[Ex(Deaths)]]</f>
        <v>0.28093239063190456</v>
      </c>
      <c r="R3" s="14">
        <f>G3/D3</f>
        <v>0.39068981410354892</v>
      </c>
      <c r="S3" s="12">
        <f>Table1[[#This Row],[Percent Infected]]*Table1[[#This Row],[% Active]]</f>
        <v>8.5061546695210065E-3</v>
      </c>
      <c r="T3" s="8">
        <f>1/Table1[[#This Row],[Percent Actively Infected]]</f>
        <v>117.56193472276838</v>
      </c>
      <c r="AMC3"/>
    </row>
    <row r="4" spans="1:1017" s="1" customFormat="1" ht="16.5" thickBot="1" x14ac:dyDescent="0.3">
      <c r="A4" s="1">
        <v>5</v>
      </c>
      <c r="B4" s="52">
        <v>46</v>
      </c>
      <c r="C4" s="43" t="s">
        <v>30</v>
      </c>
      <c r="D4" s="48">
        <v>35473</v>
      </c>
      <c r="E4" s="49">
        <v>124</v>
      </c>
      <c r="F4" s="48">
        <v>31188</v>
      </c>
      <c r="G4" s="48">
        <v>4161</v>
      </c>
      <c r="H4" s="49">
        <v>47</v>
      </c>
      <c r="I4" s="43">
        <v>1703418</v>
      </c>
      <c r="J4" s="8">
        <f>Table1[[#This Row],[Population]]/Table1[[#This Row],[Cases]]</f>
        <v>48.020127984664391</v>
      </c>
      <c r="K4" s="8">
        <f>Table1[[#This Row],[Population]]/Table1[[#This Row],[Deaths]]</f>
        <v>13737.241935483871</v>
      </c>
      <c r="L4" s="9">
        <f>Table1[[#This Row],[Deaths]]+Table1[[#This Row],[Active]]*Table1[[#This Row],[Death Rate]]</f>
        <v>138.54525977504017</v>
      </c>
      <c r="M4" s="10">
        <f>Table1[[#This Row],[Deaths]]/Table1[[#This Row],[Cases]]</f>
        <v>3.4956163842922786E-3</v>
      </c>
      <c r="N4" s="11">
        <f>Table1[[#This Row],[Cases]]/Table1[[#This Row],[Deaths]]</f>
        <v>286.07258064516128</v>
      </c>
      <c r="O4" s="12">
        <f>Table1[[#This Row],[Cases]]/Table1[[#This Row],[Population]]</f>
        <v>2.0824600890679799E-2</v>
      </c>
      <c r="P4" s="12">
        <f>Table1[[#This Row],[Deaths]]/Table1[[#This Row],[Population]]</f>
        <v>7.2794816069807875E-5</v>
      </c>
      <c r="Q4" s="13">
        <f>1-Table1[[#This Row],[Deaths]]/Table1[[#This Row],[Ex(Deaths)]]</f>
        <v>0.10498561840843712</v>
      </c>
      <c r="R4" s="14">
        <f>G4/D4</f>
        <v>0.11730048205677558</v>
      </c>
      <c r="S4" s="12">
        <f>Table1[[#This Row],[Percent Infected]]*Table1[[#This Row],[% Active]]</f>
        <v>2.4427357231166986E-3</v>
      </c>
      <c r="T4" s="8">
        <f>1/Table1[[#This Row],[Percent Actively Infected]]</f>
        <v>409.37707281903386</v>
      </c>
      <c r="AMC4"/>
    </row>
    <row r="5" spans="1:1017" s="1" customFormat="1" ht="16.5" thickBot="1" x14ac:dyDescent="0.3">
      <c r="A5" s="1">
        <v>6</v>
      </c>
      <c r="B5" s="52">
        <v>151</v>
      </c>
      <c r="C5" s="43" t="s">
        <v>22</v>
      </c>
      <c r="D5" s="49">
        <v>699</v>
      </c>
      <c r="E5" s="49">
        <v>42</v>
      </c>
      <c r="F5" s="49">
        <v>656</v>
      </c>
      <c r="G5" s="49">
        <v>1</v>
      </c>
      <c r="H5" s="49"/>
      <c r="I5" s="43">
        <v>33934</v>
      </c>
      <c r="J5" s="8">
        <f>Table1[[#This Row],[Population]]/Table1[[#This Row],[Cases]]</f>
        <v>48.546494992846924</v>
      </c>
      <c r="K5" s="8">
        <f>Table1[[#This Row],[Population]]/Table1[[#This Row],[Deaths]]</f>
        <v>807.95238095238096</v>
      </c>
      <c r="L5" s="9">
        <f>Table1[[#This Row],[Deaths]]+Table1[[#This Row],[Active]]*Table1[[#This Row],[Death Rate]]</f>
        <v>42.06008583690987</v>
      </c>
      <c r="M5" s="10">
        <f>Table1[[#This Row],[Deaths]]/Table1[[#This Row],[Cases]]</f>
        <v>6.0085836909871244E-2</v>
      </c>
      <c r="N5" s="11">
        <f>Table1[[#This Row],[Cases]]/Table1[[#This Row],[Deaths]]</f>
        <v>16.642857142857142</v>
      </c>
      <c r="O5" s="12">
        <f>Table1[[#This Row],[Cases]]/Table1[[#This Row],[Population]]</f>
        <v>2.0598809453645311E-2</v>
      </c>
      <c r="P5" s="12">
        <f>Table1[[#This Row],[Deaths]]/Table1[[#This Row],[Population]]</f>
        <v>1.2376967053692462E-3</v>
      </c>
      <c r="Q5" s="13">
        <f>1-Table1[[#This Row],[Deaths]]/Table1[[#This Row],[Ex(Deaths)]]</f>
        <v>1.4285714285714457E-3</v>
      </c>
      <c r="R5" s="14">
        <f>G5/D5</f>
        <v>1.4306151645207439E-3</v>
      </c>
      <c r="S5" s="12">
        <f>Table1[[#This Row],[Percent Infected]]*Table1[[#This Row],[% Active]]</f>
        <v>2.9468969175458244E-5</v>
      </c>
      <c r="T5" s="8">
        <f>1/Table1[[#This Row],[Percent Actively Infected]]</f>
        <v>33934</v>
      </c>
      <c r="AMC5"/>
    </row>
    <row r="6" spans="1:1017" s="1" customFormat="1" ht="16.5" thickBot="1" x14ac:dyDescent="0.3">
      <c r="A6" s="1">
        <v>7</v>
      </c>
      <c r="B6" s="52">
        <v>8</v>
      </c>
      <c r="C6" s="43" t="s">
        <v>45</v>
      </c>
      <c r="D6" s="48">
        <v>326539</v>
      </c>
      <c r="E6" s="48">
        <v>8347</v>
      </c>
      <c r="F6" s="48">
        <v>296814</v>
      </c>
      <c r="G6" s="48">
        <v>21378</v>
      </c>
      <c r="H6" s="48">
        <v>1796</v>
      </c>
      <c r="I6" s="43">
        <v>19123557</v>
      </c>
      <c r="J6" s="8">
        <f>Table1[[#This Row],[Population]]/Table1[[#This Row],[Cases]]</f>
        <v>58.564388939759112</v>
      </c>
      <c r="K6" s="8">
        <f>Table1[[#This Row],[Population]]/Table1[[#This Row],[Deaths]]</f>
        <v>2291.0694860428898</v>
      </c>
      <c r="L6" s="9">
        <f>Table1[[#This Row],[Deaths]]+Table1[[#This Row],[Active]]*Table1[[#This Row],[Death Rate]]</f>
        <v>8893.4650960528452</v>
      </c>
      <c r="M6" s="10">
        <f>Table1[[#This Row],[Deaths]]/Table1[[#This Row],[Cases]]</f>
        <v>2.556203087533189E-2</v>
      </c>
      <c r="N6" s="11">
        <f>Table1[[#This Row],[Cases]]/Table1[[#This Row],[Deaths]]</f>
        <v>39.120522343356896</v>
      </c>
      <c r="O6" s="12">
        <f>Table1[[#This Row],[Cases]]/Table1[[#This Row],[Population]]</f>
        <v>1.7075222982837347E-2</v>
      </c>
      <c r="P6" s="12">
        <f>Table1[[#This Row],[Deaths]]/Table1[[#This Row],[Population]]</f>
        <v>4.3647737709046492E-4</v>
      </c>
      <c r="Q6" s="13">
        <f>1-Table1[[#This Row],[Deaths]]/Table1[[#This Row],[Ex(Deaths)]]</f>
        <v>6.1445689632872225E-2</v>
      </c>
      <c r="R6" s="14">
        <f>G6/D6</f>
        <v>6.5468443279363256E-2</v>
      </c>
      <c r="S6" s="12">
        <f>Table1[[#This Row],[Percent Infected]]*Table1[[#This Row],[% Active]]</f>
        <v>1.1178882673343667E-3</v>
      </c>
      <c r="T6" s="8">
        <f>1/Table1[[#This Row],[Percent Actively Infected]]</f>
        <v>894.54378332865565</v>
      </c>
      <c r="AMC6"/>
    </row>
    <row r="7" spans="1:1017" s="1" customFormat="1" ht="16.5" thickBot="1" x14ac:dyDescent="0.3">
      <c r="A7" s="1">
        <v>8</v>
      </c>
      <c r="B7" s="52">
        <v>34</v>
      </c>
      <c r="C7" s="43" t="s">
        <v>32</v>
      </c>
      <c r="D7" s="48">
        <v>58904</v>
      </c>
      <c r="E7" s="49">
        <v>407</v>
      </c>
      <c r="F7" s="48">
        <v>49020</v>
      </c>
      <c r="G7" s="48">
        <v>9477</v>
      </c>
      <c r="H7" s="49">
        <v>137</v>
      </c>
      <c r="I7" s="43">
        <v>4273206</v>
      </c>
      <c r="J7" s="8">
        <f>Table1[[#This Row],[Population]]/Table1[[#This Row],[Cases]]</f>
        <v>72.545260084204813</v>
      </c>
      <c r="K7" s="8">
        <f>Table1[[#This Row],[Population]]/Table1[[#This Row],[Deaths]]</f>
        <v>10499.277641277642</v>
      </c>
      <c r="L7" s="9">
        <f>Table1[[#This Row],[Deaths]]+Table1[[#This Row],[Active]]*Table1[[#This Row],[Death Rate]]</f>
        <v>472.481783919598</v>
      </c>
      <c r="M7" s="10">
        <f>Table1[[#This Row],[Deaths]]/Table1[[#This Row],[Cases]]</f>
        <v>6.9095477386934678E-3</v>
      </c>
      <c r="N7" s="11">
        <f>Table1[[#This Row],[Cases]]/Table1[[#This Row],[Deaths]]</f>
        <v>144.72727272727272</v>
      </c>
      <c r="O7" s="12">
        <f>Table1[[#This Row],[Cases]]/Table1[[#This Row],[Population]]</f>
        <v>1.3784498102829584E-2</v>
      </c>
      <c r="P7" s="12">
        <f>Table1[[#This Row],[Deaths]]/Table1[[#This Row],[Population]]</f>
        <v>9.5244647695430545E-5</v>
      </c>
      <c r="Q7" s="13">
        <f>1-Table1[[#This Row],[Deaths]]/Table1[[#This Row],[Ex(Deaths)]]</f>
        <v>0.13859112911481264</v>
      </c>
      <c r="R7" s="14">
        <f>G7/D7</f>
        <v>0.16088890397935623</v>
      </c>
      <c r="S7" s="12">
        <f>Table1[[#This Row],[Percent Infected]]*Table1[[#This Row],[% Active]]</f>
        <v>2.2177727916697673E-3</v>
      </c>
      <c r="T7" s="8">
        <f>1/Table1[[#This Row],[Percent Actively Infected]]</f>
        <v>450.90281734726182</v>
      </c>
      <c r="AMC7"/>
    </row>
    <row r="8" spans="1:1017" s="1" customFormat="1" ht="16.5" thickBot="1" x14ac:dyDescent="0.3">
      <c r="A8" s="1">
        <v>9</v>
      </c>
      <c r="B8" s="52">
        <v>31</v>
      </c>
      <c r="C8" s="43" t="s">
        <v>76</v>
      </c>
      <c r="D8" s="48">
        <v>65504</v>
      </c>
      <c r="E8" s="49">
        <v>308</v>
      </c>
      <c r="F8" s="48">
        <v>42772</v>
      </c>
      <c r="G8" s="48">
        <v>22424</v>
      </c>
      <c r="H8" s="49">
        <v>164</v>
      </c>
      <c r="I8" s="43">
        <v>5111327</v>
      </c>
      <c r="J8" s="8">
        <f>Table1[[#This Row],[Population]]/Table1[[#This Row],[Cases]]</f>
        <v>78.030761480214949</v>
      </c>
      <c r="K8" s="8">
        <f>Table1[[#This Row],[Population]]/Table1[[#This Row],[Deaths]]</f>
        <v>16595.217532467534</v>
      </c>
      <c r="L8" s="9">
        <f>Table1[[#This Row],[Deaths]]+Table1[[#This Row],[Active]]*Table1[[#This Row],[Death Rate]]</f>
        <v>413.43771372740594</v>
      </c>
      <c r="M8" s="10">
        <f>Table1[[#This Row],[Deaths]]/Table1[[#This Row],[Cases]]</f>
        <v>4.7020029311187102E-3</v>
      </c>
      <c r="N8" s="11">
        <f>Table1[[#This Row],[Cases]]/Table1[[#This Row],[Deaths]]</f>
        <v>212.67532467532467</v>
      </c>
      <c r="O8" s="12">
        <f>Table1[[#This Row],[Cases]]/Table1[[#This Row],[Population]]</f>
        <v>1.2815458686168974E-2</v>
      </c>
      <c r="P8" s="12">
        <f>Table1[[#This Row],[Deaths]]/Table1[[#This Row],[Population]]</f>
        <v>6.025832430599725E-5</v>
      </c>
      <c r="Q8" s="13">
        <f>1-Table1[[#This Row],[Deaths]]/Table1[[#This Row],[Ex(Deaths)]]</f>
        <v>0.25502684014193422</v>
      </c>
      <c r="R8" s="14">
        <f>G8/D8</f>
        <v>0.3423302393746947</v>
      </c>
      <c r="S8" s="12">
        <f>Table1[[#This Row],[Percent Infected]]*Table1[[#This Row],[% Active]]</f>
        <v>4.3871190397327354E-3</v>
      </c>
      <c r="T8" s="8">
        <f>1/Table1[[#This Row],[Percent Actively Infected]]</f>
        <v>227.94001962183373</v>
      </c>
      <c r="AMC8"/>
    </row>
    <row r="9" spans="1:1017" s="1" customFormat="1" ht="16.5" thickBot="1" x14ac:dyDescent="0.3">
      <c r="A9" s="1">
        <v>10</v>
      </c>
      <c r="B9" s="52">
        <v>40</v>
      </c>
      <c r="C9" s="43" t="s">
        <v>54</v>
      </c>
      <c r="D9" s="48">
        <v>51408</v>
      </c>
      <c r="E9" s="48">
        <v>1038</v>
      </c>
      <c r="F9" s="48">
        <v>26520</v>
      </c>
      <c r="G9" s="48">
        <v>23850</v>
      </c>
      <c r="H9" s="49">
        <v>166</v>
      </c>
      <c r="I9" s="43">
        <v>4317567</v>
      </c>
      <c r="J9" s="8">
        <f>Table1[[#This Row],[Population]]/Table1[[#This Row],[Cases]]</f>
        <v>83.986286181139121</v>
      </c>
      <c r="K9" s="8">
        <f>Table1[[#This Row],[Population]]/Table1[[#This Row],[Deaths]]</f>
        <v>4159.5057803468208</v>
      </c>
      <c r="L9" s="9">
        <f>Table1[[#This Row],[Deaths]]+Table1[[#This Row],[Active]]*Table1[[#This Row],[Death Rate]]</f>
        <v>1519.5651260504201</v>
      </c>
      <c r="M9" s="10">
        <f>Table1[[#This Row],[Deaths]]/Table1[[#This Row],[Cases]]</f>
        <v>2.0191409897292251E-2</v>
      </c>
      <c r="N9" s="11">
        <f>Table1[[#This Row],[Cases]]/Table1[[#This Row],[Deaths]]</f>
        <v>49.52601156069364</v>
      </c>
      <c r="O9" s="12">
        <f>Table1[[#This Row],[Cases]]/Table1[[#This Row],[Population]]</f>
        <v>1.1906705790552873E-2</v>
      </c>
      <c r="P9" s="12">
        <f>Table1[[#This Row],[Deaths]]/Table1[[#This Row],[Population]]</f>
        <v>2.4041317714351625E-4</v>
      </c>
      <c r="Q9" s="13">
        <f>1-Table1[[#This Row],[Deaths]]/Table1[[#This Row],[Ex(Deaths)]]</f>
        <v>0.31690983018416641</v>
      </c>
      <c r="R9" s="14">
        <f>G9/D9</f>
        <v>0.46393557422969189</v>
      </c>
      <c r="S9" s="12">
        <f>Table1[[#This Row],[Percent Infected]]*Table1[[#This Row],[% Active]]</f>
        <v>5.5239443881241451E-3</v>
      </c>
      <c r="T9" s="8">
        <f>1/Table1[[#This Row],[Percent Actively Infected]]</f>
        <v>181.03006289308175</v>
      </c>
      <c r="AMC9"/>
    </row>
    <row r="10" spans="1:1017" s="1" customFormat="1" ht="16.5" thickBot="1" x14ac:dyDescent="0.3">
      <c r="A10" s="1">
        <v>11</v>
      </c>
      <c r="B10" s="52">
        <v>49</v>
      </c>
      <c r="C10" s="43" t="s">
        <v>57</v>
      </c>
      <c r="D10" s="48">
        <v>34462</v>
      </c>
      <c r="E10" s="49">
        <v>631</v>
      </c>
      <c r="F10" s="48">
        <v>23123</v>
      </c>
      <c r="G10" s="48">
        <v>10708</v>
      </c>
      <c r="H10" s="49">
        <v>10</v>
      </c>
      <c r="I10" s="43">
        <v>2963509</v>
      </c>
      <c r="J10" s="8">
        <f>Table1[[#This Row],[Population]]/Table1[[#This Row],[Cases]]</f>
        <v>85.993529104520917</v>
      </c>
      <c r="K10" s="8">
        <f>Table1[[#This Row],[Population]]/Table1[[#This Row],[Deaths]]</f>
        <v>4696.5277337559428</v>
      </c>
      <c r="L10" s="9">
        <f>Table1[[#This Row],[Deaths]]+Table1[[#This Row],[Active]]*Table1[[#This Row],[Death Rate]]</f>
        <v>827.06372236086122</v>
      </c>
      <c r="M10" s="10">
        <f>Table1[[#This Row],[Deaths]]/Table1[[#This Row],[Cases]]</f>
        <v>1.8310022633625442E-2</v>
      </c>
      <c r="N10" s="11">
        <f>Table1[[#This Row],[Cases]]/Table1[[#This Row],[Deaths]]</f>
        <v>54.614896988906494</v>
      </c>
      <c r="O10" s="12">
        <f>Table1[[#This Row],[Cases]]/Table1[[#This Row],[Population]]</f>
        <v>1.1628781960844391E-2</v>
      </c>
      <c r="P10" s="12">
        <f>Table1[[#This Row],[Deaths]]/Table1[[#This Row],[Population]]</f>
        <v>2.1292326090455605E-4</v>
      </c>
      <c r="Q10" s="13">
        <f>1-Table1[[#This Row],[Deaths]]/Table1[[#This Row],[Ex(Deaths)]]</f>
        <v>0.23705999557228252</v>
      </c>
      <c r="R10" s="14">
        <f>G10/D10</f>
        <v>0.31071905286982765</v>
      </c>
      <c r="S10" s="12">
        <f>Table1[[#This Row],[Percent Infected]]*Table1[[#This Row],[% Active]]</f>
        <v>3.6132841169033065E-3</v>
      </c>
      <c r="T10" s="8">
        <f>1/Table1[[#This Row],[Percent Actively Infected]]</f>
        <v>276.75653716847216</v>
      </c>
      <c r="AMC10"/>
    </row>
    <row r="11" spans="1:1017" s="1" customFormat="1" ht="16.5" thickBot="1" x14ac:dyDescent="0.3">
      <c r="A11" s="1">
        <v>12</v>
      </c>
      <c r="B11" s="52">
        <v>1</v>
      </c>
      <c r="C11" s="43" t="s">
        <v>33</v>
      </c>
      <c r="D11" s="48">
        <v>3788779</v>
      </c>
      <c r="E11" s="48">
        <v>142377</v>
      </c>
      <c r="F11" s="48">
        <v>1743987</v>
      </c>
      <c r="G11" s="48">
        <v>1902415</v>
      </c>
      <c r="H11" s="48">
        <v>16667</v>
      </c>
      <c r="I11" s="43">
        <v>331092264</v>
      </c>
      <c r="J11" s="8">
        <f>Table1[[#This Row],[Population]]/Table1[[#This Row],[Cases]]</f>
        <v>87.387589511027173</v>
      </c>
      <c r="K11" s="8">
        <f>Table1[[#This Row],[Population]]/Table1[[#This Row],[Deaths]]</f>
        <v>2325.4617248572454</v>
      </c>
      <c r="L11" s="9">
        <f>Table1[[#This Row],[Deaths]]+Table1[[#This Row],[Active]]*Table1[[#This Row],[Death Rate]]</f>
        <v>213867.08703199631</v>
      </c>
      <c r="M11" s="10">
        <f>Table1[[#This Row],[Deaths]]/Table1[[#This Row],[Cases]]</f>
        <v>3.7578597220898867E-2</v>
      </c>
      <c r="N11" s="11">
        <f>Table1[[#This Row],[Cases]]/Table1[[#This Row],[Deaths]]</f>
        <v>26.610892208713487</v>
      </c>
      <c r="O11" s="12">
        <f>Table1[[#This Row],[Cases]]/Table1[[#This Row],[Population]]</f>
        <v>1.1443272501226426E-2</v>
      </c>
      <c r="P11" s="12">
        <f>Table1[[#This Row],[Deaths]]/Table1[[#This Row],[Population]]</f>
        <v>4.3002212821257582E-4</v>
      </c>
      <c r="Q11" s="13">
        <f>1-Table1[[#This Row],[Deaths]]/Table1[[#This Row],[Ex(Deaths)]]</f>
        <v>0.3342734406874901</v>
      </c>
      <c r="R11" s="14">
        <f>G11/D11</f>
        <v>0.50211822859026611</v>
      </c>
      <c r="S11" s="12">
        <f>Table1[[#This Row],[Percent Infected]]*Table1[[#This Row],[% Active]]</f>
        <v>5.7458757175915167E-3</v>
      </c>
      <c r="T11" s="8">
        <f>1/Table1[[#This Row],[Percent Actively Infected]]</f>
        <v>174.03787501675504</v>
      </c>
      <c r="AMC11"/>
    </row>
    <row r="12" spans="1:1017" s="1" customFormat="1" ht="16.5" thickBot="1" x14ac:dyDescent="0.3">
      <c r="A12" s="1">
        <v>13</v>
      </c>
      <c r="B12" s="52">
        <v>146</v>
      </c>
      <c r="C12" s="43" t="s">
        <v>25</v>
      </c>
      <c r="D12" s="49">
        <v>880</v>
      </c>
      <c r="E12" s="49">
        <v>52</v>
      </c>
      <c r="F12" s="49">
        <v>803</v>
      </c>
      <c r="G12" s="49">
        <v>25</v>
      </c>
      <c r="H12" s="49"/>
      <c r="I12" s="43">
        <v>77271</v>
      </c>
      <c r="J12" s="8">
        <f>Table1[[#This Row],[Population]]/Table1[[#This Row],[Cases]]</f>
        <v>87.80795454545455</v>
      </c>
      <c r="K12" s="8">
        <f>Table1[[#This Row],[Population]]/Table1[[#This Row],[Deaths]]</f>
        <v>1485.9807692307693</v>
      </c>
      <c r="L12" s="9">
        <f>Table1[[#This Row],[Deaths]]+Table1[[#This Row],[Active]]*Table1[[#This Row],[Death Rate]]</f>
        <v>53.477272727272727</v>
      </c>
      <c r="M12" s="10">
        <f>Table1[[#This Row],[Deaths]]/Table1[[#This Row],[Cases]]</f>
        <v>5.909090909090909E-2</v>
      </c>
      <c r="N12" s="11">
        <f>Table1[[#This Row],[Cases]]/Table1[[#This Row],[Deaths]]</f>
        <v>16.923076923076923</v>
      </c>
      <c r="O12" s="12">
        <f>Table1[[#This Row],[Cases]]/Table1[[#This Row],[Population]]</f>
        <v>1.1388489860361584E-2</v>
      </c>
      <c r="P12" s="12">
        <f>Table1[[#This Row],[Deaths]]/Table1[[#This Row],[Population]]</f>
        <v>6.7295621902136631E-4</v>
      </c>
      <c r="Q12" s="13">
        <f>1-Table1[[#This Row],[Deaths]]/Table1[[#This Row],[Ex(Deaths)]]</f>
        <v>2.7624309392265234E-2</v>
      </c>
      <c r="R12" s="14">
        <f>G12/D12</f>
        <v>2.8409090909090908E-2</v>
      </c>
      <c r="S12" s="12">
        <f>Table1[[#This Row],[Percent Infected]]*Table1[[#This Row],[% Active]]</f>
        <v>3.2353664376027228E-4</v>
      </c>
      <c r="T12" s="8">
        <f>1/Table1[[#This Row],[Percent Actively Infected]]</f>
        <v>3090.84</v>
      </c>
      <c r="AMC12"/>
    </row>
    <row r="13" spans="1:1017" s="1" customFormat="1" ht="16.5" thickBot="1" x14ac:dyDescent="0.3">
      <c r="A13" s="1">
        <v>14</v>
      </c>
      <c r="B13" s="52">
        <v>5</v>
      </c>
      <c r="C13" s="43" t="s">
        <v>44</v>
      </c>
      <c r="D13" s="48">
        <v>345537</v>
      </c>
      <c r="E13" s="48">
        <v>12799</v>
      </c>
      <c r="F13" s="48">
        <v>233982</v>
      </c>
      <c r="G13" s="48">
        <v>98756</v>
      </c>
      <c r="H13" s="48">
        <v>1314</v>
      </c>
      <c r="I13" s="43">
        <v>32991214</v>
      </c>
      <c r="J13" s="8">
        <f>Table1[[#This Row],[Population]]/Table1[[#This Row],[Cases]]</f>
        <v>95.478093518205</v>
      </c>
      <c r="K13" s="8">
        <f>Table1[[#This Row],[Population]]/Table1[[#This Row],[Deaths]]</f>
        <v>2577.6399718728026</v>
      </c>
      <c r="L13" s="9">
        <f>Table1[[#This Row],[Deaths]]+Table1[[#This Row],[Active]]*Table1[[#This Row],[Death Rate]]</f>
        <v>16457.010702182401</v>
      </c>
      <c r="M13" s="10">
        <f>Table1[[#This Row],[Deaths]]/Table1[[#This Row],[Cases]]</f>
        <v>3.704089576514237E-2</v>
      </c>
      <c r="N13" s="11">
        <f>Table1[[#This Row],[Cases]]/Table1[[#This Row],[Deaths]]</f>
        <v>26.99718728025627</v>
      </c>
      <c r="O13" s="12">
        <f>Table1[[#This Row],[Cases]]/Table1[[#This Row],[Population]]</f>
        <v>1.047360670025662E-2</v>
      </c>
      <c r="P13" s="12">
        <f>Table1[[#This Row],[Deaths]]/Table1[[#This Row],[Population]]</f>
        <v>3.8795177406930219E-4</v>
      </c>
      <c r="Q13" s="13">
        <f>1-Table1[[#This Row],[Deaths]]/Table1[[#This Row],[Ex(Deaths)]]</f>
        <v>0.22227674079942739</v>
      </c>
      <c r="R13" s="14">
        <f>G13/D13</f>
        <v>0.28580441457788891</v>
      </c>
      <c r="S13" s="12">
        <f>Table1[[#This Row],[Percent Infected]]*Table1[[#This Row],[% Active]]</f>
        <v>2.993403031485898E-3</v>
      </c>
      <c r="T13" s="8">
        <f>1/Table1[[#This Row],[Percent Actively Infected]]</f>
        <v>334.06794523877028</v>
      </c>
      <c r="AMC13"/>
    </row>
    <row r="14" spans="1:1017" s="1" customFormat="1" ht="16.5" thickBot="1" x14ac:dyDescent="0.3">
      <c r="A14" s="1">
        <v>15</v>
      </c>
      <c r="B14" s="52">
        <v>108</v>
      </c>
      <c r="C14" s="43" t="s">
        <v>28</v>
      </c>
      <c r="D14" s="48">
        <v>2782</v>
      </c>
      <c r="E14" s="49">
        <v>37</v>
      </c>
      <c r="F14" s="48">
        <v>2591</v>
      </c>
      <c r="G14" s="49">
        <v>154</v>
      </c>
      <c r="H14" s="49">
        <v>3</v>
      </c>
      <c r="I14" s="43">
        <v>273058</v>
      </c>
      <c r="J14" s="8">
        <f>Table1[[#This Row],[Population]]/Table1[[#This Row],[Cases]]</f>
        <v>98.151689432063264</v>
      </c>
      <c r="K14" s="8">
        <f>Table1[[#This Row],[Population]]/Table1[[#This Row],[Deaths]]</f>
        <v>7379.9459459459458</v>
      </c>
      <c r="L14" s="9">
        <f>Table1[[#This Row],[Deaths]]+Table1[[#This Row],[Active]]*Table1[[#This Row],[Death Rate]]</f>
        <v>39.048166786484543</v>
      </c>
      <c r="M14" s="10">
        <f>Table1[[#This Row],[Deaths]]/Table1[[#This Row],[Cases]]</f>
        <v>1.3299784327821711E-2</v>
      </c>
      <c r="N14" s="11">
        <f>Table1[[#This Row],[Cases]]/Table1[[#This Row],[Deaths]]</f>
        <v>75.189189189189193</v>
      </c>
      <c r="O14" s="12">
        <f>Table1[[#This Row],[Cases]]/Table1[[#This Row],[Population]]</f>
        <v>1.0188311640750318E-2</v>
      </c>
      <c r="P14" s="12">
        <f>Table1[[#This Row],[Deaths]]/Table1[[#This Row],[Population]]</f>
        <v>1.3550234748661456E-4</v>
      </c>
      <c r="Q14" s="13">
        <f>1-Table1[[#This Row],[Deaths]]/Table1[[#This Row],[Ex(Deaths)]]</f>
        <v>5.2452316076294303E-2</v>
      </c>
      <c r="R14" s="14">
        <f>G14/D14</f>
        <v>5.5355859094176854E-2</v>
      </c>
      <c r="S14" s="12">
        <f>Table1[[#This Row],[Percent Infected]]*Table1[[#This Row],[% Active]]</f>
        <v>5.6398274359293634E-4</v>
      </c>
      <c r="T14" s="8">
        <f>1/Table1[[#This Row],[Percent Actively Infected]]</f>
        <v>1773.103896103896</v>
      </c>
      <c r="AMC14"/>
    </row>
    <row r="15" spans="1:1017" s="1" customFormat="1" ht="16.5" thickBot="1" x14ac:dyDescent="0.3">
      <c r="A15" s="1">
        <v>16</v>
      </c>
      <c r="B15" s="52">
        <v>2</v>
      </c>
      <c r="C15" s="43" t="s">
        <v>73</v>
      </c>
      <c r="D15" s="48">
        <v>2049140</v>
      </c>
      <c r="E15" s="48">
        <v>77964</v>
      </c>
      <c r="F15" s="48">
        <v>1366775</v>
      </c>
      <c r="G15" s="48">
        <v>604401</v>
      </c>
      <c r="H15" s="48">
        <v>8318</v>
      </c>
      <c r="I15" s="43">
        <v>212628252</v>
      </c>
      <c r="J15" s="8">
        <f>Table1[[#This Row],[Population]]/Table1[[#This Row],[Cases]]</f>
        <v>103.76462906389997</v>
      </c>
      <c r="K15" s="8">
        <f>Table1[[#This Row],[Population]]/Table1[[#This Row],[Deaths]]</f>
        <v>2727.261967061721</v>
      </c>
      <c r="L15" s="9">
        <f>Table1[[#This Row],[Deaths]]+Table1[[#This Row],[Active]]*Table1[[#This Row],[Death Rate]]</f>
        <v>100959.75410367276</v>
      </c>
      <c r="M15" s="10">
        <f>Table1[[#This Row],[Deaths]]/Table1[[#This Row],[Cases]]</f>
        <v>3.8047180768517527E-2</v>
      </c>
      <c r="N15" s="11">
        <f>Table1[[#This Row],[Cases]]/Table1[[#This Row],[Deaths]]</f>
        <v>26.283156328561901</v>
      </c>
      <c r="O15" s="12">
        <f>Table1[[#This Row],[Cases]]/Table1[[#This Row],[Population]]</f>
        <v>9.6371953431663455E-3</v>
      </c>
      <c r="P15" s="12">
        <f>Table1[[#This Row],[Deaths]]/Table1[[#This Row],[Population]]</f>
        <v>3.6666811332296517E-4</v>
      </c>
      <c r="Q15" s="13">
        <f>1-Table1[[#This Row],[Deaths]]/Table1[[#This Row],[Ex(Deaths)]]</f>
        <v>0.22777149476868841</v>
      </c>
      <c r="R15" s="14">
        <f>G15/D15</f>
        <v>0.29495349268473603</v>
      </c>
      <c r="S15" s="12">
        <f>Table1[[#This Row],[Percent Infected]]*Table1[[#This Row],[% Active]]</f>
        <v>2.8425244261519869E-3</v>
      </c>
      <c r="T15" s="8">
        <f>1/Table1[[#This Row],[Percent Actively Infected]]</f>
        <v>351.7999672402924</v>
      </c>
      <c r="AMC15"/>
    </row>
    <row r="16" spans="1:1017" s="1" customFormat="1" ht="16.5" thickBot="1" x14ac:dyDescent="0.3">
      <c r="A16" s="1">
        <v>17</v>
      </c>
      <c r="B16" s="52">
        <v>93</v>
      </c>
      <c r="C16" s="43" t="s">
        <v>26</v>
      </c>
      <c r="D16" s="48">
        <v>5409</v>
      </c>
      <c r="E16" s="49">
        <v>111</v>
      </c>
      <c r="F16" s="48">
        <v>4333</v>
      </c>
      <c r="G16" s="49">
        <v>965</v>
      </c>
      <c r="H16" s="49">
        <v>4</v>
      </c>
      <c r="I16" s="43">
        <v>626395</v>
      </c>
      <c r="J16" s="8">
        <f>Table1[[#This Row],[Population]]/Table1[[#This Row],[Cases]]</f>
        <v>115.80606396746164</v>
      </c>
      <c r="K16" s="8">
        <f>Table1[[#This Row],[Population]]/Table1[[#This Row],[Deaths]]</f>
        <v>5643.198198198198</v>
      </c>
      <c r="L16" s="9">
        <f>Table1[[#This Row],[Deaths]]+Table1[[#This Row],[Active]]*Table1[[#This Row],[Death Rate]]</f>
        <v>130.80310593455351</v>
      </c>
      <c r="M16" s="10">
        <f>Table1[[#This Row],[Deaths]]/Table1[[#This Row],[Cases]]</f>
        <v>2.0521353300055462E-2</v>
      </c>
      <c r="N16" s="11">
        <f>Table1[[#This Row],[Cases]]/Table1[[#This Row],[Deaths]]</f>
        <v>48.729729729729726</v>
      </c>
      <c r="O16" s="12">
        <f>Table1[[#This Row],[Cases]]/Table1[[#This Row],[Population]]</f>
        <v>8.635126397879932E-3</v>
      </c>
      <c r="P16" s="12">
        <f>Table1[[#This Row],[Deaths]]/Table1[[#This Row],[Population]]</f>
        <v>1.772044796015294E-4</v>
      </c>
      <c r="Q16" s="13">
        <f>1-Table1[[#This Row],[Deaths]]/Table1[[#This Row],[Ex(Deaths)]]</f>
        <v>0.15139629745842476</v>
      </c>
      <c r="R16" s="14">
        <f>G16/D16</f>
        <v>0.17840635977075245</v>
      </c>
      <c r="S16" s="12">
        <f>Table1[[#This Row],[Percent Infected]]*Table1[[#This Row],[% Active]]</f>
        <v>1.5405614668060888E-3</v>
      </c>
      <c r="T16" s="8">
        <f>1/Table1[[#This Row],[Percent Actively Infected]]</f>
        <v>649.11398963730574</v>
      </c>
      <c r="AMC16"/>
    </row>
    <row r="17" spans="1:1017" s="1" customFormat="1" ht="16.5" thickBot="1" x14ac:dyDescent="0.3">
      <c r="A17" s="1">
        <v>18</v>
      </c>
      <c r="B17" s="52">
        <v>42</v>
      </c>
      <c r="C17" s="43" t="s">
        <v>29</v>
      </c>
      <c r="D17" s="48">
        <v>47655</v>
      </c>
      <c r="E17" s="49">
        <v>27</v>
      </c>
      <c r="F17" s="48">
        <v>43833</v>
      </c>
      <c r="G17" s="48">
        <v>3795</v>
      </c>
      <c r="H17" s="49"/>
      <c r="I17" s="43">
        <v>5852421</v>
      </c>
      <c r="J17" s="8">
        <f>Table1[[#This Row],[Population]]/Table1[[#This Row],[Cases]]</f>
        <v>122.8081208687441</v>
      </c>
      <c r="K17" s="8">
        <f>Table1[[#This Row],[Population]]/Table1[[#This Row],[Deaths]]</f>
        <v>216756.33333333334</v>
      </c>
      <c r="L17" s="9">
        <f>Table1[[#This Row],[Deaths]]+Table1[[#This Row],[Active]]*Table1[[#This Row],[Death Rate]]</f>
        <v>29.150141643059492</v>
      </c>
      <c r="M17" s="10">
        <f>Table1[[#This Row],[Deaths]]/Table1[[#This Row],[Cases]]</f>
        <v>5.6657223796033991E-4</v>
      </c>
      <c r="N17" s="11">
        <f>Table1[[#This Row],[Cases]]/Table1[[#This Row],[Deaths]]</f>
        <v>1765</v>
      </c>
      <c r="O17" s="12">
        <f>Table1[[#This Row],[Cases]]/Table1[[#This Row],[Population]]</f>
        <v>8.1427839863195076E-3</v>
      </c>
      <c r="P17" s="12">
        <f>Table1[[#This Row],[Deaths]]/Table1[[#This Row],[Population]]</f>
        <v>4.613475346356662E-6</v>
      </c>
      <c r="Q17" s="13">
        <f>1-Table1[[#This Row],[Deaths]]/Table1[[#This Row],[Ex(Deaths)]]</f>
        <v>7.3760932944606505E-2</v>
      </c>
      <c r="R17" s="14">
        <f>G17/D17</f>
        <v>7.9634875668870009E-2</v>
      </c>
      <c r="S17" s="12">
        <f>Table1[[#This Row],[Percent Infected]]*Table1[[#This Row],[% Active]]</f>
        <v>6.4844959034901972E-4</v>
      </c>
      <c r="T17" s="8">
        <f>1/Table1[[#This Row],[Percent Actively Infected]]</f>
        <v>1542.1399209486165</v>
      </c>
      <c r="AMC17"/>
    </row>
    <row r="18" spans="1:1017" s="1" customFormat="1" ht="16.5" thickBot="1" x14ac:dyDescent="0.3">
      <c r="A18" s="1">
        <v>19</v>
      </c>
      <c r="B18" s="52">
        <v>27</v>
      </c>
      <c r="C18" s="43" t="s">
        <v>47</v>
      </c>
      <c r="D18" s="48">
        <v>77281</v>
      </c>
      <c r="E18" s="48">
        <v>5619</v>
      </c>
      <c r="F18" s="49" t="s">
        <v>41</v>
      </c>
      <c r="G18" s="49" t="s">
        <v>41</v>
      </c>
      <c r="H18" s="49">
        <v>62</v>
      </c>
      <c r="I18" s="43">
        <v>10102161</v>
      </c>
      <c r="J18" s="8">
        <f>Table1[[#This Row],[Population]]/Table1[[#This Row],[Cases]]</f>
        <v>130.71985352156418</v>
      </c>
      <c r="K18" s="8">
        <f>Table1[[#This Row],[Population]]/Table1[[#This Row],[Deaths]]</f>
        <v>1797.8574479444742</v>
      </c>
      <c r="L18" s="9" t="e">
        <f>Table1[[#This Row],[Deaths]]+Table1[[#This Row],[Active]]*Table1[[#This Row],[Death Rate]]</f>
        <v>#VALUE!</v>
      </c>
      <c r="M18" s="10">
        <f>Table1[[#This Row],[Deaths]]/Table1[[#This Row],[Cases]]</f>
        <v>7.2708686481800178E-2</v>
      </c>
      <c r="N18" s="11">
        <f>Table1[[#This Row],[Cases]]/Table1[[#This Row],[Deaths]]</f>
        <v>13.753514860295427</v>
      </c>
      <c r="O18" s="12">
        <f>Table1[[#This Row],[Cases]]/Table1[[#This Row],[Population]]</f>
        <v>7.6499473726463077E-3</v>
      </c>
      <c r="P18" s="12">
        <f>Table1[[#This Row],[Deaths]]/Table1[[#This Row],[Population]]</f>
        <v>5.5621762512001144E-4</v>
      </c>
      <c r="Q18" s="13" t="e">
        <f>1-Table1[[#This Row],[Deaths]]/Table1[[#This Row],[Ex(Deaths)]]</f>
        <v>#VALUE!</v>
      </c>
      <c r="R18" s="14" t="e">
        <f>G18/D18</f>
        <v>#VALUE!</v>
      </c>
      <c r="S18" s="12" t="e">
        <f>Table1[[#This Row],[Percent Infected]]*Table1[[#This Row],[% Active]]</f>
        <v>#VALUE!</v>
      </c>
      <c r="T18" s="8" t="e">
        <f>1/Table1[[#This Row],[Percent Actively Infected]]</f>
        <v>#VALUE!</v>
      </c>
      <c r="AMC18"/>
    </row>
    <row r="19" spans="1:1017" s="1" customFormat="1" ht="16.5" thickBot="1" x14ac:dyDescent="0.3">
      <c r="A19" s="1">
        <v>20</v>
      </c>
      <c r="B19" s="52">
        <v>13</v>
      </c>
      <c r="C19" s="43" t="s">
        <v>64</v>
      </c>
      <c r="D19" s="48">
        <v>248416</v>
      </c>
      <c r="E19" s="48">
        <v>2447</v>
      </c>
      <c r="F19" s="48">
        <v>194218</v>
      </c>
      <c r="G19" s="48">
        <v>51751</v>
      </c>
      <c r="H19" s="48">
        <v>2182</v>
      </c>
      <c r="I19" s="43">
        <v>34836271</v>
      </c>
      <c r="J19" s="8">
        <f>Table1[[#This Row],[Population]]/Table1[[#This Row],[Cases]]</f>
        <v>140.23360411567694</v>
      </c>
      <c r="K19" s="8">
        <f>Table1[[#This Row],[Population]]/Table1[[#This Row],[Deaths]]</f>
        <v>14236.318348998773</v>
      </c>
      <c r="L19" s="9">
        <f>Table1[[#This Row],[Deaths]]+Table1[[#This Row],[Active]]*Table1[[#This Row],[Death Rate]]</f>
        <v>2956.7686823715057</v>
      </c>
      <c r="M19" s="10">
        <f>Table1[[#This Row],[Deaths]]/Table1[[#This Row],[Cases]]</f>
        <v>9.8504122117737992E-3</v>
      </c>
      <c r="N19" s="11">
        <f>Table1[[#This Row],[Cases]]/Table1[[#This Row],[Deaths]]</f>
        <v>101.51859419697588</v>
      </c>
      <c r="O19" s="12">
        <f>Table1[[#This Row],[Cases]]/Table1[[#This Row],[Population]]</f>
        <v>7.1309584197459018E-3</v>
      </c>
      <c r="P19" s="12">
        <f>Table1[[#This Row],[Deaths]]/Table1[[#This Row],[Population]]</f>
        <v>7.0242879899516227E-5</v>
      </c>
      <c r="Q19" s="13">
        <f>1-Table1[[#This Row],[Deaths]]/Table1[[#This Row],[Ex(Deaths)]]</f>
        <v>0.17240735990298728</v>
      </c>
      <c r="R19" s="14">
        <f>G19/D19</f>
        <v>0.20832394048692515</v>
      </c>
      <c r="S19" s="12">
        <f>Table1[[#This Row],[Percent Infected]]*Table1[[#This Row],[% Active]]</f>
        <v>1.4855493574498831E-3</v>
      </c>
      <c r="T19" s="8">
        <f>1/Table1[[#This Row],[Percent Actively Infected]]</f>
        <v>673.1516492434929</v>
      </c>
      <c r="AMC19"/>
    </row>
    <row r="20" spans="1:1017" s="1" customFormat="1" ht="16.5" thickBot="1" x14ac:dyDescent="0.3">
      <c r="A20" s="1">
        <v>21</v>
      </c>
      <c r="B20" s="52">
        <v>30</v>
      </c>
      <c r="C20" s="43" t="s">
        <v>38</v>
      </c>
      <c r="D20" s="48">
        <v>65953</v>
      </c>
      <c r="E20" s="49">
        <v>495</v>
      </c>
      <c r="F20" s="48">
        <v>57856</v>
      </c>
      <c r="G20" s="48">
        <v>7602</v>
      </c>
      <c r="H20" s="49">
        <v>89</v>
      </c>
      <c r="I20" s="43">
        <v>9449170</v>
      </c>
      <c r="J20" s="8">
        <f>Table1[[#This Row],[Population]]/Table1[[#This Row],[Cases]]</f>
        <v>143.27126893393779</v>
      </c>
      <c r="K20" s="8">
        <f>Table1[[#This Row],[Population]]/Table1[[#This Row],[Deaths]]</f>
        <v>19089.232323232322</v>
      </c>
      <c r="L20" s="9">
        <f>Table1[[#This Row],[Deaths]]+Table1[[#This Row],[Active]]*Table1[[#This Row],[Death Rate]]</f>
        <v>552.05563052476759</v>
      </c>
      <c r="M20" s="10">
        <f>Table1[[#This Row],[Deaths]]/Table1[[#This Row],[Cases]]</f>
        <v>7.505344715175959E-3</v>
      </c>
      <c r="N20" s="11">
        <f>Table1[[#This Row],[Cases]]/Table1[[#This Row],[Deaths]]</f>
        <v>133.23838383838384</v>
      </c>
      <c r="O20" s="12">
        <f>Table1[[#This Row],[Cases]]/Table1[[#This Row],[Population]]</f>
        <v>6.9797664768439975E-3</v>
      </c>
      <c r="P20" s="12">
        <f>Table1[[#This Row],[Deaths]]/Table1[[#This Row],[Population]]</f>
        <v>5.2385553440143419E-5</v>
      </c>
      <c r="Q20" s="13">
        <f>1-Table1[[#This Row],[Deaths]]/Table1[[#This Row],[Ex(Deaths)]]</f>
        <v>0.1033512337706477</v>
      </c>
      <c r="R20" s="14">
        <f>G20/D20</f>
        <v>0.11526390005003563</v>
      </c>
      <c r="S20" s="12">
        <f>Table1[[#This Row],[Percent Infected]]*Table1[[#This Row],[% Active]]</f>
        <v>8.0451510555953583E-4</v>
      </c>
      <c r="T20" s="8">
        <f>1/Table1[[#This Row],[Percent Actively Infected]]</f>
        <v>1242.9847408576691</v>
      </c>
      <c r="AMC20"/>
    </row>
    <row r="21" spans="1:1017" s="1" customFormat="1" ht="16.5" thickBot="1" x14ac:dyDescent="0.3">
      <c r="A21" s="1">
        <v>22</v>
      </c>
      <c r="B21" s="52">
        <v>9</v>
      </c>
      <c r="C21" s="43" t="s">
        <v>27</v>
      </c>
      <c r="D21" s="48">
        <v>307335</v>
      </c>
      <c r="E21" s="48">
        <v>28420</v>
      </c>
      <c r="F21" s="49" t="s">
        <v>41</v>
      </c>
      <c r="G21" s="49" t="s">
        <v>41</v>
      </c>
      <c r="H21" s="49">
        <v>617</v>
      </c>
      <c r="I21" s="43">
        <v>46755662</v>
      </c>
      <c r="J21" s="8">
        <f>Table1[[#This Row],[Population]]/Table1[[#This Row],[Cases]]</f>
        <v>152.13256544161908</v>
      </c>
      <c r="K21" s="8">
        <f>Table1[[#This Row],[Population]]/Table1[[#This Row],[Deaths]]</f>
        <v>1645.1675580577059</v>
      </c>
      <c r="L21" s="9" t="e">
        <f>Table1[[#This Row],[Deaths]]+Table1[[#This Row],[Active]]*Table1[[#This Row],[Death Rate]]</f>
        <v>#VALUE!</v>
      </c>
      <c r="M21" s="10">
        <f>Table1[[#This Row],[Deaths]]/Table1[[#This Row],[Cases]]</f>
        <v>9.2472383555403714E-2</v>
      </c>
      <c r="N21" s="11">
        <f>Table1[[#This Row],[Cases]]/Table1[[#This Row],[Deaths]]</f>
        <v>10.814039408866995</v>
      </c>
      <c r="O21" s="12">
        <f>Table1[[#This Row],[Cases]]/Table1[[#This Row],[Population]]</f>
        <v>6.5732145980523168E-3</v>
      </c>
      <c r="P21" s="12">
        <f>Table1[[#This Row],[Deaths]]/Table1[[#This Row],[Population]]</f>
        <v>6.0784082150307272E-4</v>
      </c>
      <c r="Q21" s="13" t="e">
        <f>1-Table1[[#This Row],[Deaths]]/Table1[[#This Row],[Ex(Deaths)]]</f>
        <v>#VALUE!</v>
      </c>
      <c r="R21" s="14" t="e">
        <f>G21/D21</f>
        <v>#VALUE!</v>
      </c>
      <c r="S21" s="12" t="e">
        <f>Table1[[#This Row],[Percent Infected]]*Table1[[#This Row],[% Active]]</f>
        <v>#VALUE!</v>
      </c>
      <c r="T21" s="8" t="e">
        <f>1/Table1[[#This Row],[Percent Actively Infected]]</f>
        <v>#VALUE!</v>
      </c>
      <c r="AMC21"/>
    </row>
    <row r="22" spans="1:1017" s="1" customFormat="1" ht="16.5" thickBot="1" x14ac:dyDescent="0.3">
      <c r="A22" s="1">
        <v>23</v>
      </c>
      <c r="B22" s="52">
        <v>36</v>
      </c>
      <c r="C22" s="43" t="s">
        <v>50</v>
      </c>
      <c r="D22" s="48">
        <v>56711</v>
      </c>
      <c r="E22" s="49">
        <v>338</v>
      </c>
      <c r="F22" s="48">
        <v>48917</v>
      </c>
      <c r="G22" s="48">
        <v>7456</v>
      </c>
      <c r="H22" s="49">
        <v>1</v>
      </c>
      <c r="I22" s="43">
        <v>9895550</v>
      </c>
      <c r="J22" s="8">
        <f>Table1[[#This Row],[Population]]/Table1[[#This Row],[Cases]]</f>
        <v>174.49083951966992</v>
      </c>
      <c r="K22" s="8">
        <f>Table1[[#This Row],[Population]]/Table1[[#This Row],[Deaths]]</f>
        <v>29276.775147928995</v>
      </c>
      <c r="L22" s="9">
        <f>Table1[[#This Row],[Deaths]]+Table1[[#This Row],[Active]]*Table1[[#This Row],[Death Rate]]</f>
        <v>382.43808079561285</v>
      </c>
      <c r="M22" s="10">
        <f>Table1[[#This Row],[Deaths]]/Table1[[#This Row],[Cases]]</f>
        <v>5.960043025162667E-3</v>
      </c>
      <c r="N22" s="15">
        <f>Table1[[#This Row],[Cases]]/Table1[[#This Row],[Deaths]]</f>
        <v>167.78402366863907</v>
      </c>
      <c r="O22" s="12">
        <f>Table1[[#This Row],[Cases]]/Table1[[#This Row],[Population]]</f>
        <v>5.7309598759038155E-3</v>
      </c>
      <c r="P22" s="12">
        <f>Table1[[#This Row],[Deaths]]/Table1[[#This Row],[Population]]</f>
        <v>3.4156767435867638E-5</v>
      </c>
      <c r="Q22" s="13">
        <f>1-Table1[[#This Row],[Deaths]]/Table1[[#This Row],[Ex(Deaths)]]</f>
        <v>0.11619679897766766</v>
      </c>
      <c r="R22" s="16">
        <f>G22/D22</f>
        <v>0.13147361182133976</v>
      </c>
      <c r="S22" s="12">
        <f>Table1[[#This Row],[Percent Infected]]*Table1[[#This Row],[% Active]]</f>
        <v>7.534699940882517E-4</v>
      </c>
      <c r="T22" s="8">
        <f>1/Table1[[#This Row],[Percent Actively Infected]]</f>
        <v>1327.1928648068672</v>
      </c>
      <c r="AMC22"/>
    </row>
    <row r="23" spans="1:1017" s="1" customFormat="1" ht="16.5" thickBot="1" x14ac:dyDescent="0.3">
      <c r="A23" s="1">
        <v>24</v>
      </c>
      <c r="B23" s="52">
        <v>6</v>
      </c>
      <c r="C23" s="43" t="s">
        <v>112</v>
      </c>
      <c r="D23" s="48">
        <v>337594</v>
      </c>
      <c r="E23" s="48">
        <v>4804</v>
      </c>
      <c r="F23" s="48">
        <v>178183</v>
      </c>
      <c r="G23" s="48">
        <v>154607</v>
      </c>
      <c r="H23" s="49">
        <v>539</v>
      </c>
      <c r="I23" s="43">
        <v>59340708</v>
      </c>
      <c r="J23" s="8">
        <f>Table1[[#This Row],[Population]]/Table1[[#This Row],[Cases]]</f>
        <v>175.7753633062199</v>
      </c>
      <c r="K23" s="8">
        <f>Table1[[#This Row],[Population]]/Table1[[#This Row],[Deaths]]</f>
        <v>12352.353871773523</v>
      </c>
      <c r="L23" s="9">
        <f>Table1[[#This Row],[Deaths]]+Table1[[#This Row],[Active]]*Table1[[#This Row],[Death Rate]]</f>
        <v>7004.0747288162702</v>
      </c>
      <c r="M23" s="10">
        <f>Table1[[#This Row],[Deaths]]/Table1[[#This Row],[Cases]]</f>
        <v>1.4230110724716671E-2</v>
      </c>
      <c r="N23" s="11">
        <f>Table1[[#This Row],[Cases]]/Table1[[#This Row],[Deaths]]</f>
        <v>70.27352206494588</v>
      </c>
      <c r="O23" s="12">
        <f>Table1[[#This Row],[Cases]]/Table1[[#This Row],[Population]]</f>
        <v>5.6890794090289588E-3</v>
      </c>
      <c r="P23" s="12">
        <f>Table1[[#This Row],[Deaths]]/Table1[[#This Row],[Population]]</f>
        <v>8.0956229912187774E-5</v>
      </c>
      <c r="Q23" s="13">
        <f>1-Table1[[#This Row],[Deaths]]/Table1[[#This Row],[Ex(Deaths)]]</f>
        <v>0.31411354304440664</v>
      </c>
      <c r="R23" s="14">
        <f>G23/D23</f>
        <v>0.45796726245134689</v>
      </c>
      <c r="S23" s="12">
        <f>Table1[[#This Row],[Percent Infected]]*Table1[[#This Row],[% Active]]</f>
        <v>2.6054121228213187E-3</v>
      </c>
      <c r="T23" s="8">
        <f>1/Table1[[#This Row],[Percent Actively Infected]]</f>
        <v>383.81643780682629</v>
      </c>
      <c r="AMC23"/>
    </row>
    <row r="24" spans="1:1017" s="1" customFormat="1" ht="16.5" thickBot="1" x14ac:dyDescent="0.3">
      <c r="A24" s="1">
        <v>25</v>
      </c>
      <c r="B24" s="52">
        <v>121</v>
      </c>
      <c r="C24" s="43" t="s">
        <v>31</v>
      </c>
      <c r="D24" s="48">
        <v>1922</v>
      </c>
      <c r="E24" s="49">
        <v>10</v>
      </c>
      <c r="F24" s="48">
        <v>1902</v>
      </c>
      <c r="G24" s="49">
        <v>10</v>
      </c>
      <c r="H24" s="49"/>
      <c r="I24" s="43">
        <v>341345</v>
      </c>
      <c r="J24" s="8">
        <f>Table1[[#This Row],[Population]]/Table1[[#This Row],[Cases]]</f>
        <v>177.59885535900105</v>
      </c>
      <c r="K24" s="8">
        <f>Table1[[#This Row],[Population]]/Table1[[#This Row],[Deaths]]</f>
        <v>34134.5</v>
      </c>
      <c r="L24" s="9">
        <f>Table1[[#This Row],[Deaths]]+Table1[[#This Row],[Active]]*Table1[[#This Row],[Death Rate]]</f>
        <v>10.052029136316337</v>
      </c>
      <c r="M24" s="10">
        <f>Table1[[#This Row],[Deaths]]/Table1[[#This Row],[Cases]]</f>
        <v>5.2029136316337149E-3</v>
      </c>
      <c r="N24" s="11">
        <f>Table1[[#This Row],[Cases]]/Table1[[#This Row],[Deaths]]</f>
        <v>192.2</v>
      </c>
      <c r="O24" s="12">
        <f>Table1[[#This Row],[Cases]]/Table1[[#This Row],[Population]]</f>
        <v>5.6306669205642389E-3</v>
      </c>
      <c r="P24" s="12">
        <f>Table1[[#This Row],[Deaths]]/Table1[[#This Row],[Population]]</f>
        <v>2.9295873676192708E-5</v>
      </c>
      <c r="Q24" s="13">
        <f>1-Table1[[#This Row],[Deaths]]/Table1[[#This Row],[Ex(Deaths)]]</f>
        <v>5.1759834368529933E-3</v>
      </c>
      <c r="R24" s="14">
        <f>G24/D24</f>
        <v>5.2029136316337149E-3</v>
      </c>
      <c r="S24" s="12">
        <f>Table1[[#This Row],[Percent Infected]]*Table1[[#This Row],[% Active]]</f>
        <v>2.9295873676192712E-5</v>
      </c>
      <c r="T24" s="8">
        <f>1/Table1[[#This Row],[Percent Actively Infected]]</f>
        <v>34134.499999999993</v>
      </c>
      <c r="AMC24"/>
    </row>
    <row r="25" spans="1:1017" s="1" customFormat="1" ht="16.5" thickBot="1" x14ac:dyDescent="0.3">
      <c r="A25" s="1">
        <v>26</v>
      </c>
      <c r="B25" s="52">
        <v>33</v>
      </c>
      <c r="C25" s="43" t="s">
        <v>35</v>
      </c>
      <c r="D25" s="48">
        <v>63499</v>
      </c>
      <c r="E25" s="48">
        <v>9800</v>
      </c>
      <c r="F25" s="48">
        <v>17289</v>
      </c>
      <c r="G25" s="48">
        <v>36410</v>
      </c>
      <c r="H25" s="49">
        <v>28</v>
      </c>
      <c r="I25" s="43">
        <v>11591989</v>
      </c>
      <c r="J25" s="8">
        <f>Table1[[#This Row],[Population]]/Table1[[#This Row],[Cases]]</f>
        <v>182.55388273831085</v>
      </c>
      <c r="K25" s="8">
        <f>Table1[[#This Row],[Population]]/Table1[[#This Row],[Deaths]]</f>
        <v>1182.8560204081632</v>
      </c>
      <c r="L25" s="9">
        <f>Table1[[#This Row],[Deaths]]+Table1[[#This Row],[Active]]*Table1[[#This Row],[Death Rate]]</f>
        <v>15419.269594796768</v>
      </c>
      <c r="M25" s="10">
        <f>Table1[[#This Row],[Deaths]]/Table1[[#This Row],[Cases]]</f>
        <v>0.15433313910455282</v>
      </c>
      <c r="N25" s="11">
        <f>Table1[[#This Row],[Cases]]/Table1[[#This Row],[Deaths]]</f>
        <v>6.4794897959183677</v>
      </c>
      <c r="O25" s="12">
        <f>Table1[[#This Row],[Cases]]/Table1[[#This Row],[Population]]</f>
        <v>5.477834735695488E-3</v>
      </c>
      <c r="P25" s="12">
        <f>Table1[[#This Row],[Deaths]]/Table1[[#This Row],[Population]]</f>
        <v>8.4541143025584301E-4</v>
      </c>
      <c r="Q25" s="13">
        <f>1-Table1[[#This Row],[Deaths]]/Table1[[#This Row],[Ex(Deaths)]]</f>
        <v>0.36443163278583512</v>
      </c>
      <c r="R25" s="14">
        <f>G25/D25</f>
        <v>0.57339485661191514</v>
      </c>
      <c r="S25" s="12">
        <f>Table1[[#This Row],[Percent Infected]]*Table1[[#This Row],[% Active]]</f>
        <v>3.1409622628178822E-3</v>
      </c>
      <c r="T25" s="8">
        <f>1/Table1[[#This Row],[Percent Actively Infected]]</f>
        <v>318.37377094204891</v>
      </c>
      <c r="AMC25"/>
    </row>
    <row r="26" spans="1:1017" s="1" customFormat="1" ht="16.5" thickBot="1" x14ac:dyDescent="0.3">
      <c r="A26" s="1">
        <v>27</v>
      </c>
      <c r="B26" s="52">
        <v>106</v>
      </c>
      <c r="C26" s="43" t="s">
        <v>53</v>
      </c>
      <c r="D26" s="48">
        <v>2913</v>
      </c>
      <c r="E26" s="49">
        <v>15</v>
      </c>
      <c r="F26" s="48">
        <v>2340</v>
      </c>
      <c r="G26" s="49">
        <v>558</v>
      </c>
      <c r="H26" s="49">
        <v>12</v>
      </c>
      <c r="I26" s="43">
        <v>540927</v>
      </c>
      <c r="J26" s="8">
        <f>Table1[[#This Row],[Population]]/Table1[[#This Row],[Cases]]</f>
        <v>185.6941297631308</v>
      </c>
      <c r="K26" s="8">
        <f>Table1[[#This Row],[Population]]/Table1[[#This Row],[Deaths]]</f>
        <v>36061.800000000003</v>
      </c>
      <c r="L26" s="9">
        <f>Table1[[#This Row],[Deaths]]+Table1[[#This Row],[Active]]*Table1[[#This Row],[Death Rate]]</f>
        <v>17.873326467559217</v>
      </c>
      <c r="M26" s="10">
        <f>Table1[[#This Row],[Deaths]]/Table1[[#This Row],[Cases]]</f>
        <v>5.1493305870236872E-3</v>
      </c>
      <c r="N26" s="11">
        <f>Table1[[#This Row],[Cases]]/Table1[[#This Row],[Deaths]]</f>
        <v>194.2</v>
      </c>
      <c r="O26" s="12">
        <f>Table1[[#This Row],[Cases]]/Table1[[#This Row],[Population]]</f>
        <v>5.3851998513662659E-3</v>
      </c>
      <c r="P26" s="12">
        <f>Table1[[#This Row],[Deaths]]/Table1[[#This Row],[Population]]</f>
        <v>2.7730174311875725E-5</v>
      </c>
      <c r="Q26" s="13">
        <f>1-Table1[[#This Row],[Deaths]]/Table1[[#This Row],[Ex(Deaths)]]</f>
        <v>0.16076058772687984</v>
      </c>
      <c r="R26" s="14">
        <f>G26/D26</f>
        <v>0.19155509783728114</v>
      </c>
      <c r="S26" s="12">
        <f>Table1[[#This Row],[Percent Infected]]*Table1[[#This Row],[% Active]]</f>
        <v>1.0315624844017769E-3</v>
      </c>
      <c r="T26" s="8">
        <f>1/Table1[[#This Row],[Percent Actively Infected]]</f>
        <v>969.4032258064517</v>
      </c>
      <c r="AMC26"/>
    </row>
    <row r="27" spans="1:1017" s="1" customFormat="1" ht="16.5" thickBot="1" x14ac:dyDescent="0.3">
      <c r="A27" s="1">
        <v>28</v>
      </c>
      <c r="B27" s="54">
        <v>174</v>
      </c>
      <c r="C27" s="43" t="s">
        <v>36</v>
      </c>
      <c r="D27" s="51">
        <v>180</v>
      </c>
      <c r="E27" s="51"/>
      <c r="F27" s="51">
        <v>180</v>
      </c>
      <c r="G27" s="51">
        <v>0</v>
      </c>
      <c r="H27" s="51"/>
      <c r="I27" s="43">
        <v>33691</v>
      </c>
      <c r="J27" s="8">
        <f>Table1[[#This Row],[Population]]/Table1[[#This Row],[Cases]]</f>
        <v>187.17222222222222</v>
      </c>
      <c r="K27" s="8" t="e">
        <f>Table1[[#This Row],[Population]]/Table1[[#This Row],[Deaths]]</f>
        <v>#DIV/0!</v>
      </c>
      <c r="L27" s="9">
        <f>Table1[[#This Row],[Deaths]]+Table1[[#This Row],[Active]]*Table1[[#This Row],[Death Rate]]</f>
        <v>0</v>
      </c>
      <c r="M27" s="10">
        <f>Table1[[#This Row],[Deaths]]/Table1[[#This Row],[Cases]]</f>
        <v>0</v>
      </c>
      <c r="N27" s="11" t="e">
        <f>Table1[[#This Row],[Cases]]/Table1[[#This Row],[Deaths]]</f>
        <v>#DIV/0!</v>
      </c>
      <c r="O27" s="12">
        <f>Table1[[#This Row],[Cases]]/Table1[[#This Row],[Population]]</f>
        <v>5.3426731174497644E-3</v>
      </c>
      <c r="P27" s="12">
        <f>Table1[[#This Row],[Deaths]]/Table1[[#This Row],[Population]]</f>
        <v>0</v>
      </c>
      <c r="Q27" s="13" t="e">
        <f>1-Table1[[#This Row],[Deaths]]/Table1[[#This Row],[Ex(Deaths)]]</f>
        <v>#DIV/0!</v>
      </c>
      <c r="R27" s="14">
        <f>G27/D27</f>
        <v>0</v>
      </c>
      <c r="S27" s="12">
        <f>Table1[[#This Row],[Percent Infected]]*Table1[[#This Row],[% Active]]</f>
        <v>0</v>
      </c>
      <c r="T27" s="8" t="e">
        <f>1/Table1[[#This Row],[Percent Actively Infected]]</f>
        <v>#DIV/0!</v>
      </c>
      <c r="AMC27"/>
    </row>
    <row r="28" spans="1:1017" s="1" customFormat="1" ht="16.5" thickBot="1" x14ac:dyDescent="0.3">
      <c r="A28" s="1">
        <v>29</v>
      </c>
      <c r="B28" s="52">
        <v>4</v>
      </c>
      <c r="C28" s="43" t="s">
        <v>56</v>
      </c>
      <c r="D28" s="48">
        <v>765437</v>
      </c>
      <c r="E28" s="48">
        <v>12247</v>
      </c>
      <c r="F28" s="48">
        <v>546863</v>
      </c>
      <c r="G28" s="48">
        <v>206327</v>
      </c>
      <c r="H28" s="48">
        <v>2300</v>
      </c>
      <c r="I28" s="43">
        <v>145937516</v>
      </c>
      <c r="J28" s="8">
        <f>Table1[[#This Row],[Population]]/Table1[[#This Row],[Cases]]</f>
        <v>190.65908232813413</v>
      </c>
      <c r="K28" s="8">
        <f>Table1[[#This Row],[Population]]/Table1[[#This Row],[Deaths]]</f>
        <v>11916.184861598758</v>
      </c>
      <c r="L28" s="9">
        <f>Table1[[#This Row],[Deaths]]+Table1[[#This Row],[Active]]*Table1[[#This Row],[Death Rate]]</f>
        <v>15548.234156436127</v>
      </c>
      <c r="M28" s="10">
        <f>Table1[[#This Row],[Deaths]]/Table1[[#This Row],[Cases]]</f>
        <v>1.600001045154598E-2</v>
      </c>
      <c r="N28" s="11">
        <f>Table1[[#This Row],[Cases]]/Table1[[#This Row],[Deaths]]</f>
        <v>62.499959173675187</v>
      </c>
      <c r="O28" s="12">
        <f>Table1[[#This Row],[Cases]]/Table1[[#This Row],[Population]]</f>
        <v>5.2449638789247308E-3</v>
      </c>
      <c r="P28" s="12">
        <f>Table1[[#This Row],[Deaths]]/Table1[[#This Row],[Population]]</f>
        <v>8.3919476880776845E-5</v>
      </c>
      <c r="Q28" s="17">
        <f>1-Table1[[#This Row],[Deaths]]/Table1[[#This Row],[Ex(Deaths)]]</f>
        <v>0.21232212759476576</v>
      </c>
      <c r="R28" s="14">
        <f>G28/D28</f>
        <v>0.26955451591705132</v>
      </c>
      <c r="S28" s="12">
        <f>Table1[[#This Row],[Percent Infected]]*Table1[[#This Row],[% Active]]</f>
        <v>1.4138036993859755E-3</v>
      </c>
      <c r="T28" s="8">
        <f>1/Table1[[#This Row],[Percent Actively Infected]]</f>
        <v>707.31177208993495</v>
      </c>
      <c r="AMC28"/>
    </row>
    <row r="29" spans="1:1017" s="1" customFormat="1" ht="16.5" thickBot="1" x14ac:dyDescent="0.3">
      <c r="A29" s="1">
        <v>30</v>
      </c>
      <c r="B29" s="52">
        <v>55</v>
      </c>
      <c r="C29" s="43" t="s">
        <v>34</v>
      </c>
      <c r="D29" s="48">
        <v>25730</v>
      </c>
      <c r="E29" s="48">
        <v>1752</v>
      </c>
      <c r="F29" s="48">
        <v>23364</v>
      </c>
      <c r="G29" s="49">
        <v>614</v>
      </c>
      <c r="H29" s="49">
        <v>8</v>
      </c>
      <c r="I29" s="43">
        <v>4940188</v>
      </c>
      <c r="J29" s="8">
        <f>Table1[[#This Row],[Population]]/Table1[[#This Row],[Cases]]</f>
        <v>192.00108822386321</v>
      </c>
      <c r="K29" s="8">
        <f>Table1[[#This Row],[Population]]/Table1[[#This Row],[Deaths]]</f>
        <v>2819.7420091324202</v>
      </c>
      <c r="L29" s="9">
        <f>Table1[[#This Row],[Deaths]]+Table1[[#This Row],[Active]]*Table1[[#This Row],[Death Rate]]</f>
        <v>1793.8083171395258</v>
      </c>
      <c r="M29" s="10">
        <f>Table1[[#This Row],[Deaths]]/Table1[[#This Row],[Cases]]</f>
        <v>6.809172172561212E-2</v>
      </c>
      <c r="N29" s="11">
        <f>Table1[[#This Row],[Cases]]/Table1[[#This Row],[Deaths]]</f>
        <v>14.68607305936073</v>
      </c>
      <c r="O29" s="12">
        <f>Table1[[#This Row],[Cases]]/Table1[[#This Row],[Population]]</f>
        <v>5.2083038135390799E-3</v>
      </c>
      <c r="P29" s="12">
        <f>Table1[[#This Row],[Deaths]]/Table1[[#This Row],[Population]]</f>
        <v>3.5464237393394746E-4</v>
      </c>
      <c r="Q29" s="13">
        <f>1-Table1[[#This Row],[Deaths]]/Table1[[#This Row],[Ex(Deaths)]]</f>
        <v>2.3307014880048604E-2</v>
      </c>
      <c r="R29" s="14">
        <f>G29/D29</f>
        <v>2.3863194714341236E-2</v>
      </c>
      <c r="S29" s="12">
        <f>Table1[[#This Row],[Percent Infected]]*Table1[[#This Row],[% Active]]</f>
        <v>1.2428676803392908E-4</v>
      </c>
      <c r="T29" s="8">
        <f>1/Table1[[#This Row],[Percent Actively Infected]]</f>
        <v>8045.9087947882736</v>
      </c>
      <c r="AMC29"/>
    </row>
    <row r="30" spans="1:1017" s="1" customFormat="1" ht="16.5" thickBot="1" x14ac:dyDescent="0.3">
      <c r="A30" s="1">
        <v>31</v>
      </c>
      <c r="B30" s="52">
        <v>43</v>
      </c>
      <c r="C30" s="43" t="s">
        <v>70</v>
      </c>
      <c r="D30" s="48">
        <v>47459</v>
      </c>
      <c r="E30" s="49">
        <v>392</v>
      </c>
      <c r="F30" s="48">
        <v>20744</v>
      </c>
      <c r="G30" s="48">
        <v>26323</v>
      </c>
      <c r="H30" s="49">
        <v>208</v>
      </c>
      <c r="I30" s="43">
        <v>9197590</v>
      </c>
      <c r="J30" s="8">
        <f>Table1[[#This Row],[Population]]/Table1[[#This Row],[Cases]]</f>
        <v>193.80075433532102</v>
      </c>
      <c r="K30" s="8">
        <f>Table1[[#This Row],[Population]]/Table1[[#This Row],[Deaths]]</f>
        <v>23463.239795918369</v>
      </c>
      <c r="L30" s="9">
        <f>Table1[[#This Row],[Deaths]]+Table1[[#This Row],[Active]]*Table1[[#This Row],[Death Rate]]</f>
        <v>609.42169030110199</v>
      </c>
      <c r="M30" s="10">
        <f>Table1[[#This Row],[Deaths]]/Table1[[#This Row],[Cases]]</f>
        <v>8.2597610569122813E-3</v>
      </c>
      <c r="N30" s="11">
        <f>Table1[[#This Row],[Cases]]/Table1[[#This Row],[Deaths]]</f>
        <v>121.06887755102041</v>
      </c>
      <c r="O30" s="12">
        <f>Table1[[#This Row],[Cases]]/Table1[[#This Row],[Population]]</f>
        <v>5.1599386360992395E-3</v>
      </c>
      <c r="P30" s="12">
        <f>Table1[[#This Row],[Deaths]]/Table1[[#This Row],[Population]]</f>
        <v>4.2619860202509571E-5</v>
      </c>
      <c r="Q30" s="13">
        <f>1-Table1[[#This Row],[Deaths]]/Table1[[#This Row],[Ex(Deaths)]]</f>
        <v>0.35676723320050963</v>
      </c>
      <c r="R30" s="14">
        <f>G30/D30</f>
        <v>0.5546471691354643</v>
      </c>
      <c r="S30" s="12">
        <f>Table1[[#This Row],[Percent Infected]]*Table1[[#This Row],[% Active]]</f>
        <v>2.8619453574251518E-3</v>
      </c>
      <c r="T30" s="8">
        <f>1/Table1[[#This Row],[Percent Actively Infected]]</f>
        <v>349.4126809254264</v>
      </c>
      <c r="AMC30"/>
    </row>
    <row r="31" spans="1:1017" s="1" customFormat="1" ht="16.5" thickBot="1" x14ac:dyDescent="0.3">
      <c r="A31" s="1">
        <v>32</v>
      </c>
      <c r="B31" s="52">
        <v>59</v>
      </c>
      <c r="C31" s="43" t="s">
        <v>72</v>
      </c>
      <c r="D31" s="48">
        <v>20494</v>
      </c>
      <c r="E31" s="49">
        <v>675</v>
      </c>
      <c r="F31" s="48">
        <v>13913</v>
      </c>
      <c r="G31" s="48">
        <v>5906</v>
      </c>
      <c r="H31" s="49">
        <v>358</v>
      </c>
      <c r="I31" s="43">
        <v>4033493</v>
      </c>
      <c r="J31" s="8">
        <f>Table1[[#This Row],[Population]]/Table1[[#This Row],[Cases]]</f>
        <v>196.81336000780718</v>
      </c>
      <c r="K31" s="8">
        <f>Table1[[#This Row],[Population]]/Table1[[#This Row],[Deaths]]</f>
        <v>5975.5451851851849</v>
      </c>
      <c r="L31" s="9">
        <f>Table1[[#This Row],[Deaths]]+Table1[[#This Row],[Active]]*Table1[[#This Row],[Death Rate]]</f>
        <v>869.52278715721673</v>
      </c>
      <c r="M31" s="10">
        <f>Table1[[#This Row],[Deaths]]/Table1[[#This Row],[Cases]]</f>
        <v>3.2936469210500634E-2</v>
      </c>
      <c r="N31" s="11">
        <f>Table1[[#This Row],[Cases]]/Table1[[#This Row],[Deaths]]</f>
        <v>30.36148148148148</v>
      </c>
      <c r="O31" s="12">
        <f>Table1[[#This Row],[Cases]]/Table1[[#This Row],[Population]]</f>
        <v>5.0809558861264915E-3</v>
      </c>
      <c r="P31" s="12">
        <f>Table1[[#This Row],[Deaths]]/Table1[[#This Row],[Population]]</f>
        <v>1.6734874710331714E-4</v>
      </c>
      <c r="Q31" s="13">
        <f>1-Table1[[#This Row],[Deaths]]/Table1[[#This Row],[Ex(Deaths)]]</f>
        <v>0.22371212121212114</v>
      </c>
      <c r="R31" s="14">
        <f>G31/D31</f>
        <v>0.28818190689958034</v>
      </c>
      <c r="S31" s="12">
        <f>Table1[[#This Row],[Percent Infected]]*Table1[[#This Row],[% Active]]</f>
        <v>1.4642395561365793E-3</v>
      </c>
      <c r="T31" s="8">
        <f>1/Table1[[#This Row],[Percent Actively Infected]]</f>
        <v>682.94835760243825</v>
      </c>
      <c r="AMC31"/>
    </row>
    <row r="32" spans="1:1017" s="1" customFormat="1" ht="16.5" thickBot="1" x14ac:dyDescent="0.3">
      <c r="A32" s="1">
        <v>33</v>
      </c>
      <c r="B32" s="52">
        <v>94</v>
      </c>
      <c r="C32" s="43" t="s">
        <v>58</v>
      </c>
      <c r="D32" s="48">
        <v>5003</v>
      </c>
      <c r="E32" s="49">
        <v>56</v>
      </c>
      <c r="F32" s="48">
        <v>4809</v>
      </c>
      <c r="G32" s="49">
        <v>138</v>
      </c>
      <c r="H32" s="49"/>
      <c r="I32" s="43">
        <v>988601</v>
      </c>
      <c r="J32" s="8">
        <f>Table1[[#This Row],[Population]]/Table1[[#This Row],[Cases]]</f>
        <v>197.60163901659004</v>
      </c>
      <c r="K32" s="8">
        <f>Table1[[#This Row],[Population]]/Table1[[#This Row],[Deaths]]</f>
        <v>17653.589285714286</v>
      </c>
      <c r="L32" s="9">
        <f>Table1[[#This Row],[Deaths]]+Table1[[#This Row],[Active]]*Table1[[#This Row],[Death Rate]]</f>
        <v>57.54467319608235</v>
      </c>
      <c r="M32" s="10">
        <f>Table1[[#This Row],[Deaths]]/Table1[[#This Row],[Cases]]</f>
        <v>1.1193284029582251E-2</v>
      </c>
      <c r="N32" s="11">
        <f>Table1[[#This Row],[Cases]]/Table1[[#This Row],[Deaths]]</f>
        <v>89.339285714285708</v>
      </c>
      <c r="O32" s="12">
        <f>Table1[[#This Row],[Cases]]/Table1[[#This Row],[Population]]</f>
        <v>5.0606867684738332E-3</v>
      </c>
      <c r="P32" s="12">
        <f>Table1[[#This Row],[Deaths]]/Table1[[#This Row],[Population]]</f>
        <v>5.6645704384276368E-5</v>
      </c>
      <c r="Q32" s="13">
        <f>1-Table1[[#This Row],[Deaths]]/Table1[[#This Row],[Ex(Deaths)]]</f>
        <v>2.6843026648511903E-2</v>
      </c>
      <c r="R32" s="14">
        <f>G32/D32</f>
        <v>2.7583449930041973E-2</v>
      </c>
      <c r="S32" s="12">
        <f>Table1[[#This Row],[Percent Infected]]*Table1[[#This Row],[% Active]]</f>
        <v>1.3959120008982389E-4</v>
      </c>
      <c r="T32" s="8">
        <f>1/Table1[[#This Row],[Percent Actively Infected]]</f>
        <v>7163.7753623188419</v>
      </c>
      <c r="AMC32"/>
    </row>
    <row r="33" spans="1:1017" s="1" customFormat="1" ht="16.5" thickBot="1" x14ac:dyDescent="0.3">
      <c r="A33" s="1">
        <v>34</v>
      </c>
      <c r="B33" s="52">
        <v>37</v>
      </c>
      <c r="C33" s="43" t="s">
        <v>100</v>
      </c>
      <c r="D33" s="48">
        <v>56102</v>
      </c>
      <c r="E33" s="48">
        <v>2049</v>
      </c>
      <c r="F33" s="48">
        <v>17882</v>
      </c>
      <c r="G33" s="48">
        <v>36171</v>
      </c>
      <c r="H33" s="49">
        <v>71</v>
      </c>
      <c r="I33" s="43">
        <v>11679756</v>
      </c>
      <c r="J33" s="8">
        <f>Table1[[#This Row],[Population]]/Table1[[#This Row],[Cases]]</f>
        <v>208.18787209012157</v>
      </c>
      <c r="K33" s="8">
        <f>Table1[[#This Row],[Population]]/Table1[[#This Row],[Deaths]]</f>
        <v>5700.2225475841879</v>
      </c>
      <c r="L33" s="9">
        <f>Table1[[#This Row],[Deaths]]+Table1[[#This Row],[Active]]*Table1[[#This Row],[Death Rate]]</f>
        <v>3370.0648283483652</v>
      </c>
      <c r="M33" s="10">
        <f>Table1[[#This Row],[Deaths]]/Table1[[#This Row],[Cases]]</f>
        <v>3.6522762111867668E-2</v>
      </c>
      <c r="N33" s="11">
        <f>Table1[[#This Row],[Cases]]/Table1[[#This Row],[Deaths]]</f>
        <v>27.380185456320156</v>
      </c>
      <c r="O33" s="12">
        <f>Table1[[#This Row],[Cases]]/Table1[[#This Row],[Population]]</f>
        <v>4.8033537686917429E-3</v>
      </c>
      <c r="P33" s="12">
        <f>Table1[[#This Row],[Deaths]]/Table1[[#This Row],[Population]]</f>
        <v>1.7543174703307159E-4</v>
      </c>
      <c r="Q33" s="13">
        <f>1-Table1[[#This Row],[Deaths]]/Table1[[#This Row],[Ex(Deaths)]]</f>
        <v>0.39199982660149768</v>
      </c>
      <c r="R33" s="14">
        <f>G33/D33</f>
        <v>0.64473637303482945</v>
      </c>
      <c r="S33" s="12">
        <f>Table1[[#This Row],[Percent Infected]]*Table1[[#This Row],[% Active]]</f>
        <v>3.0968968872294935E-3</v>
      </c>
      <c r="T33" s="8">
        <f>1/Table1[[#This Row],[Percent Actively Infected]]</f>
        <v>322.90387326864061</v>
      </c>
      <c r="AMC33"/>
    </row>
    <row r="34" spans="1:1017" s="1" customFormat="1" ht="16.5" thickBot="1" x14ac:dyDescent="0.3">
      <c r="A34" s="1">
        <v>35</v>
      </c>
      <c r="B34" s="52">
        <v>39</v>
      </c>
      <c r="C34" s="43" t="s">
        <v>79</v>
      </c>
      <c r="D34" s="48">
        <v>51519</v>
      </c>
      <c r="E34" s="49">
        <v>971</v>
      </c>
      <c r="F34" s="48">
        <v>24607</v>
      </c>
      <c r="G34" s="48">
        <v>25941</v>
      </c>
      <c r="H34" s="49">
        <v>245</v>
      </c>
      <c r="I34" s="43">
        <v>10852708</v>
      </c>
      <c r="J34" s="8">
        <f>Table1[[#This Row],[Population]]/Table1[[#This Row],[Cases]]</f>
        <v>210.65447698907198</v>
      </c>
      <c r="K34" s="8">
        <f>Table1[[#This Row],[Population]]/Table1[[#This Row],[Deaths]]</f>
        <v>11176.836251287332</v>
      </c>
      <c r="L34" s="9">
        <f>Table1[[#This Row],[Deaths]]+Table1[[#This Row],[Active]]*Table1[[#This Row],[Death Rate]]</f>
        <v>1459.9208059162638</v>
      </c>
      <c r="M34" s="10">
        <f>Table1[[#This Row],[Deaths]]/Table1[[#This Row],[Cases]]</f>
        <v>1.8847415516605525E-2</v>
      </c>
      <c r="N34" s="11">
        <f>Table1[[#This Row],[Cases]]/Table1[[#This Row],[Deaths]]</f>
        <v>53.057672502574668</v>
      </c>
      <c r="O34" s="12">
        <f>Table1[[#This Row],[Cases]]/Table1[[#This Row],[Population]]</f>
        <v>4.747110122192544E-3</v>
      </c>
      <c r="P34" s="12">
        <f>Table1[[#This Row],[Deaths]]/Table1[[#This Row],[Population]]</f>
        <v>8.9470756976046904E-5</v>
      </c>
      <c r="Q34" s="13">
        <f>1-Table1[[#This Row],[Deaths]]/Table1[[#This Row],[Ex(Deaths)]]</f>
        <v>0.33489542989930288</v>
      </c>
      <c r="R34" s="14">
        <f>G34/D34</f>
        <v>0.50352297210737784</v>
      </c>
      <c r="S34" s="12">
        <f>Table1[[#This Row],[Percent Infected]]*Table1[[#This Row],[% Active]]</f>
        <v>2.3902789976474074E-3</v>
      </c>
      <c r="T34" s="8">
        <f>1/Table1[[#This Row],[Percent Actively Infected]]</f>
        <v>418.36120427123086</v>
      </c>
      <c r="AMC34"/>
    </row>
    <row r="35" spans="1:1017" s="1" customFormat="1" ht="16.5" thickBot="1" x14ac:dyDescent="0.3">
      <c r="A35" s="1">
        <v>36</v>
      </c>
      <c r="B35" s="52">
        <v>41</v>
      </c>
      <c r="C35" s="43" t="s">
        <v>49</v>
      </c>
      <c r="D35" s="48">
        <v>48390</v>
      </c>
      <c r="E35" s="48">
        <v>1684</v>
      </c>
      <c r="F35" s="48">
        <v>33153</v>
      </c>
      <c r="G35" s="48">
        <v>13553</v>
      </c>
      <c r="H35" s="49">
        <v>65</v>
      </c>
      <c r="I35" s="43">
        <v>10195211</v>
      </c>
      <c r="J35" s="8">
        <f>Table1[[#This Row],[Population]]/Table1[[#This Row],[Cases]]</f>
        <v>210.68838603017153</v>
      </c>
      <c r="K35" s="8">
        <f>Table1[[#This Row],[Population]]/Table1[[#This Row],[Deaths]]</f>
        <v>6054.1633016627075</v>
      </c>
      <c r="L35" s="9">
        <f>Table1[[#This Row],[Deaths]]+Table1[[#This Row],[Active]]*Table1[[#This Row],[Death Rate]]</f>
        <v>2155.6522421988016</v>
      </c>
      <c r="M35" s="10">
        <f>Table1[[#This Row],[Deaths]]/Table1[[#This Row],[Cases]]</f>
        <v>3.4800578631948749E-2</v>
      </c>
      <c r="N35" s="11">
        <f>Table1[[#This Row],[Cases]]/Table1[[#This Row],[Deaths]]</f>
        <v>28.735154394299286</v>
      </c>
      <c r="O35" s="12">
        <f>Table1[[#This Row],[Cases]]/Table1[[#This Row],[Population]]</f>
        <v>4.7463461030870279E-3</v>
      </c>
      <c r="P35" s="12">
        <f>Table1[[#This Row],[Deaths]]/Table1[[#This Row],[Population]]</f>
        <v>1.6517559077492363E-4</v>
      </c>
      <c r="Q35" s="13">
        <f>1-Table1[[#This Row],[Deaths]]/Table1[[#This Row],[Ex(Deaths)]]</f>
        <v>0.21879792712655188</v>
      </c>
      <c r="R35" s="14">
        <f>G35/D35</f>
        <v>0.28007852862161603</v>
      </c>
      <c r="S35" s="12">
        <f>Table1[[#This Row],[Percent Infected]]*Table1[[#This Row],[% Active]]</f>
        <v>1.3293496328815558E-3</v>
      </c>
      <c r="T35" s="8">
        <f>1/Table1[[#This Row],[Percent Actively Infected]]</f>
        <v>752.2475466686343</v>
      </c>
      <c r="AMC35"/>
    </row>
    <row r="36" spans="1:1017" s="1" customFormat="1" ht="16.5" thickBot="1" x14ac:dyDescent="0.3">
      <c r="A36" s="1">
        <v>37</v>
      </c>
      <c r="B36" s="52">
        <v>10</v>
      </c>
      <c r="C36" s="43" t="s">
        <v>40</v>
      </c>
      <c r="D36" s="48">
        <v>294066</v>
      </c>
      <c r="E36" s="48">
        <v>45273</v>
      </c>
      <c r="F36" s="49" t="s">
        <v>41</v>
      </c>
      <c r="G36" s="49" t="s">
        <v>41</v>
      </c>
      <c r="H36" s="49">
        <v>142</v>
      </c>
      <c r="I36" s="43">
        <v>67902582</v>
      </c>
      <c r="J36" s="8">
        <f>Table1[[#This Row],[Population]]/Table1[[#This Row],[Cases]]</f>
        <v>230.90932647772948</v>
      </c>
      <c r="K36" s="8">
        <f>Table1[[#This Row],[Population]]/Table1[[#This Row],[Deaths]]</f>
        <v>1499.8471936916042</v>
      </c>
      <c r="L36" s="9" t="e">
        <f>Table1[[#This Row],[Deaths]]+Table1[[#This Row],[Active]]*Table1[[#This Row],[Death Rate]]</f>
        <v>#VALUE!</v>
      </c>
      <c r="M36" s="10">
        <f>Table1[[#This Row],[Deaths]]/Table1[[#This Row],[Cases]]</f>
        <v>0.15395523453918508</v>
      </c>
      <c r="N36" s="11">
        <f>Table1[[#This Row],[Cases]]/Table1[[#This Row],[Deaths]]</f>
        <v>6.4953946060565899</v>
      </c>
      <c r="O36" s="12">
        <f>Table1[[#This Row],[Cases]]/Table1[[#This Row],[Population]]</f>
        <v>4.330704243323177E-3</v>
      </c>
      <c r="P36" s="12">
        <f>Table1[[#This Row],[Deaths]]/Table1[[#This Row],[Population]]</f>
        <v>6.6673458750066378E-4</v>
      </c>
      <c r="Q36" s="13" t="e">
        <f>1-Table1[[#This Row],[Deaths]]/Table1[[#This Row],[Ex(Deaths)]]</f>
        <v>#VALUE!</v>
      </c>
      <c r="R36" s="14" t="e">
        <f>G36/D36</f>
        <v>#VALUE!</v>
      </c>
      <c r="S36" s="12" t="e">
        <f>Table1[[#This Row],[Percent Infected]]*Table1[[#This Row],[% Active]]</f>
        <v>#VALUE!</v>
      </c>
      <c r="T36" s="8" t="e">
        <f>1/Table1[[#This Row],[Percent Actively Infected]]</f>
        <v>#VALUE!</v>
      </c>
      <c r="AMC36"/>
    </row>
    <row r="37" spans="1:1017" s="1" customFormat="1" ht="16.5" thickBot="1" x14ac:dyDescent="0.3">
      <c r="A37" s="1">
        <v>38</v>
      </c>
      <c r="B37" s="52">
        <v>78</v>
      </c>
      <c r="C37" s="43" t="s">
        <v>85</v>
      </c>
      <c r="D37" s="48">
        <v>8786</v>
      </c>
      <c r="E37" s="49">
        <v>406</v>
      </c>
      <c r="F37" s="48">
        <v>4676</v>
      </c>
      <c r="G37" s="48">
        <v>3704</v>
      </c>
      <c r="H37" s="49">
        <v>55</v>
      </c>
      <c r="I37" s="43">
        <v>2083370</v>
      </c>
      <c r="J37" s="8">
        <f>Table1[[#This Row],[Population]]/Table1[[#This Row],[Cases]]</f>
        <v>237.12383337127247</v>
      </c>
      <c r="K37" s="8">
        <f>Table1[[#This Row],[Population]]/Table1[[#This Row],[Deaths]]</f>
        <v>5131.4532019704429</v>
      </c>
      <c r="L37" s="9">
        <f>Table1[[#This Row],[Deaths]]+Table1[[#This Row],[Active]]*Table1[[#This Row],[Death Rate]]</f>
        <v>577.1613931254268</v>
      </c>
      <c r="M37" s="10">
        <f>Table1[[#This Row],[Deaths]]/Table1[[#This Row],[Cases]]</f>
        <v>4.6209879353516961E-2</v>
      </c>
      <c r="N37" s="11">
        <f>Table1[[#This Row],[Cases]]/Table1[[#This Row],[Deaths]]</f>
        <v>21.64039408866995</v>
      </c>
      <c r="O37" s="12">
        <f>Table1[[#This Row],[Cases]]/Table1[[#This Row],[Population]]</f>
        <v>4.2172057771783216E-3</v>
      </c>
      <c r="P37" s="12">
        <f>Table1[[#This Row],[Deaths]]/Table1[[#This Row],[Population]]</f>
        <v>1.9487657017236497E-4</v>
      </c>
      <c r="Q37" s="13">
        <f>1-Table1[[#This Row],[Deaths]]/Table1[[#This Row],[Ex(Deaths)]]</f>
        <v>0.29655724579663734</v>
      </c>
      <c r="R37" s="14">
        <f>G37/D37</f>
        <v>0.42157978602321877</v>
      </c>
      <c r="S37" s="12">
        <f>Table1[[#This Row],[Percent Infected]]*Table1[[#This Row],[% Active]]</f>
        <v>1.7778887091587188E-3</v>
      </c>
      <c r="T37" s="8">
        <f>1/Table1[[#This Row],[Percent Actively Infected]]</f>
        <v>562.46490280777539</v>
      </c>
      <c r="AMC37"/>
    </row>
    <row r="38" spans="1:1017" s="1" customFormat="1" ht="16.5" thickBot="1" x14ac:dyDescent="0.3">
      <c r="A38" s="1">
        <v>39</v>
      </c>
      <c r="B38" s="52">
        <v>28</v>
      </c>
      <c r="C38" s="43" t="s">
        <v>65</v>
      </c>
      <c r="D38" s="48">
        <v>72444</v>
      </c>
      <c r="E38" s="48">
        <v>5250</v>
      </c>
      <c r="F38" s="48">
        <v>31404</v>
      </c>
      <c r="G38" s="48">
        <v>35790</v>
      </c>
      <c r="H38" s="49">
        <v>313</v>
      </c>
      <c r="I38" s="43">
        <v>17654176</v>
      </c>
      <c r="J38" s="8">
        <f>Table1[[#This Row],[Population]]/Table1[[#This Row],[Cases]]</f>
        <v>243.69410855281322</v>
      </c>
      <c r="K38" s="8">
        <f>Table1[[#This Row],[Population]]/Table1[[#This Row],[Deaths]]</f>
        <v>3362.7001904761905</v>
      </c>
      <c r="L38" s="9">
        <f>Table1[[#This Row],[Deaths]]+Table1[[#This Row],[Active]]*Table1[[#This Row],[Death Rate]]</f>
        <v>7843.6930594666228</v>
      </c>
      <c r="M38" s="10">
        <f>Table1[[#This Row],[Deaths]]/Table1[[#This Row],[Cases]]</f>
        <v>7.2469769753188668E-2</v>
      </c>
      <c r="N38" s="11">
        <f>Table1[[#This Row],[Cases]]/Table1[[#This Row],[Deaths]]</f>
        <v>13.798857142857143</v>
      </c>
      <c r="O38" s="12">
        <f>Table1[[#This Row],[Cases]]/Table1[[#This Row],[Population]]</f>
        <v>4.1035050290650779E-3</v>
      </c>
      <c r="P38" s="12">
        <f>Table1[[#This Row],[Deaths]]/Table1[[#This Row],[Population]]</f>
        <v>2.9738006463739795E-4</v>
      </c>
      <c r="Q38" s="13">
        <f>1-Table1[[#This Row],[Deaths]]/Table1[[#This Row],[Ex(Deaths)]]</f>
        <v>0.33067243195299079</v>
      </c>
      <c r="R38" s="14">
        <f>G38/D38</f>
        <v>0.49403677323173761</v>
      </c>
      <c r="S38" s="12">
        <f>Table1[[#This Row],[Percent Infected]]*Table1[[#This Row],[% Active]]</f>
        <v>2.0272823834995186E-3</v>
      </c>
      <c r="T38" s="8">
        <f>1/Table1[[#This Row],[Percent Actively Infected]]</f>
        <v>493.27119307069017</v>
      </c>
      <c r="AMC38"/>
    </row>
    <row r="39" spans="1:1017" s="1" customFormat="1" ht="16.5" thickBot="1" x14ac:dyDescent="0.3">
      <c r="A39" s="1">
        <v>40</v>
      </c>
      <c r="B39" s="52">
        <v>14</v>
      </c>
      <c r="C39" s="43" t="s">
        <v>42</v>
      </c>
      <c r="D39" s="48">
        <v>244216</v>
      </c>
      <c r="E39" s="48">
        <v>35042</v>
      </c>
      <c r="F39" s="48">
        <v>196806</v>
      </c>
      <c r="G39" s="48">
        <v>12368</v>
      </c>
      <c r="H39" s="49">
        <v>50</v>
      </c>
      <c r="I39" s="43">
        <v>60457407</v>
      </c>
      <c r="J39" s="8">
        <f>Table1[[#This Row],[Population]]/Table1[[#This Row],[Cases]]</f>
        <v>247.55710928030925</v>
      </c>
      <c r="K39" s="8">
        <f>Table1[[#This Row],[Population]]/Table1[[#This Row],[Deaths]]</f>
        <v>1725.284144740597</v>
      </c>
      <c r="L39" s="9">
        <f>Table1[[#This Row],[Deaths]]+Table1[[#This Row],[Active]]*Table1[[#This Row],[Death Rate]]</f>
        <v>36816.656271497362</v>
      </c>
      <c r="M39" s="10">
        <f>Table1[[#This Row],[Deaths]]/Table1[[#This Row],[Cases]]</f>
        <v>0.1434877321715203</v>
      </c>
      <c r="N39" s="11">
        <f>Table1[[#This Row],[Cases]]/Table1[[#This Row],[Deaths]]</f>
        <v>6.9692369157011589</v>
      </c>
      <c r="O39" s="12">
        <f>Table1[[#This Row],[Cases]]/Table1[[#This Row],[Population]]</f>
        <v>4.03947195419744E-3</v>
      </c>
      <c r="P39" s="12">
        <f>Table1[[#This Row],[Deaths]]/Table1[[#This Row],[Population]]</f>
        <v>5.7961466987824998E-4</v>
      </c>
      <c r="Q39" s="13">
        <f>1-Table1[[#This Row],[Deaths]]/Table1[[#This Row],[Ex(Deaths)]]</f>
        <v>4.8202537960278069E-2</v>
      </c>
      <c r="R39" s="14">
        <f>G39/D39</f>
        <v>5.0643692468961901E-2</v>
      </c>
      <c r="S39" s="12">
        <f>Table1[[#This Row],[Percent Infected]]*Table1[[#This Row],[% Active]]</f>
        <v>2.0457377538537171E-4</v>
      </c>
      <c r="T39" s="8">
        <f>1/Table1[[#This Row],[Percent Actively Infected]]</f>
        <v>4888.2120795601559</v>
      </c>
      <c r="AMC39"/>
    </row>
    <row r="40" spans="1:1017" s="1" customFormat="1" ht="16.5" thickBot="1" x14ac:dyDescent="0.3">
      <c r="A40" s="1">
        <v>41</v>
      </c>
      <c r="B40" s="53">
        <v>164</v>
      </c>
      <c r="C40" s="43" t="s">
        <v>37</v>
      </c>
      <c r="D40" s="50">
        <v>336</v>
      </c>
      <c r="E40" s="50">
        <v>24</v>
      </c>
      <c r="F40" s="50">
        <v>312</v>
      </c>
      <c r="G40" s="50">
        <v>0</v>
      </c>
      <c r="H40" s="50"/>
      <c r="I40" s="43">
        <v>85054</v>
      </c>
      <c r="J40" s="8">
        <f>Table1[[#This Row],[Population]]/Table1[[#This Row],[Cases]]</f>
        <v>253.13690476190476</v>
      </c>
      <c r="K40" s="8">
        <f>Table1[[#This Row],[Population]]/Table1[[#This Row],[Deaths]]</f>
        <v>3543.9166666666665</v>
      </c>
      <c r="L40" s="9">
        <f>Table1[[#This Row],[Deaths]]+Table1[[#This Row],[Active]]*Table1[[#This Row],[Death Rate]]</f>
        <v>24</v>
      </c>
      <c r="M40" s="10">
        <f>Table1[[#This Row],[Deaths]]/Table1[[#This Row],[Cases]]</f>
        <v>7.1428571428571425E-2</v>
      </c>
      <c r="N40" s="11">
        <f>Table1[[#This Row],[Cases]]/Table1[[#This Row],[Deaths]]</f>
        <v>14</v>
      </c>
      <c r="O40" s="12">
        <f>Table1[[#This Row],[Cases]]/Table1[[#This Row],[Population]]</f>
        <v>3.9504314905824539E-3</v>
      </c>
      <c r="P40" s="12">
        <f>Table1[[#This Row],[Deaths]]/Table1[[#This Row],[Population]]</f>
        <v>2.8217367789874667E-4</v>
      </c>
      <c r="Q40" s="13">
        <f>1-Table1[[#This Row],[Deaths]]/Table1[[#This Row],[Ex(Deaths)]]</f>
        <v>0</v>
      </c>
      <c r="R40" s="14">
        <f>G40/D40</f>
        <v>0</v>
      </c>
      <c r="S40" s="12">
        <f>Table1[[#This Row],[Percent Infected]]*Table1[[#This Row],[% Active]]</f>
        <v>0</v>
      </c>
      <c r="T40" s="8" t="e">
        <f>1/Table1[[#This Row],[Percent Actively Infected]]</f>
        <v>#DIV/0!</v>
      </c>
      <c r="AMC40"/>
    </row>
    <row r="41" spans="1:1017" s="1" customFormat="1" ht="16.5" thickBot="1" x14ac:dyDescent="0.3">
      <c r="A41" s="1">
        <v>42</v>
      </c>
      <c r="B41" s="52">
        <v>51</v>
      </c>
      <c r="C41" s="43" t="s">
        <v>46</v>
      </c>
      <c r="D41" s="48">
        <v>33492</v>
      </c>
      <c r="E41" s="48">
        <v>1969</v>
      </c>
      <c r="F41" s="48">
        <v>29900</v>
      </c>
      <c r="G41" s="48">
        <v>1623</v>
      </c>
      <c r="H41" s="49">
        <v>22</v>
      </c>
      <c r="I41" s="43">
        <v>8657499</v>
      </c>
      <c r="J41" s="8">
        <f>Table1[[#This Row],[Population]]/Table1[[#This Row],[Cases]]</f>
        <v>258.49453600859908</v>
      </c>
      <c r="K41" s="8">
        <f>Table1[[#This Row],[Population]]/Table1[[#This Row],[Deaths]]</f>
        <v>4396.9014728288475</v>
      </c>
      <c r="L41" s="9">
        <f>Table1[[#This Row],[Deaths]]+Table1[[#This Row],[Active]]*Table1[[#This Row],[Death Rate]]</f>
        <v>2064.4164278036546</v>
      </c>
      <c r="M41" s="10">
        <f>Table1[[#This Row],[Deaths]]/Table1[[#This Row],[Cases]]</f>
        <v>5.8790158843903019E-2</v>
      </c>
      <c r="N41" s="11">
        <f>Table1[[#This Row],[Cases]]/Table1[[#This Row],[Deaths]]</f>
        <v>17.009649568308784</v>
      </c>
      <c r="O41" s="12">
        <f>Table1[[#This Row],[Cases]]/Table1[[#This Row],[Population]]</f>
        <v>3.8685537243492605E-3</v>
      </c>
      <c r="P41" s="12">
        <f>Table1[[#This Row],[Deaths]]/Table1[[#This Row],[Population]]</f>
        <v>2.2743288795066567E-4</v>
      </c>
      <c r="Q41" s="13">
        <f>1-Table1[[#This Row],[Deaths]]/Table1[[#This Row],[Ex(Deaths)]]</f>
        <v>4.6219564288765502E-2</v>
      </c>
      <c r="R41" s="14">
        <f>G41/D41</f>
        <v>4.8459333572196346E-2</v>
      </c>
      <c r="S41" s="12">
        <f>Table1[[#This Row],[Percent Infected]]*Table1[[#This Row],[% Active]]</f>
        <v>1.8746753537020333E-4</v>
      </c>
      <c r="T41" s="8">
        <f>1/Table1[[#This Row],[Percent Actively Infected]]</f>
        <v>5334.2569316081335</v>
      </c>
      <c r="AMC41"/>
    </row>
    <row r="42" spans="1:1017" s="1" customFormat="1" ht="16.5" thickBot="1" x14ac:dyDescent="0.3">
      <c r="A42" s="1">
        <v>43</v>
      </c>
      <c r="B42" s="54">
        <v>173</v>
      </c>
      <c r="C42" s="43" t="s">
        <v>39</v>
      </c>
      <c r="D42" s="51">
        <v>188</v>
      </c>
      <c r="E42" s="51"/>
      <c r="F42" s="51">
        <v>188</v>
      </c>
      <c r="G42" s="51">
        <v>0</v>
      </c>
      <c r="H42" s="51"/>
      <c r="I42" s="43">
        <v>48872</v>
      </c>
      <c r="J42" s="8">
        <f>Table1[[#This Row],[Population]]/Table1[[#This Row],[Cases]]</f>
        <v>259.95744680851061</v>
      </c>
      <c r="K42" s="8" t="e">
        <f>Table1[[#This Row],[Population]]/Table1[[#This Row],[Deaths]]</f>
        <v>#DIV/0!</v>
      </c>
      <c r="L42" s="9">
        <f>Table1[[#This Row],[Deaths]]+Table1[[#This Row],[Active]]*Table1[[#This Row],[Death Rate]]</f>
        <v>0</v>
      </c>
      <c r="M42" s="10">
        <f>Table1[[#This Row],[Deaths]]/Table1[[#This Row],[Cases]]</f>
        <v>0</v>
      </c>
      <c r="N42" s="11" t="e">
        <f>Table1[[#This Row],[Cases]]/Table1[[#This Row],[Deaths]]</f>
        <v>#DIV/0!</v>
      </c>
      <c r="O42" s="12">
        <f>Table1[[#This Row],[Cases]]/Table1[[#This Row],[Population]]</f>
        <v>3.8467834342772959E-3</v>
      </c>
      <c r="P42" s="12">
        <f>Table1[[#This Row],[Deaths]]/Table1[[#This Row],[Population]]</f>
        <v>0</v>
      </c>
      <c r="Q42" s="13" t="e">
        <f>1-Table1[[#This Row],[Deaths]]/Table1[[#This Row],[Ex(Deaths)]]</f>
        <v>#DIV/0!</v>
      </c>
      <c r="R42" s="14">
        <f>G42/D42</f>
        <v>0</v>
      </c>
      <c r="S42" s="12">
        <f>Table1[[#This Row],[Percent Infected]]*Table1[[#This Row],[% Active]]</f>
        <v>0</v>
      </c>
      <c r="T42" s="8" t="e">
        <f>1/Table1[[#This Row],[Percent Actively Infected]]</f>
        <v>#DIV/0!</v>
      </c>
      <c r="AMC42"/>
    </row>
    <row r="43" spans="1:1017" s="1" customFormat="1" ht="16.5" thickBot="1" x14ac:dyDescent="0.3">
      <c r="A43" s="1">
        <v>44</v>
      </c>
      <c r="B43" s="54">
        <v>205</v>
      </c>
      <c r="C43" s="43" t="s">
        <v>43</v>
      </c>
      <c r="D43" s="51">
        <v>13</v>
      </c>
      <c r="E43" s="51"/>
      <c r="F43" s="51">
        <v>13</v>
      </c>
      <c r="G43" s="51">
        <v>0</v>
      </c>
      <c r="H43" s="51"/>
      <c r="I43" s="43">
        <v>3483</v>
      </c>
      <c r="J43" s="8">
        <f>Table1[[#This Row],[Population]]/Table1[[#This Row],[Cases]]</f>
        <v>267.92307692307691</v>
      </c>
      <c r="K43" s="8" t="e">
        <f>Table1[[#This Row],[Population]]/Table1[[#This Row],[Deaths]]</f>
        <v>#DIV/0!</v>
      </c>
      <c r="L43" s="9">
        <f>Table1[[#This Row],[Deaths]]+Table1[[#This Row],[Active]]*Table1[[#This Row],[Death Rate]]</f>
        <v>0</v>
      </c>
      <c r="M43" s="10">
        <f>Table1[[#This Row],[Deaths]]/Table1[[#This Row],[Cases]]</f>
        <v>0</v>
      </c>
      <c r="N43" s="11" t="e">
        <f>Table1[[#This Row],[Cases]]/Table1[[#This Row],[Deaths]]</f>
        <v>#DIV/0!</v>
      </c>
      <c r="O43" s="12">
        <f>Table1[[#This Row],[Cases]]/Table1[[#This Row],[Population]]</f>
        <v>3.7324145851277634E-3</v>
      </c>
      <c r="P43" s="12">
        <f>Table1[[#This Row],[Deaths]]/Table1[[#This Row],[Population]]</f>
        <v>0</v>
      </c>
      <c r="Q43" s="13" t="e">
        <f>1-Table1[[#This Row],[Deaths]]/Table1[[#This Row],[Ex(Deaths)]]</f>
        <v>#DIV/0!</v>
      </c>
      <c r="R43" s="14">
        <f>G43/D43</f>
        <v>0</v>
      </c>
      <c r="S43" s="12">
        <f>Table1[[#This Row],[Percent Infected]]*Table1[[#This Row],[% Active]]</f>
        <v>0</v>
      </c>
      <c r="T43" s="8" t="e">
        <f>1/Table1[[#This Row],[Percent Actively Infected]]</f>
        <v>#DIV/0!</v>
      </c>
      <c r="AMC43"/>
    </row>
    <row r="44" spans="1:1017" s="1" customFormat="1" ht="16.5" thickBot="1" x14ac:dyDescent="0.3">
      <c r="A44" s="1">
        <v>45</v>
      </c>
      <c r="B44" s="52">
        <v>29</v>
      </c>
      <c r="C44" s="43" t="s">
        <v>106</v>
      </c>
      <c r="D44" s="48">
        <v>68703</v>
      </c>
      <c r="E44" s="49">
        <v>375</v>
      </c>
      <c r="F44" s="48">
        <v>40256</v>
      </c>
      <c r="G44" s="48">
        <v>28072</v>
      </c>
      <c r="H44" s="49">
        <v>221</v>
      </c>
      <c r="I44" s="43">
        <v>18786397</v>
      </c>
      <c r="J44" s="8">
        <f>Table1[[#This Row],[Population]]/Table1[[#This Row],[Cases]]</f>
        <v>273.44361963815265</v>
      </c>
      <c r="K44" s="8">
        <f>Table1[[#This Row],[Population]]/Table1[[#This Row],[Deaths]]</f>
        <v>50097.058666666664</v>
      </c>
      <c r="L44" s="9">
        <f>Table1[[#This Row],[Deaths]]+Table1[[#This Row],[Active]]*Table1[[#This Row],[Death Rate]]</f>
        <v>528.22475001091652</v>
      </c>
      <c r="M44" s="10">
        <f>Table1[[#This Row],[Deaths]]/Table1[[#This Row],[Cases]]</f>
        <v>5.458276931138378E-3</v>
      </c>
      <c r="N44" s="11">
        <f>Table1[[#This Row],[Cases]]/Table1[[#This Row],[Deaths]]</f>
        <v>183.208</v>
      </c>
      <c r="O44" s="12">
        <f>Table1[[#This Row],[Cases]]/Table1[[#This Row],[Population]]</f>
        <v>3.65706101068768E-3</v>
      </c>
      <c r="P44" s="12">
        <f>Table1[[#This Row],[Deaths]]/Table1[[#This Row],[Population]]</f>
        <v>1.9961251750402166E-5</v>
      </c>
      <c r="Q44" s="13">
        <f>1-Table1[[#This Row],[Deaths]]/Table1[[#This Row],[Ex(Deaths)]]</f>
        <v>0.29007491604236624</v>
      </c>
      <c r="R44" s="14">
        <f>G44/D44</f>
        <v>0.40859933336244414</v>
      </c>
      <c r="S44" s="12">
        <f>Table1[[#This Row],[Percent Infected]]*Table1[[#This Row],[% Active]]</f>
        <v>1.4942726910327723E-3</v>
      </c>
      <c r="T44" s="8">
        <f>1/Table1[[#This Row],[Percent Actively Infected]]</f>
        <v>669.22189370190938</v>
      </c>
      <c r="AMC44"/>
    </row>
    <row r="45" spans="1:1017" s="1" customFormat="1" ht="16.5" thickBot="1" x14ac:dyDescent="0.3">
      <c r="A45" s="1">
        <v>46</v>
      </c>
      <c r="B45" s="52">
        <v>18</v>
      </c>
      <c r="C45" s="43" t="s">
        <v>108</v>
      </c>
      <c r="D45" s="48">
        <v>182140</v>
      </c>
      <c r="E45" s="48">
        <v>6288</v>
      </c>
      <c r="F45" s="48">
        <v>80637</v>
      </c>
      <c r="G45" s="48">
        <v>95215</v>
      </c>
      <c r="H45" s="48">
        <v>1027</v>
      </c>
      <c r="I45" s="43">
        <v>50906643</v>
      </c>
      <c r="J45" s="8">
        <f>Table1[[#This Row],[Population]]/Table1[[#This Row],[Cases]]</f>
        <v>279.49183595036783</v>
      </c>
      <c r="K45" s="8">
        <f>Table1[[#This Row],[Population]]/Table1[[#This Row],[Deaths]]</f>
        <v>8095.8401717557254</v>
      </c>
      <c r="L45" s="9">
        <f>Table1[[#This Row],[Deaths]]+Table1[[#This Row],[Active]]*Table1[[#This Row],[Death Rate]]</f>
        <v>9575.0973976062378</v>
      </c>
      <c r="M45" s="10">
        <f>Table1[[#This Row],[Deaths]]/Table1[[#This Row],[Cases]]</f>
        <v>3.4522894476776103E-2</v>
      </c>
      <c r="N45" s="11">
        <f>Table1[[#This Row],[Cases]]/Table1[[#This Row],[Deaths]]</f>
        <v>28.966284987277355</v>
      </c>
      <c r="O45" s="12">
        <f>Table1[[#This Row],[Cases]]/Table1[[#This Row],[Population]]</f>
        <v>3.5779220405478319E-3</v>
      </c>
      <c r="P45" s="12">
        <f>Table1[[#This Row],[Deaths]]/Table1[[#This Row],[Population]]</f>
        <v>1.2352022505196424E-4</v>
      </c>
      <c r="Q45" s="13">
        <f>1-Table1[[#This Row],[Deaths]]/Table1[[#This Row],[Ex(Deaths)]]</f>
        <v>0.34329649726884326</v>
      </c>
      <c r="R45" s="14">
        <f>G45/D45</f>
        <v>0.52275721972109368</v>
      </c>
      <c r="S45" s="12">
        <f>Table1[[#This Row],[Percent Infected]]*Table1[[#This Row],[% Active]]</f>
        <v>1.8703845782956068E-3</v>
      </c>
      <c r="T45" s="8">
        <f>1/Table1[[#This Row],[Percent Actively Infected]]</f>
        <v>534.64940398046519</v>
      </c>
      <c r="AMC45"/>
    </row>
    <row r="46" spans="1:1017" s="1" customFormat="1" ht="16.5" thickBot="1" x14ac:dyDescent="0.3">
      <c r="A46" s="1">
        <v>47</v>
      </c>
      <c r="B46" s="52">
        <v>119</v>
      </c>
      <c r="C46" s="43" t="s">
        <v>94</v>
      </c>
      <c r="D46" s="48">
        <v>1939</v>
      </c>
      <c r="E46" s="49">
        <v>19</v>
      </c>
      <c r="F46" s="49">
        <v>902</v>
      </c>
      <c r="G46" s="48">
        <v>1018</v>
      </c>
      <c r="H46" s="49"/>
      <c r="I46" s="43">
        <v>556251</v>
      </c>
      <c r="J46" s="8">
        <f>Table1[[#This Row],[Population]]/Table1[[#This Row],[Cases]]</f>
        <v>286.87519339865912</v>
      </c>
      <c r="K46" s="8">
        <f>Table1[[#This Row],[Population]]/Table1[[#This Row],[Deaths]]</f>
        <v>29276.36842105263</v>
      </c>
      <c r="L46" s="9">
        <f>Table1[[#This Row],[Deaths]]+Table1[[#This Row],[Active]]*Table1[[#This Row],[Death Rate]]</f>
        <v>28.975244971634865</v>
      </c>
      <c r="M46" s="10">
        <f>Table1[[#This Row],[Deaths]]/Table1[[#This Row],[Cases]]</f>
        <v>9.7988653945332641E-3</v>
      </c>
      <c r="N46" s="11">
        <f>Table1[[#This Row],[Cases]]/Table1[[#This Row],[Deaths]]</f>
        <v>102.05263157894737</v>
      </c>
      <c r="O46" s="12">
        <f>Table1[[#This Row],[Cases]]/Table1[[#This Row],[Population]]</f>
        <v>3.4858364299569797E-3</v>
      </c>
      <c r="P46" s="12">
        <f>Table1[[#This Row],[Deaths]]/Table1[[#This Row],[Population]]</f>
        <v>3.4157241964508825E-5</v>
      </c>
      <c r="Q46" s="13">
        <f>1-Table1[[#This Row],[Deaths]]/Table1[[#This Row],[Ex(Deaths)]]</f>
        <v>0.34426783902603997</v>
      </c>
      <c r="R46" s="14">
        <f>G46/D46</f>
        <v>0.52501289324394018</v>
      </c>
      <c r="S46" s="12">
        <f>Table1[[#This Row],[Percent Infected]]*Table1[[#This Row],[% Active]]</f>
        <v>1.8301090694668413E-3</v>
      </c>
      <c r="T46" s="8">
        <f>1/Table1[[#This Row],[Percent Actively Infected]]</f>
        <v>546.41552062868379</v>
      </c>
      <c r="AMC46"/>
    </row>
    <row r="47" spans="1:1017" s="1" customFormat="1" ht="16.5" thickBot="1" x14ac:dyDescent="0.3">
      <c r="A47" s="1">
        <v>48</v>
      </c>
      <c r="B47" s="52">
        <v>149</v>
      </c>
      <c r="C47" s="43" t="s">
        <v>82</v>
      </c>
      <c r="D47" s="49">
        <v>741</v>
      </c>
      <c r="E47" s="49">
        <v>14</v>
      </c>
      <c r="F47" s="49">
        <v>325</v>
      </c>
      <c r="G47" s="49">
        <v>402</v>
      </c>
      <c r="H47" s="49"/>
      <c r="I47" s="43">
        <v>219321</v>
      </c>
      <c r="J47" s="8">
        <f>Table1[[#This Row],[Population]]/Table1[[#This Row],[Cases]]</f>
        <v>295.97975708502025</v>
      </c>
      <c r="K47" s="8">
        <f>Table1[[#This Row],[Population]]/Table1[[#This Row],[Deaths]]</f>
        <v>15665.785714285714</v>
      </c>
      <c r="L47" s="9">
        <f>Table1[[#This Row],[Deaths]]+Table1[[#This Row],[Active]]*Table1[[#This Row],[Death Rate]]</f>
        <v>21.595141700404859</v>
      </c>
      <c r="M47" s="10">
        <f>Table1[[#This Row],[Deaths]]/Table1[[#This Row],[Cases]]</f>
        <v>1.8893387314439947E-2</v>
      </c>
      <c r="N47" s="11">
        <f>Table1[[#This Row],[Cases]]/Table1[[#This Row],[Deaths]]</f>
        <v>52.928571428571431</v>
      </c>
      <c r="O47" s="12">
        <f>Table1[[#This Row],[Cases]]/Table1[[#This Row],[Population]]</f>
        <v>3.3786094354849739E-3</v>
      </c>
      <c r="P47" s="12">
        <f>Table1[[#This Row],[Deaths]]/Table1[[#This Row],[Population]]</f>
        <v>6.3833376648838919E-5</v>
      </c>
      <c r="Q47" s="13">
        <f>1-Table1[[#This Row],[Deaths]]/Table1[[#This Row],[Ex(Deaths)]]</f>
        <v>0.3517060367454069</v>
      </c>
      <c r="R47" s="14">
        <f>G47/D47</f>
        <v>0.54251012145748989</v>
      </c>
      <c r="S47" s="12">
        <f>Table1[[#This Row],[Percent Infected]]*Table1[[#This Row],[% Active]]</f>
        <v>1.8329298152023746E-3</v>
      </c>
      <c r="T47" s="8">
        <f>1/Table1[[#This Row],[Percent Actively Infected]]</f>
        <v>545.57462686567158</v>
      </c>
      <c r="AMC47"/>
    </row>
    <row r="48" spans="1:1017" s="1" customFormat="1" ht="16.5" thickBot="1" x14ac:dyDescent="0.3">
      <c r="A48" s="1">
        <v>49</v>
      </c>
      <c r="B48" s="52">
        <v>155</v>
      </c>
      <c r="C48" s="43" t="s">
        <v>48</v>
      </c>
      <c r="D48" s="49">
        <v>583</v>
      </c>
      <c r="E48" s="49">
        <v>47</v>
      </c>
      <c r="F48" s="49">
        <v>529</v>
      </c>
      <c r="G48" s="49">
        <v>7</v>
      </c>
      <c r="H48" s="49"/>
      <c r="I48" s="43">
        <v>173934</v>
      </c>
      <c r="J48" s="8">
        <f>Table1[[#This Row],[Population]]/Table1[[#This Row],[Cases]]</f>
        <v>298.34305317324186</v>
      </c>
      <c r="K48" s="8">
        <f>Table1[[#This Row],[Population]]/Table1[[#This Row],[Deaths]]</f>
        <v>3700.7234042553191</v>
      </c>
      <c r="L48" s="9">
        <f>Table1[[#This Row],[Deaths]]+Table1[[#This Row],[Active]]*Table1[[#This Row],[Death Rate]]</f>
        <v>47.564322469982848</v>
      </c>
      <c r="M48" s="10">
        <f>Table1[[#This Row],[Deaths]]/Table1[[#This Row],[Cases]]</f>
        <v>8.0617495711835338E-2</v>
      </c>
      <c r="N48" s="11">
        <f>Table1[[#This Row],[Cases]]/Table1[[#This Row],[Deaths]]</f>
        <v>12.404255319148936</v>
      </c>
      <c r="O48" s="12">
        <f>Table1[[#This Row],[Cases]]/Table1[[#This Row],[Population]]</f>
        <v>3.3518461025446433E-3</v>
      </c>
      <c r="P48" s="12">
        <f>Table1[[#This Row],[Deaths]]/Table1[[#This Row],[Population]]</f>
        <v>2.7021743879862477E-4</v>
      </c>
      <c r="Q48" s="13">
        <f>1-Table1[[#This Row],[Deaths]]/Table1[[#This Row],[Ex(Deaths)]]</f>
        <v>1.1864406779661052E-2</v>
      </c>
      <c r="R48" s="14">
        <f>G48/D48</f>
        <v>1.2006861063464836E-2</v>
      </c>
      <c r="S48" s="12">
        <f>Table1[[#This Row],[Percent Infected]]*Table1[[#This Row],[% Active]]</f>
        <v>4.0245150459369646E-5</v>
      </c>
      <c r="T48" s="8">
        <f>1/Table1[[#This Row],[Percent Actively Infected]]</f>
        <v>24847.714285714286</v>
      </c>
      <c r="AMC48"/>
    </row>
    <row r="49" spans="1:1017" s="1" customFormat="1" ht="16.5" thickBot="1" x14ac:dyDescent="0.3">
      <c r="A49" s="1">
        <v>50</v>
      </c>
      <c r="B49" s="52">
        <v>115</v>
      </c>
      <c r="C49" s="43" t="s">
        <v>103</v>
      </c>
      <c r="D49" s="48">
        <v>2072</v>
      </c>
      <c r="E49" s="49">
        <v>30</v>
      </c>
      <c r="F49" s="49">
        <v>378</v>
      </c>
      <c r="G49" s="48">
        <v>1664</v>
      </c>
      <c r="H49" s="49">
        <v>7</v>
      </c>
      <c r="I49" s="43">
        <v>628070</v>
      </c>
      <c r="J49" s="8">
        <f>Table1[[#This Row],[Population]]/Table1[[#This Row],[Cases]]</f>
        <v>303.12258687258685</v>
      </c>
      <c r="K49" s="8">
        <f>Table1[[#This Row],[Population]]/Table1[[#This Row],[Deaths]]</f>
        <v>20935.666666666668</v>
      </c>
      <c r="L49" s="9">
        <f>Table1[[#This Row],[Deaths]]+Table1[[#This Row],[Active]]*Table1[[#This Row],[Death Rate]]</f>
        <v>54.092664092664094</v>
      </c>
      <c r="M49" s="10">
        <f>Table1[[#This Row],[Deaths]]/Table1[[#This Row],[Cases]]</f>
        <v>1.4478764478764479E-2</v>
      </c>
      <c r="N49" s="11">
        <f>Table1[[#This Row],[Cases]]/Table1[[#This Row],[Deaths]]</f>
        <v>69.066666666666663</v>
      </c>
      <c r="O49" s="12">
        <f>Table1[[#This Row],[Cases]]/Table1[[#This Row],[Population]]</f>
        <v>3.2989953349148982E-3</v>
      </c>
      <c r="P49" s="12">
        <f>Table1[[#This Row],[Deaths]]/Table1[[#This Row],[Population]]</f>
        <v>4.7765376470775548E-5</v>
      </c>
      <c r="Q49" s="13">
        <f>1-Table1[[#This Row],[Deaths]]/Table1[[#This Row],[Ex(Deaths)]]</f>
        <v>0.4453961456102784</v>
      </c>
      <c r="R49" s="14">
        <f>G49/D49</f>
        <v>0.80308880308880304</v>
      </c>
      <c r="S49" s="12">
        <f>Table1[[#This Row],[Percent Infected]]*Table1[[#This Row],[% Active]]</f>
        <v>2.6493862149123506E-3</v>
      </c>
      <c r="T49" s="8">
        <f>1/Table1[[#This Row],[Percent Actively Infected]]</f>
        <v>377.44591346153845</v>
      </c>
      <c r="AMC49"/>
    </row>
    <row r="50" spans="1:1017" s="1" customFormat="1" ht="16.5" thickBot="1" x14ac:dyDescent="0.3">
      <c r="A50" s="1">
        <v>51</v>
      </c>
      <c r="B50" s="52">
        <v>11</v>
      </c>
      <c r="C50" s="43" t="s">
        <v>74</v>
      </c>
      <c r="D50" s="48">
        <v>271606</v>
      </c>
      <c r="E50" s="48">
        <v>13979</v>
      </c>
      <c r="F50" s="48">
        <v>235300</v>
      </c>
      <c r="G50" s="48">
        <v>22327</v>
      </c>
      <c r="H50" s="48">
        <v>3529</v>
      </c>
      <c r="I50" s="43">
        <v>84038878</v>
      </c>
      <c r="J50" s="8">
        <f>Table1[[#This Row],[Population]]/Table1[[#This Row],[Cases]]</f>
        <v>309.41465946996755</v>
      </c>
      <c r="K50" s="8">
        <f>Table1[[#This Row],[Population]]/Table1[[#This Row],[Deaths]]</f>
        <v>6011.7946920380573</v>
      </c>
      <c r="L50" s="9">
        <f>Table1[[#This Row],[Deaths]]+Table1[[#This Row],[Active]]*Table1[[#This Row],[Death Rate]]</f>
        <v>15128.124588558427</v>
      </c>
      <c r="M50" s="10">
        <f>Table1[[#This Row],[Deaths]]/Table1[[#This Row],[Cases]]</f>
        <v>5.1467935170798874E-2</v>
      </c>
      <c r="N50" s="11">
        <f>Table1[[#This Row],[Cases]]/Table1[[#This Row],[Deaths]]</f>
        <v>19.429572930824808</v>
      </c>
      <c r="O50" s="12">
        <f>Table1[[#This Row],[Cases]]/Table1[[#This Row],[Population]]</f>
        <v>3.2319089267231768E-3</v>
      </c>
      <c r="P50" s="12">
        <f>Table1[[#This Row],[Deaths]]/Table1[[#This Row],[Population]]</f>
        <v>1.6633967911851465E-4</v>
      </c>
      <c r="Q50" s="13">
        <f>1-Table1[[#This Row],[Deaths]]/Table1[[#This Row],[Ex(Deaths)]]</f>
        <v>7.5959487366168532E-2</v>
      </c>
      <c r="R50" s="14">
        <f>G50/D50</f>
        <v>8.220363320397929E-2</v>
      </c>
      <c r="S50" s="12">
        <f>Table1[[#This Row],[Percent Infected]]*Table1[[#This Row],[% Active]]</f>
        <v>2.6567465596101839E-4</v>
      </c>
      <c r="T50" s="8">
        <f>1/Table1[[#This Row],[Percent Actively Infected]]</f>
        <v>3764.0022394410362</v>
      </c>
      <c r="AMC50"/>
    </row>
    <row r="51" spans="1:1017" s="1" customFormat="1" ht="16.5" thickBot="1" x14ac:dyDescent="0.3">
      <c r="A51" s="1">
        <v>52</v>
      </c>
      <c r="B51" s="52">
        <v>52</v>
      </c>
      <c r="C51" s="43" t="s">
        <v>110</v>
      </c>
      <c r="D51" s="48">
        <v>31745</v>
      </c>
      <c r="E51" s="49">
        <v>857</v>
      </c>
      <c r="F51" s="48">
        <v>3565</v>
      </c>
      <c r="G51" s="48">
        <v>27323</v>
      </c>
      <c r="H51" s="49">
        <v>58</v>
      </c>
      <c r="I51" s="43">
        <v>9911089</v>
      </c>
      <c r="J51" s="8">
        <f>Table1[[#This Row],[Population]]/Table1[[#This Row],[Cases]]</f>
        <v>312.209450307135</v>
      </c>
      <c r="K51" s="8">
        <f>Table1[[#This Row],[Population]]/Table1[[#This Row],[Deaths]]</f>
        <v>11564.864644107351</v>
      </c>
      <c r="L51" s="9">
        <f>Table1[[#This Row],[Deaths]]+Table1[[#This Row],[Active]]*Table1[[#This Row],[Death Rate]]</f>
        <v>1594.6220192156245</v>
      </c>
      <c r="M51" s="10">
        <f>Table1[[#This Row],[Deaths]]/Table1[[#This Row],[Cases]]</f>
        <v>2.6996377382264923E-2</v>
      </c>
      <c r="N51" s="11">
        <f>Table1[[#This Row],[Cases]]/Table1[[#This Row],[Deaths]]</f>
        <v>37.042007001166859</v>
      </c>
      <c r="O51" s="12">
        <f>Table1[[#This Row],[Cases]]/Table1[[#This Row],[Population]]</f>
        <v>3.2029779976751292E-3</v>
      </c>
      <c r="P51" s="12">
        <f>Table1[[#This Row],[Deaths]]/Table1[[#This Row],[Population]]</f>
        <v>8.6468802772329053E-5</v>
      </c>
      <c r="Q51" s="13">
        <f>1-Table1[[#This Row],[Deaths]]/Table1[[#This Row],[Ex(Deaths)]]</f>
        <v>0.46256856504367849</v>
      </c>
      <c r="R51" s="14">
        <f>G51/D51</f>
        <v>0.86070247283036694</v>
      </c>
      <c r="S51" s="12">
        <f>Table1[[#This Row],[Percent Infected]]*Table1[[#This Row],[% Active]]</f>
        <v>2.7568110830202409E-3</v>
      </c>
      <c r="T51" s="8">
        <f>1/Table1[[#This Row],[Percent Actively Infected]]</f>
        <v>362.73794971269632</v>
      </c>
      <c r="AMC51"/>
    </row>
    <row r="52" spans="1:1017" s="1" customFormat="1" ht="16.5" thickBot="1" x14ac:dyDescent="0.3">
      <c r="A52" s="1">
        <v>53</v>
      </c>
      <c r="B52" s="52">
        <v>171</v>
      </c>
      <c r="C52" s="43" t="s">
        <v>67</v>
      </c>
      <c r="D52" s="49">
        <v>203</v>
      </c>
      <c r="E52" s="49">
        <v>1</v>
      </c>
      <c r="F52" s="49">
        <v>200</v>
      </c>
      <c r="G52" s="49">
        <v>2</v>
      </c>
      <c r="H52" s="49"/>
      <c r="I52" s="43">
        <v>65755</v>
      </c>
      <c r="J52" s="8">
        <f>Table1[[#This Row],[Population]]/Table1[[#This Row],[Cases]]</f>
        <v>323.91625615763547</v>
      </c>
      <c r="K52" s="8">
        <f>Table1[[#This Row],[Population]]/Table1[[#This Row],[Deaths]]</f>
        <v>65755</v>
      </c>
      <c r="L52" s="9">
        <f>Table1[[#This Row],[Deaths]]+Table1[[#This Row],[Active]]*Table1[[#This Row],[Death Rate]]</f>
        <v>1.0098522167487685</v>
      </c>
      <c r="M52" s="10">
        <f>Table1[[#This Row],[Deaths]]/Table1[[#This Row],[Cases]]</f>
        <v>4.9261083743842365E-3</v>
      </c>
      <c r="N52" s="11">
        <f>Table1[[#This Row],[Cases]]/Table1[[#This Row],[Deaths]]</f>
        <v>203</v>
      </c>
      <c r="O52" s="12">
        <f>Table1[[#This Row],[Cases]]/Table1[[#This Row],[Population]]</f>
        <v>3.0872177020758876E-3</v>
      </c>
      <c r="P52" s="12">
        <f>Table1[[#This Row],[Deaths]]/Table1[[#This Row],[Population]]</f>
        <v>1.520796897574329E-5</v>
      </c>
      <c r="Q52" s="13">
        <f>1-Table1[[#This Row],[Deaths]]/Table1[[#This Row],[Ex(Deaths)]]</f>
        <v>9.7560975609756184E-3</v>
      </c>
      <c r="R52" s="14">
        <f>G52/D52</f>
        <v>9.852216748768473E-3</v>
      </c>
      <c r="S52" s="12">
        <f>Table1[[#This Row],[Percent Infected]]*Table1[[#This Row],[% Active]]</f>
        <v>3.041593795148658E-5</v>
      </c>
      <c r="T52" s="8">
        <f>1/Table1[[#This Row],[Percent Actively Infected]]</f>
        <v>32877.5</v>
      </c>
      <c r="AMC52"/>
    </row>
    <row r="53" spans="1:1017" s="1" customFormat="1" ht="16.5" thickBot="1" x14ac:dyDescent="0.3">
      <c r="A53" s="1">
        <v>54</v>
      </c>
      <c r="B53" s="52">
        <v>38</v>
      </c>
      <c r="C53" s="43" t="s">
        <v>52</v>
      </c>
      <c r="D53" s="48">
        <v>51581</v>
      </c>
      <c r="E53" s="48">
        <v>6136</v>
      </c>
      <c r="F53" s="49" t="s">
        <v>41</v>
      </c>
      <c r="G53" s="49" t="s">
        <v>41</v>
      </c>
      <c r="H53" s="49">
        <v>15</v>
      </c>
      <c r="I53" s="43">
        <v>17136690</v>
      </c>
      <c r="J53" s="8">
        <f>Table1[[#This Row],[Population]]/Table1[[#This Row],[Cases]]</f>
        <v>332.22872763226769</v>
      </c>
      <c r="K53" s="8">
        <f>Table1[[#This Row],[Population]]/Table1[[#This Row],[Deaths]]</f>
        <v>2792.8112777053457</v>
      </c>
      <c r="L53" s="9" t="e">
        <f>Table1[[#This Row],[Deaths]]+Table1[[#This Row],[Active]]*Table1[[#This Row],[Death Rate]]</f>
        <v>#VALUE!</v>
      </c>
      <c r="M53" s="10">
        <f>Table1[[#This Row],[Deaths]]/Table1[[#This Row],[Cases]]</f>
        <v>0.11895853124212404</v>
      </c>
      <c r="N53" s="11">
        <f>Table1[[#This Row],[Cases]]/Table1[[#This Row],[Deaths]]</f>
        <v>8.4062907431551501</v>
      </c>
      <c r="O53" s="12">
        <f>Table1[[#This Row],[Cases]]/Table1[[#This Row],[Population]]</f>
        <v>3.0099745049948384E-3</v>
      </c>
      <c r="P53" s="12">
        <f>Table1[[#This Row],[Deaths]]/Table1[[#This Row],[Population]]</f>
        <v>3.5806214619042535E-4</v>
      </c>
      <c r="Q53" s="13" t="e">
        <f>1-Table1[[#This Row],[Deaths]]/Table1[[#This Row],[Ex(Deaths)]]</f>
        <v>#VALUE!</v>
      </c>
      <c r="R53" s="14" t="e">
        <f>G53/D53</f>
        <v>#VALUE!</v>
      </c>
      <c r="S53" s="12" t="e">
        <f>Table1[[#This Row],[Percent Infected]]*Table1[[#This Row],[% Active]]</f>
        <v>#VALUE!</v>
      </c>
      <c r="T53" s="8" t="e">
        <f>1/Table1[[#This Row],[Percent Actively Infected]]</f>
        <v>#VALUE!</v>
      </c>
      <c r="AMC53"/>
    </row>
    <row r="54" spans="1:1017" s="1" customFormat="1" ht="16.5" thickBot="1" x14ac:dyDescent="0.3">
      <c r="A54" s="1">
        <v>55</v>
      </c>
      <c r="B54" s="52">
        <v>21</v>
      </c>
      <c r="C54" s="43" t="s">
        <v>59</v>
      </c>
      <c r="D54" s="48">
        <v>109669</v>
      </c>
      <c r="E54" s="48">
        <v>8839</v>
      </c>
      <c r="F54" s="48">
        <v>96689</v>
      </c>
      <c r="G54" s="48">
        <v>4141</v>
      </c>
      <c r="H54" s="48">
        <v>2177</v>
      </c>
      <c r="I54" s="43">
        <v>37756958</v>
      </c>
      <c r="J54" s="8">
        <f>Table1[[#This Row],[Population]]/Table1[[#This Row],[Cases]]</f>
        <v>344.28104569203697</v>
      </c>
      <c r="K54" s="8">
        <f>Table1[[#This Row],[Population]]/Table1[[#This Row],[Deaths]]</f>
        <v>4271.6323113474373</v>
      </c>
      <c r="L54" s="9">
        <f>Table1[[#This Row],[Deaths]]+Table1[[#This Row],[Active]]*Table1[[#This Row],[Death Rate]]</f>
        <v>9172.7524642332846</v>
      </c>
      <c r="M54" s="10">
        <f>Table1[[#This Row],[Deaths]]/Table1[[#This Row],[Cases]]</f>
        <v>8.0597069363265827E-2</v>
      </c>
      <c r="N54" s="11">
        <f>Table1[[#This Row],[Cases]]/Table1[[#This Row],[Deaths]]</f>
        <v>12.407399027039258</v>
      </c>
      <c r="O54" s="12">
        <f>Table1[[#This Row],[Cases]]/Table1[[#This Row],[Population]]</f>
        <v>2.9046037024486981E-3</v>
      </c>
      <c r="P54" s="12">
        <f>Table1[[#This Row],[Deaths]]/Table1[[#This Row],[Population]]</f>
        <v>2.3410254607905649E-4</v>
      </c>
      <c r="Q54" s="13">
        <f>1-Table1[[#This Row],[Deaths]]/Table1[[#This Row],[Ex(Deaths)]]</f>
        <v>3.6385203409190825E-2</v>
      </c>
      <c r="R54" s="14">
        <f>G54/D54</f>
        <v>3.775907503487768E-2</v>
      </c>
      <c r="S54" s="12">
        <f>Table1[[#This Row],[Percent Infected]]*Table1[[#This Row],[% Active]]</f>
        <v>1.0967514914734391E-4</v>
      </c>
      <c r="T54" s="8">
        <f>1/Table1[[#This Row],[Percent Actively Infected]]</f>
        <v>9117.8357884568941</v>
      </c>
      <c r="AMC54"/>
    </row>
    <row r="55" spans="1:1017" s="1" customFormat="1" ht="16.5" thickBot="1" x14ac:dyDescent="0.3">
      <c r="A55" s="1">
        <v>56</v>
      </c>
      <c r="B55" s="52">
        <v>91</v>
      </c>
      <c r="C55" s="43" t="s">
        <v>88</v>
      </c>
      <c r="D55" s="48">
        <v>6315</v>
      </c>
      <c r="E55" s="49">
        <v>46</v>
      </c>
      <c r="F55" s="48">
        <v>3865</v>
      </c>
      <c r="G55" s="48">
        <v>2404</v>
      </c>
      <c r="H55" s="49">
        <v>11</v>
      </c>
      <c r="I55" s="43">
        <v>2227686</v>
      </c>
      <c r="J55" s="8">
        <f>Table1[[#This Row],[Population]]/Table1[[#This Row],[Cases]]</f>
        <v>352.76104513064132</v>
      </c>
      <c r="K55" s="8">
        <f>Table1[[#This Row],[Population]]/Table1[[#This Row],[Deaths]]</f>
        <v>48427.956521739128</v>
      </c>
      <c r="L55" s="9">
        <f>Table1[[#This Row],[Deaths]]+Table1[[#This Row],[Active]]*Table1[[#This Row],[Death Rate]]</f>
        <v>63.511322248614405</v>
      </c>
      <c r="M55" s="10">
        <f>Table1[[#This Row],[Deaths]]/Table1[[#This Row],[Cases]]</f>
        <v>7.2842438638163103E-3</v>
      </c>
      <c r="N55" s="11">
        <f>Table1[[#This Row],[Cases]]/Table1[[#This Row],[Deaths]]</f>
        <v>137.28260869565219</v>
      </c>
      <c r="O55" s="12">
        <f>Table1[[#This Row],[Cases]]/Table1[[#This Row],[Population]]</f>
        <v>2.8347801261039483E-3</v>
      </c>
      <c r="P55" s="12">
        <f>Table1[[#This Row],[Deaths]]/Table1[[#This Row],[Population]]</f>
        <v>2.0649229738841112E-5</v>
      </c>
      <c r="Q55" s="13">
        <f>1-Table1[[#This Row],[Deaths]]/Table1[[#This Row],[Ex(Deaths)]]</f>
        <v>0.27571969262530105</v>
      </c>
      <c r="R55" s="14">
        <f>G55/D55</f>
        <v>0.38068091844813934</v>
      </c>
      <c r="S55" s="12">
        <f>Table1[[#This Row],[Percent Infected]]*Table1[[#This Row],[% Active]]</f>
        <v>1.0791467020037832E-3</v>
      </c>
      <c r="T55" s="8">
        <f>1/Table1[[#This Row],[Percent Actively Infected]]</f>
        <v>926.65806988352756</v>
      </c>
      <c r="AMC55"/>
    </row>
    <row r="56" spans="1:1017" s="1" customFormat="1" ht="16.5" thickBot="1" x14ac:dyDescent="0.3">
      <c r="A56" s="1">
        <v>57</v>
      </c>
      <c r="B56" s="52">
        <v>181</v>
      </c>
      <c r="C56" s="43" t="s">
        <v>55</v>
      </c>
      <c r="D56" s="49">
        <v>109</v>
      </c>
      <c r="E56" s="49">
        <v>4</v>
      </c>
      <c r="F56" s="49">
        <v>98</v>
      </c>
      <c r="G56" s="49">
        <v>7</v>
      </c>
      <c r="H56" s="49"/>
      <c r="I56" s="43">
        <v>39255</v>
      </c>
      <c r="J56" s="8">
        <f>Table1[[#This Row],[Population]]/Table1[[#This Row],[Cases]]</f>
        <v>360.13761467889907</v>
      </c>
      <c r="K56" s="8">
        <f>Table1[[#This Row],[Population]]/Table1[[#This Row],[Deaths]]</f>
        <v>9813.75</v>
      </c>
      <c r="L56" s="9">
        <f>Table1[[#This Row],[Deaths]]+Table1[[#This Row],[Active]]*Table1[[#This Row],[Death Rate]]</f>
        <v>4.2568807339449544</v>
      </c>
      <c r="M56" s="10">
        <f>Table1[[#This Row],[Deaths]]/Table1[[#This Row],[Cases]]</f>
        <v>3.669724770642202E-2</v>
      </c>
      <c r="N56" s="11">
        <f>Table1[[#This Row],[Cases]]/Table1[[#This Row],[Deaths]]</f>
        <v>27.25</v>
      </c>
      <c r="O56" s="12">
        <f>Table1[[#This Row],[Cases]]/Table1[[#This Row],[Population]]</f>
        <v>2.7767163418672782E-3</v>
      </c>
      <c r="P56" s="12">
        <f>Table1[[#This Row],[Deaths]]/Table1[[#This Row],[Population]]</f>
        <v>1.0189784740797351E-4</v>
      </c>
      <c r="Q56" s="13">
        <f>1-Table1[[#This Row],[Deaths]]/Table1[[#This Row],[Ex(Deaths)]]</f>
        <v>6.0344827586206962E-2</v>
      </c>
      <c r="R56" s="14">
        <f>G56/D56</f>
        <v>6.4220183486238536E-2</v>
      </c>
      <c r="S56" s="12">
        <f>Table1[[#This Row],[Percent Infected]]*Table1[[#This Row],[% Active]]</f>
        <v>1.7832123296395366E-4</v>
      </c>
      <c r="T56" s="8">
        <f>1/Table1[[#This Row],[Percent Actively Infected]]</f>
        <v>5607.8571428571422</v>
      </c>
      <c r="AMC56"/>
    </row>
    <row r="57" spans="1:1017" s="1" customFormat="1" ht="16.5" thickBot="1" x14ac:dyDescent="0.3">
      <c r="A57" s="1">
        <v>58</v>
      </c>
      <c r="B57" s="52">
        <v>19</v>
      </c>
      <c r="C57" s="43" t="s">
        <v>51</v>
      </c>
      <c r="D57" s="48">
        <v>174674</v>
      </c>
      <c r="E57" s="48">
        <v>30152</v>
      </c>
      <c r="F57" s="48">
        <v>79233</v>
      </c>
      <c r="G57" s="48">
        <v>65289</v>
      </c>
      <c r="H57" s="49">
        <v>477</v>
      </c>
      <c r="I57" s="43">
        <v>65280436</v>
      </c>
      <c r="J57" s="8">
        <f>Table1[[#This Row],[Population]]/Table1[[#This Row],[Cases]]</f>
        <v>373.72726335917196</v>
      </c>
      <c r="K57" s="8">
        <f>Table1[[#This Row],[Population]]/Table1[[#This Row],[Deaths]]</f>
        <v>2165.0449721411514</v>
      </c>
      <c r="L57" s="9">
        <f>Table1[[#This Row],[Deaths]]+Table1[[#This Row],[Active]]*Table1[[#This Row],[Death Rate]]</f>
        <v>41422.102751411199</v>
      </c>
      <c r="M57" s="10">
        <f>Table1[[#This Row],[Deaths]]/Table1[[#This Row],[Cases]]</f>
        <v>0.17261870684818575</v>
      </c>
      <c r="N57" s="11">
        <f>Table1[[#This Row],[Cases]]/Table1[[#This Row],[Deaths]]</f>
        <v>5.7931148845847709</v>
      </c>
      <c r="O57" s="12">
        <f>Table1[[#This Row],[Cases]]/Table1[[#This Row],[Population]]</f>
        <v>2.6757480602611172E-3</v>
      </c>
      <c r="P57" s="12">
        <f>Table1[[#This Row],[Deaths]]/Table1[[#This Row],[Population]]</f>
        <v>4.618841700138155E-4</v>
      </c>
      <c r="Q57" s="13">
        <f>1-Table1[[#This Row],[Deaths]]/Table1[[#This Row],[Ex(Deaths)]]</f>
        <v>0.27207944558119379</v>
      </c>
      <c r="R57" s="14">
        <f>G57/D57</f>
        <v>0.3737762918350756</v>
      </c>
      <c r="S57" s="12">
        <f>Table1[[#This Row],[Percent Infected]]*Table1[[#This Row],[% Active]]</f>
        <v>1.0001311878492969E-3</v>
      </c>
      <c r="T57" s="8">
        <f>1/Table1[[#This Row],[Percent Actively Infected]]</f>
        <v>999.86882935869744</v>
      </c>
      <c r="AMC57"/>
    </row>
    <row r="58" spans="1:1017" s="1" customFormat="1" ht="16.5" thickBot="1" x14ac:dyDescent="0.3">
      <c r="A58" s="1">
        <v>59</v>
      </c>
      <c r="B58" s="52">
        <v>53</v>
      </c>
      <c r="C58" s="43" t="s">
        <v>107</v>
      </c>
      <c r="D58" s="48">
        <v>27133</v>
      </c>
      <c r="E58" s="49">
        <v>349</v>
      </c>
      <c r="F58" s="48">
        <v>18450</v>
      </c>
      <c r="G58" s="48">
        <v>8334</v>
      </c>
      <c r="H58" s="49">
        <v>66</v>
      </c>
      <c r="I58" s="43">
        <v>10143254</v>
      </c>
      <c r="J58" s="8">
        <f>Table1[[#This Row],[Population]]/Table1[[#This Row],[Cases]]</f>
        <v>373.83459256256219</v>
      </c>
      <c r="K58" s="8">
        <f>Table1[[#This Row],[Population]]/Table1[[#This Row],[Deaths]]</f>
        <v>29063.765042979943</v>
      </c>
      <c r="L58" s="9">
        <f>Table1[[#This Row],[Deaths]]+Table1[[#This Row],[Active]]*Table1[[#This Row],[Death Rate]]</f>
        <v>456.19662403715034</v>
      </c>
      <c r="M58" s="10">
        <f>Table1[[#This Row],[Deaths]]/Table1[[#This Row],[Cases]]</f>
        <v>1.2862565879187705E-2</v>
      </c>
      <c r="N58" s="11">
        <f>Table1[[#This Row],[Cases]]/Table1[[#This Row],[Deaths]]</f>
        <v>77.744985673352431</v>
      </c>
      <c r="O58" s="12">
        <f>Table1[[#This Row],[Cases]]/Table1[[#This Row],[Population]]</f>
        <v>2.6749798437463953E-3</v>
      </c>
      <c r="P58" s="12">
        <f>Table1[[#This Row],[Deaths]]/Table1[[#This Row],[Population]]</f>
        <v>3.4407104465687244E-5</v>
      </c>
      <c r="Q58" s="13">
        <f>1-Table1[[#This Row],[Deaths]]/Table1[[#This Row],[Ex(Deaths)]]</f>
        <v>0.23497899455832183</v>
      </c>
      <c r="R58" s="14">
        <f>G58/D58</f>
        <v>0.30715365053624738</v>
      </c>
      <c r="S58" s="12">
        <f>Table1[[#This Row],[Percent Infected]]*Table1[[#This Row],[% Active]]</f>
        <v>8.2162982411758596E-4</v>
      </c>
      <c r="T58" s="8">
        <f>1/Table1[[#This Row],[Percent Actively Infected]]</f>
        <v>1217.0931125509958</v>
      </c>
      <c r="AMC58"/>
    </row>
    <row r="59" spans="1:1017" s="1" customFormat="1" ht="16.5" thickBot="1" x14ac:dyDescent="0.3">
      <c r="A59" s="1">
        <v>60</v>
      </c>
      <c r="B59" s="52">
        <v>20</v>
      </c>
      <c r="C59" s="43" t="s">
        <v>126</v>
      </c>
      <c r="D59" s="48">
        <v>119301</v>
      </c>
      <c r="E59" s="48">
        <v>2204</v>
      </c>
      <c r="F59" s="48">
        <v>52607</v>
      </c>
      <c r="G59" s="48">
        <v>64490</v>
      </c>
      <c r="H59" s="49">
        <v>752</v>
      </c>
      <c r="I59" s="43">
        <v>45214244</v>
      </c>
      <c r="J59" s="8">
        <f>Table1[[#This Row],[Population]]/Table1[[#This Row],[Cases]]</f>
        <v>378.99300089689103</v>
      </c>
      <c r="K59" s="8">
        <f>Table1[[#This Row],[Population]]/Table1[[#This Row],[Deaths]]</f>
        <v>20514.629764065336</v>
      </c>
      <c r="L59" s="9">
        <f>Table1[[#This Row],[Deaths]]+Table1[[#This Row],[Active]]*Table1[[#This Row],[Death Rate]]</f>
        <v>3395.4062748845354</v>
      </c>
      <c r="M59" s="10">
        <f>Table1[[#This Row],[Deaths]]/Table1[[#This Row],[Cases]]</f>
        <v>1.847427934384456E-2</v>
      </c>
      <c r="N59" s="11">
        <f>Table1[[#This Row],[Cases]]/Table1[[#This Row],[Deaths]]</f>
        <v>54.129310344827587</v>
      </c>
      <c r="O59" s="12">
        <f>Table1[[#This Row],[Cases]]/Table1[[#This Row],[Population]]</f>
        <v>2.6385711547007177E-3</v>
      </c>
      <c r="P59" s="12">
        <f>Table1[[#This Row],[Deaths]]/Table1[[#This Row],[Population]]</f>
        <v>4.8745700580551561E-5</v>
      </c>
      <c r="Q59" s="13">
        <f>1-Table1[[#This Row],[Deaths]]/Table1[[#This Row],[Ex(Deaths)]]</f>
        <v>0.35088769308616841</v>
      </c>
      <c r="R59" s="14">
        <f>G59/D59</f>
        <v>0.54056546047392728</v>
      </c>
      <c r="S59" s="12">
        <f>Table1[[#This Row],[Percent Infected]]*Table1[[#This Row],[% Active]]</f>
        <v>1.4263204312340155E-3</v>
      </c>
      <c r="T59" s="8">
        <f>1/Table1[[#This Row],[Percent Actively Infected]]</f>
        <v>701.1047294154132</v>
      </c>
      <c r="AMC59"/>
    </row>
    <row r="60" spans="1:1017" s="1" customFormat="1" ht="16.5" thickBot="1" x14ac:dyDescent="0.3">
      <c r="A60" s="1">
        <v>61</v>
      </c>
      <c r="B60" s="52">
        <v>15</v>
      </c>
      <c r="C60" s="43" t="s">
        <v>68</v>
      </c>
      <c r="D60" s="48">
        <v>217799</v>
      </c>
      <c r="E60" s="48">
        <v>5458</v>
      </c>
      <c r="F60" s="48">
        <v>199834</v>
      </c>
      <c r="G60" s="48">
        <v>12507</v>
      </c>
      <c r="H60" s="48">
        <v>1226</v>
      </c>
      <c r="I60" s="43">
        <v>84378767</v>
      </c>
      <c r="J60" s="8">
        <f>Table1[[#This Row],[Population]]/Table1[[#This Row],[Cases]]</f>
        <v>387.41576866744106</v>
      </c>
      <c r="K60" s="8">
        <f>Table1[[#This Row],[Population]]/Table1[[#This Row],[Deaths]]</f>
        <v>15459.649505313302</v>
      </c>
      <c r="L60" s="9">
        <f>Table1[[#This Row],[Deaths]]+Table1[[#This Row],[Active]]*Table1[[#This Row],[Death Rate]]</f>
        <v>5771.4229541917084</v>
      </c>
      <c r="M60" s="10">
        <f>Table1[[#This Row],[Deaths]]/Table1[[#This Row],[Cases]]</f>
        <v>2.5059802845743093E-2</v>
      </c>
      <c r="N60" s="11">
        <f>Table1[[#This Row],[Cases]]/Table1[[#This Row],[Deaths]]</f>
        <v>39.904543788933672</v>
      </c>
      <c r="O60" s="12">
        <f>Table1[[#This Row],[Cases]]/Table1[[#This Row],[Population]]</f>
        <v>2.5812062411388402E-3</v>
      </c>
      <c r="P60" s="12">
        <f>Table1[[#This Row],[Deaths]]/Table1[[#This Row],[Population]]</f>
        <v>6.4684519507140939E-5</v>
      </c>
      <c r="Q60" s="13">
        <f>1-Table1[[#This Row],[Deaths]]/Table1[[#This Row],[Ex(Deaths)]]</f>
        <v>5.4306010264604354E-2</v>
      </c>
      <c r="R60" s="14">
        <f>G60/D60</f>
        <v>5.7424506081295137E-2</v>
      </c>
      <c r="S60" s="12">
        <f>Table1[[#This Row],[Percent Infected]]*Table1[[#This Row],[% Active]]</f>
        <v>1.482244934913543E-4</v>
      </c>
      <c r="T60" s="8">
        <f>1/Table1[[#This Row],[Percent Actively Infected]]</f>
        <v>6746.5233069481083</v>
      </c>
      <c r="AMC60"/>
    </row>
    <row r="61" spans="1:1017" s="1" customFormat="1" ht="16.5" thickBot="1" x14ac:dyDescent="0.3">
      <c r="A61" s="1">
        <v>62</v>
      </c>
      <c r="B61" s="52">
        <v>7</v>
      </c>
      <c r="C61" s="43" t="s">
        <v>101</v>
      </c>
      <c r="D61" s="48">
        <v>331298</v>
      </c>
      <c r="E61" s="48">
        <v>38310</v>
      </c>
      <c r="F61" s="48">
        <v>208436</v>
      </c>
      <c r="G61" s="48">
        <v>84552</v>
      </c>
      <c r="H61" s="49">
        <v>378</v>
      </c>
      <c r="I61" s="43">
        <v>128992183</v>
      </c>
      <c r="J61" s="8">
        <f>Table1[[#This Row],[Population]]/Table1[[#This Row],[Cases]]</f>
        <v>389.35394418318253</v>
      </c>
      <c r="K61" s="8">
        <f>Table1[[#This Row],[Population]]/Table1[[#This Row],[Deaths]]</f>
        <v>3367.062986165492</v>
      </c>
      <c r="L61" s="9">
        <f>Table1[[#This Row],[Deaths]]+Table1[[#This Row],[Active]]*Table1[[#This Row],[Death Rate]]</f>
        <v>48087.261317605298</v>
      </c>
      <c r="M61" s="10">
        <f>Table1[[#This Row],[Deaths]]/Table1[[#This Row],[Cases]]</f>
        <v>0.1156360738670321</v>
      </c>
      <c r="N61" s="11">
        <f>Table1[[#This Row],[Cases]]/Table1[[#This Row],[Deaths]]</f>
        <v>8.647820412424954</v>
      </c>
      <c r="O61" s="12">
        <f>Table1[[#This Row],[Cases]]/Table1[[#This Row],[Population]]</f>
        <v>2.5683571848691016E-3</v>
      </c>
      <c r="P61" s="12">
        <f>Table1[[#This Row],[Deaths]]/Table1[[#This Row],[Population]]</f>
        <v>2.9699474114644605E-4</v>
      </c>
      <c r="Q61" s="13">
        <f>1-Table1[[#This Row],[Deaths]]/Table1[[#This Row],[Ex(Deaths)]]</f>
        <v>0.20332331369484191</v>
      </c>
      <c r="R61" s="14">
        <f>G61/D61</f>
        <v>0.25521433875242228</v>
      </c>
      <c r="S61" s="12">
        <f>Table1[[#This Row],[Percent Infected]]*Table1[[#This Row],[% Active]]</f>
        <v>6.5548158061640052E-4</v>
      </c>
      <c r="T61" s="8">
        <f>1/Table1[[#This Row],[Percent Actively Infected]]</f>
        <v>1525.5958818242032</v>
      </c>
      <c r="AMC61"/>
    </row>
    <row r="62" spans="1:1017" s="1" customFormat="1" ht="16.5" thickBot="1" x14ac:dyDescent="0.3">
      <c r="A62" s="1">
        <v>63</v>
      </c>
      <c r="B62" s="52">
        <v>84</v>
      </c>
      <c r="C62" s="43" t="s">
        <v>92</v>
      </c>
      <c r="D62" s="48">
        <v>8161</v>
      </c>
      <c r="E62" s="49">
        <v>246</v>
      </c>
      <c r="F62" s="48">
        <v>3648</v>
      </c>
      <c r="G62" s="48">
        <v>4267</v>
      </c>
      <c r="H62" s="49"/>
      <c r="I62" s="43">
        <v>3279759</v>
      </c>
      <c r="J62" s="8">
        <f>Table1[[#This Row],[Population]]/Table1[[#This Row],[Cases]]</f>
        <v>401.881999754932</v>
      </c>
      <c r="K62" s="8">
        <f>Table1[[#This Row],[Population]]/Table1[[#This Row],[Deaths]]</f>
        <v>13332.353658536585</v>
      </c>
      <c r="L62" s="9">
        <f>Table1[[#This Row],[Deaths]]+Table1[[#This Row],[Active]]*Table1[[#This Row],[Death Rate]]</f>
        <v>374.62173753216518</v>
      </c>
      <c r="M62" s="10">
        <f>Table1[[#This Row],[Deaths]]/Table1[[#This Row],[Cases]]</f>
        <v>3.0143364783727485E-2</v>
      </c>
      <c r="N62" s="11">
        <f>Table1[[#This Row],[Cases]]/Table1[[#This Row],[Deaths]]</f>
        <v>33.174796747967477</v>
      </c>
      <c r="O62" s="12">
        <f>Table1[[#This Row],[Cases]]/Table1[[#This Row],[Population]]</f>
        <v>2.4882925849124891E-3</v>
      </c>
      <c r="P62" s="12">
        <f>Table1[[#This Row],[Deaths]]/Table1[[#This Row],[Population]]</f>
        <v>7.5005511075661356E-5</v>
      </c>
      <c r="Q62" s="13">
        <f>1-Table1[[#This Row],[Deaths]]/Table1[[#This Row],[Ex(Deaths)]]</f>
        <v>0.34333762471837792</v>
      </c>
      <c r="R62" s="14">
        <f>G62/D62</f>
        <v>0.52285259159416742</v>
      </c>
      <c r="S62" s="12">
        <f>Table1[[#This Row],[Percent Infected]]*Table1[[#This Row],[% Active]]</f>
        <v>1.3010102266660449E-3</v>
      </c>
      <c r="T62" s="8">
        <f>1/Table1[[#This Row],[Percent Actively Infected]]</f>
        <v>768.63346613545809</v>
      </c>
      <c r="AMC62"/>
    </row>
    <row r="63" spans="1:1017" s="1" customFormat="1" ht="16.5" thickBot="1" x14ac:dyDescent="0.3">
      <c r="A63" s="1">
        <v>64</v>
      </c>
      <c r="B63" s="52">
        <v>176</v>
      </c>
      <c r="C63" s="43" t="s">
        <v>63</v>
      </c>
      <c r="D63" s="49">
        <v>152</v>
      </c>
      <c r="E63" s="49">
        <v>9</v>
      </c>
      <c r="F63" s="49">
        <v>137</v>
      </c>
      <c r="G63" s="49">
        <v>6</v>
      </c>
      <c r="H63" s="49">
        <v>1</v>
      </c>
      <c r="I63" s="43">
        <v>62266</v>
      </c>
      <c r="J63" s="8">
        <f>Table1[[#This Row],[Population]]/Table1[[#This Row],[Cases]]</f>
        <v>409.64473684210526</v>
      </c>
      <c r="K63" s="8">
        <f>Table1[[#This Row],[Population]]/Table1[[#This Row],[Deaths]]</f>
        <v>6918.4444444444443</v>
      </c>
      <c r="L63" s="9">
        <f>Table1[[#This Row],[Deaths]]+Table1[[#This Row],[Active]]*Table1[[#This Row],[Death Rate]]</f>
        <v>9.3552631578947363</v>
      </c>
      <c r="M63" s="10">
        <f>Table1[[#This Row],[Deaths]]/Table1[[#This Row],[Cases]]</f>
        <v>5.921052631578947E-2</v>
      </c>
      <c r="N63" s="11">
        <f>Table1[[#This Row],[Cases]]/Table1[[#This Row],[Deaths]]</f>
        <v>16.888888888888889</v>
      </c>
      <c r="O63" s="12">
        <f>Table1[[#This Row],[Cases]]/Table1[[#This Row],[Population]]</f>
        <v>2.441139626762599E-3</v>
      </c>
      <c r="P63" s="12">
        <f>Table1[[#This Row],[Deaths]]/Table1[[#This Row],[Population]]</f>
        <v>1.4454116211094336E-4</v>
      </c>
      <c r="Q63" s="13">
        <f>1-Table1[[#This Row],[Deaths]]/Table1[[#This Row],[Ex(Deaths)]]</f>
        <v>3.7974683544303778E-2</v>
      </c>
      <c r="R63" s="14">
        <f>G63/D63</f>
        <v>3.9473684210526314E-2</v>
      </c>
      <c r="S63" s="12">
        <f>Table1[[#This Row],[Percent Infected]]*Table1[[#This Row],[% Active]]</f>
        <v>9.6360774740628902E-5</v>
      </c>
      <c r="T63" s="8">
        <f>1/Table1[[#This Row],[Percent Actively Infected]]</f>
        <v>10377.666666666668</v>
      </c>
      <c r="AMC63"/>
    </row>
    <row r="64" spans="1:1017" s="1" customFormat="1" ht="16.5" thickBot="1" x14ac:dyDescent="0.3">
      <c r="A64" s="1">
        <v>65</v>
      </c>
      <c r="B64" s="52">
        <v>16</v>
      </c>
      <c r="C64" s="43" t="s">
        <v>61</v>
      </c>
      <c r="D64" s="48">
        <v>202442</v>
      </c>
      <c r="E64" s="48">
        <v>9162</v>
      </c>
      <c r="F64" s="48">
        <v>187500</v>
      </c>
      <c r="G64" s="48">
        <v>5780</v>
      </c>
      <c r="H64" s="49">
        <v>249</v>
      </c>
      <c r="I64" s="43">
        <v>83796659</v>
      </c>
      <c r="J64" s="8">
        <f>Table1[[#This Row],[Population]]/Table1[[#This Row],[Cases]]</f>
        <v>413.92921923316305</v>
      </c>
      <c r="K64" s="8">
        <f>Table1[[#This Row],[Population]]/Table1[[#This Row],[Deaths]]</f>
        <v>9146.1099104998902</v>
      </c>
      <c r="L64" s="9">
        <f>Table1[[#This Row],[Deaths]]+Table1[[#This Row],[Active]]*Table1[[#This Row],[Death Rate]]</f>
        <v>9423.5878128056429</v>
      </c>
      <c r="M64" s="10">
        <f>Table1[[#This Row],[Deaths]]/Table1[[#This Row],[Cases]]</f>
        <v>4.5257407059799845E-2</v>
      </c>
      <c r="N64" s="11">
        <f>Table1[[#This Row],[Cases]]/Table1[[#This Row],[Deaths]]</f>
        <v>22.09583060467147</v>
      </c>
      <c r="O64" s="12">
        <f>Table1[[#This Row],[Cases]]/Table1[[#This Row],[Population]]</f>
        <v>2.4158719740843128E-3</v>
      </c>
      <c r="P64" s="12">
        <f>Table1[[#This Row],[Deaths]]/Table1[[#This Row],[Population]]</f>
        <v>1.0933610133549597E-4</v>
      </c>
      <c r="Q64" s="13">
        <f>1-Table1[[#This Row],[Deaths]]/Table1[[#This Row],[Ex(Deaths)]]</f>
        <v>2.7758834321061188E-2</v>
      </c>
      <c r="R64" s="14">
        <f>G64/D64</f>
        <v>2.8551387557917824E-2</v>
      </c>
      <c r="S64" s="12">
        <f>Table1[[#This Row],[Percent Infected]]*Table1[[#This Row],[% Active]]</f>
        <v>6.8976497022393225E-5</v>
      </c>
      <c r="T64" s="8">
        <f>1/Table1[[#This Row],[Percent Actively Infected]]</f>
        <v>14497.691868512109</v>
      </c>
      <c r="AMC64"/>
    </row>
    <row r="65" spans="1:1017" s="1" customFormat="1" ht="16.5" thickBot="1" x14ac:dyDescent="0.3">
      <c r="A65" s="1">
        <v>66</v>
      </c>
      <c r="B65" s="52">
        <v>58</v>
      </c>
      <c r="C65" s="43" t="s">
        <v>80</v>
      </c>
      <c r="D65" s="48">
        <v>20498</v>
      </c>
      <c r="E65" s="49">
        <v>461</v>
      </c>
      <c r="F65" s="48">
        <v>14047</v>
      </c>
      <c r="G65" s="48">
        <v>5990</v>
      </c>
      <c r="H65" s="49">
        <v>187</v>
      </c>
      <c r="I65" s="43">
        <v>8735579</v>
      </c>
      <c r="J65" s="8">
        <f>Table1[[#This Row],[Population]]/Table1[[#This Row],[Cases]]</f>
        <v>426.16738218362769</v>
      </c>
      <c r="K65" s="8">
        <f>Table1[[#This Row],[Population]]/Table1[[#This Row],[Deaths]]</f>
        <v>18949.195227765726</v>
      </c>
      <c r="L65" s="9">
        <f>Table1[[#This Row],[Deaths]]+Table1[[#This Row],[Active]]*Table1[[#This Row],[Death Rate]]</f>
        <v>595.71509415552737</v>
      </c>
      <c r="M65" s="10">
        <f>Table1[[#This Row],[Deaths]]/Table1[[#This Row],[Cases]]</f>
        <v>2.2489999024295052E-2</v>
      </c>
      <c r="N65" s="11">
        <f>Table1[[#This Row],[Cases]]/Table1[[#This Row],[Deaths]]</f>
        <v>44.464208242950107</v>
      </c>
      <c r="O65" s="12">
        <f>Table1[[#This Row],[Cases]]/Table1[[#This Row],[Population]]</f>
        <v>2.3464958647846927E-3</v>
      </c>
      <c r="P65" s="12">
        <f>Table1[[#This Row],[Deaths]]/Table1[[#This Row],[Population]]</f>
        <v>5.277268970952011E-5</v>
      </c>
      <c r="Q65" s="13">
        <f>1-Table1[[#This Row],[Deaths]]/Table1[[#This Row],[Ex(Deaths)]]</f>
        <v>0.22614013893083662</v>
      </c>
      <c r="R65" s="14">
        <f>G65/D65</f>
        <v>0.29222363157381209</v>
      </c>
      <c r="S65" s="12">
        <f>Table1[[#This Row],[Percent Infected]]*Table1[[#This Row],[% Active]]</f>
        <v>6.8570154308031568E-4</v>
      </c>
      <c r="T65" s="8">
        <f>1/Table1[[#This Row],[Percent Actively Infected]]</f>
        <v>1458.3604340567611</v>
      </c>
      <c r="AMC65"/>
    </row>
    <row r="66" spans="1:1017" s="1" customFormat="1" ht="16.5" thickBot="1" x14ac:dyDescent="0.3">
      <c r="A66" s="1">
        <v>67</v>
      </c>
      <c r="B66" s="52">
        <v>68</v>
      </c>
      <c r="C66" s="43" t="s">
        <v>66</v>
      </c>
      <c r="D66" s="48">
        <v>13173</v>
      </c>
      <c r="E66" s="49">
        <v>611</v>
      </c>
      <c r="F66" s="48">
        <v>12209</v>
      </c>
      <c r="G66" s="49">
        <v>353</v>
      </c>
      <c r="H66" s="49">
        <v>5</v>
      </c>
      <c r="I66" s="43">
        <v>5793167</v>
      </c>
      <c r="J66" s="8">
        <f>Table1[[#This Row],[Population]]/Table1[[#This Row],[Cases]]</f>
        <v>439.7758293479086</v>
      </c>
      <c r="K66" s="8">
        <f>Table1[[#This Row],[Population]]/Table1[[#This Row],[Deaths]]</f>
        <v>9481.4517184942724</v>
      </c>
      <c r="L66" s="9">
        <f>Table1[[#This Row],[Deaths]]+Table1[[#This Row],[Active]]*Table1[[#This Row],[Death Rate]]</f>
        <v>627.37311166780535</v>
      </c>
      <c r="M66" s="10">
        <f>Table1[[#This Row],[Deaths]]/Table1[[#This Row],[Cases]]</f>
        <v>4.6382752600015183E-2</v>
      </c>
      <c r="N66" s="11">
        <f>Table1[[#This Row],[Cases]]/Table1[[#This Row],[Deaths]]</f>
        <v>21.559738134206221</v>
      </c>
      <c r="O66" s="12">
        <f>Table1[[#This Row],[Cases]]/Table1[[#This Row],[Population]]</f>
        <v>2.2738857692174248E-3</v>
      </c>
      <c r="P66" s="12">
        <f>Table1[[#This Row],[Deaths]]/Table1[[#This Row],[Population]]</f>
        <v>1.0546908107430702E-4</v>
      </c>
      <c r="Q66" s="13">
        <f>1-Table1[[#This Row],[Deaths]]/Table1[[#This Row],[Ex(Deaths)]]</f>
        <v>2.6097885553748368E-2</v>
      </c>
      <c r="R66" s="14">
        <f>G66/D66</f>
        <v>2.6797236772185529E-2</v>
      </c>
      <c r="S66" s="12">
        <f>Table1[[#This Row],[Percent Infected]]*Table1[[#This Row],[% Active]]</f>
        <v>6.0933855350622553E-5</v>
      </c>
      <c r="T66" s="8">
        <f>1/Table1[[#This Row],[Percent Actively Infected]]</f>
        <v>16411.237960339942</v>
      </c>
      <c r="AMC66"/>
    </row>
    <row r="67" spans="1:1017" s="1" customFormat="1" ht="16.5" thickBot="1" x14ac:dyDescent="0.3">
      <c r="A67" s="1">
        <v>68</v>
      </c>
      <c r="B67" s="52">
        <v>186</v>
      </c>
      <c r="C67" s="43" t="s">
        <v>62</v>
      </c>
      <c r="D67" s="49">
        <v>86</v>
      </c>
      <c r="E67" s="49">
        <v>1</v>
      </c>
      <c r="F67" s="49">
        <v>81</v>
      </c>
      <c r="G67" s="49">
        <v>4</v>
      </c>
      <c r="H67" s="49"/>
      <c r="I67" s="43">
        <v>38133</v>
      </c>
      <c r="J67" s="8">
        <f>Table1[[#This Row],[Population]]/Table1[[#This Row],[Cases]]</f>
        <v>443.40697674418607</v>
      </c>
      <c r="K67" s="8">
        <f>Table1[[#This Row],[Population]]/Table1[[#This Row],[Deaths]]</f>
        <v>38133</v>
      </c>
      <c r="L67" s="9">
        <f>Table1[[#This Row],[Deaths]]+Table1[[#This Row],[Active]]*Table1[[#This Row],[Death Rate]]</f>
        <v>1.0465116279069768</v>
      </c>
      <c r="M67" s="10">
        <f>Table1[[#This Row],[Deaths]]/Table1[[#This Row],[Cases]]</f>
        <v>1.1627906976744186E-2</v>
      </c>
      <c r="N67" s="11">
        <f>Table1[[#This Row],[Cases]]/Table1[[#This Row],[Deaths]]</f>
        <v>86</v>
      </c>
      <c r="O67" s="12">
        <f>Table1[[#This Row],[Cases]]/Table1[[#This Row],[Population]]</f>
        <v>2.2552644690950097E-3</v>
      </c>
      <c r="P67" s="12">
        <f>Table1[[#This Row],[Deaths]]/Table1[[#This Row],[Population]]</f>
        <v>2.6224005454593135E-5</v>
      </c>
      <c r="Q67" s="13">
        <f>1-Table1[[#This Row],[Deaths]]/Table1[[#This Row],[Ex(Deaths)]]</f>
        <v>4.4444444444444509E-2</v>
      </c>
      <c r="R67" s="14">
        <f>G67/D67</f>
        <v>4.6511627906976744E-2</v>
      </c>
      <c r="S67" s="12">
        <f>Table1[[#This Row],[Percent Infected]]*Table1[[#This Row],[% Active]]</f>
        <v>1.0489602181837254E-4</v>
      </c>
      <c r="T67" s="8">
        <f>1/Table1[[#This Row],[Percent Actively Infected]]</f>
        <v>9533.25</v>
      </c>
      <c r="AMC67"/>
    </row>
    <row r="68" spans="1:1017" s="1" customFormat="1" ht="16.5" thickBot="1" x14ac:dyDescent="0.3">
      <c r="A68" s="1">
        <v>69</v>
      </c>
      <c r="B68" s="52">
        <v>23</v>
      </c>
      <c r="C68" s="43" t="s">
        <v>163</v>
      </c>
      <c r="D68" s="48">
        <v>90220</v>
      </c>
      <c r="E68" s="48">
        <v>3691</v>
      </c>
      <c r="F68" s="48">
        <v>58492</v>
      </c>
      <c r="G68" s="48">
        <v>28037</v>
      </c>
      <c r="H68" s="49">
        <v>397</v>
      </c>
      <c r="I68" s="43">
        <v>40256584</v>
      </c>
      <c r="J68" s="8">
        <f>Table1[[#This Row],[Population]]/Table1[[#This Row],[Cases]]</f>
        <v>446.20465528707604</v>
      </c>
      <c r="K68" s="8">
        <f>Table1[[#This Row],[Population]]/Table1[[#This Row],[Deaths]]</f>
        <v>10906.687618531563</v>
      </c>
      <c r="L68" s="9">
        <f>Table1[[#This Row],[Deaths]]+Table1[[#This Row],[Active]]*Table1[[#This Row],[Death Rate]]</f>
        <v>4838.0246841055196</v>
      </c>
      <c r="M68" s="10">
        <f>Table1[[#This Row],[Deaths]]/Table1[[#This Row],[Cases]]</f>
        <v>4.0911106184881398E-2</v>
      </c>
      <c r="N68" s="11">
        <f>Table1[[#This Row],[Cases]]/Table1[[#This Row],[Deaths]]</f>
        <v>24.443240314277972</v>
      </c>
      <c r="O68" s="12">
        <f>Table1[[#This Row],[Cases]]/Table1[[#This Row],[Population]]</f>
        <v>2.2411240854415268E-3</v>
      </c>
      <c r="P68" s="12">
        <f>Table1[[#This Row],[Deaths]]/Table1[[#This Row],[Population]]</f>
        <v>9.1686865432993514E-5</v>
      </c>
      <c r="Q68" s="13">
        <f>1-Table1[[#This Row],[Deaths]]/Table1[[#This Row],[Ex(Deaths)]]</f>
        <v>0.23708533110090735</v>
      </c>
      <c r="R68" s="14">
        <f>G68/D68</f>
        <v>0.31076258035912213</v>
      </c>
      <c r="S68" s="12">
        <f>Table1[[#This Row],[Percent Infected]]*Table1[[#This Row],[% Active]]</f>
        <v>6.9645750369678658E-4</v>
      </c>
      <c r="T68" s="8">
        <f>1/Table1[[#This Row],[Percent Actively Infected]]</f>
        <v>1435.8377857830724</v>
      </c>
      <c r="AMC68"/>
    </row>
    <row r="69" spans="1:1017" s="1" customFormat="1" ht="16.5" thickBot="1" x14ac:dyDescent="0.3">
      <c r="A69" s="1">
        <v>70</v>
      </c>
      <c r="B69" s="52">
        <v>104</v>
      </c>
      <c r="C69" s="43" t="s">
        <v>91</v>
      </c>
      <c r="D69" s="48">
        <v>3071</v>
      </c>
      <c r="E69" s="49">
        <v>51</v>
      </c>
      <c r="F69" s="49">
        <v>842</v>
      </c>
      <c r="G69" s="48">
        <v>2178</v>
      </c>
      <c r="H69" s="49"/>
      <c r="I69" s="43">
        <v>1404470</v>
      </c>
      <c r="J69" s="8">
        <f>Table1[[#This Row],[Population]]/Table1[[#This Row],[Cases]]</f>
        <v>457.33311624877888</v>
      </c>
      <c r="K69" s="8">
        <f>Table1[[#This Row],[Population]]/Table1[[#This Row],[Deaths]]</f>
        <v>27538.627450980392</v>
      </c>
      <c r="L69" s="9">
        <f>Table1[[#This Row],[Deaths]]+Table1[[#This Row],[Active]]*Table1[[#This Row],[Death Rate]]</f>
        <v>87.169977206121786</v>
      </c>
      <c r="M69" s="10">
        <f>Table1[[#This Row],[Deaths]]/Table1[[#This Row],[Cases]]</f>
        <v>1.6606968414197329E-2</v>
      </c>
      <c r="N69" s="11">
        <f>Table1[[#This Row],[Cases]]/Table1[[#This Row],[Deaths]]</f>
        <v>60.215686274509807</v>
      </c>
      <c r="O69" s="12">
        <f>Table1[[#This Row],[Cases]]/Table1[[#This Row],[Population]]</f>
        <v>2.1865899592016917E-3</v>
      </c>
      <c r="P69" s="12">
        <f>Table1[[#This Row],[Deaths]]/Table1[[#This Row],[Population]]</f>
        <v>3.6312630387263522E-5</v>
      </c>
      <c r="Q69" s="13">
        <f>1-Table1[[#This Row],[Deaths]]/Table1[[#This Row],[Ex(Deaths)]]</f>
        <v>0.41493617831967999</v>
      </c>
      <c r="R69" s="14">
        <f>G69/D69</f>
        <v>0.70921523933572128</v>
      </c>
      <c r="S69" s="12">
        <f>Table1[[#This Row],[Percent Infected]]*Table1[[#This Row],[% Active]]</f>
        <v>1.5507629212443128E-3</v>
      </c>
      <c r="T69" s="8">
        <f>1/Table1[[#This Row],[Percent Actively Infected]]</f>
        <v>644.84389348025707</v>
      </c>
      <c r="AMC69"/>
    </row>
    <row r="70" spans="1:1017" s="1" customFormat="1" ht="16.5" thickBot="1" x14ac:dyDescent="0.3">
      <c r="A70" s="1">
        <v>71</v>
      </c>
      <c r="B70" s="52">
        <v>60</v>
      </c>
      <c r="C70" s="43" t="s">
        <v>69</v>
      </c>
      <c r="D70" s="48">
        <v>19573</v>
      </c>
      <c r="E70" s="49">
        <v>711</v>
      </c>
      <c r="F70" s="48">
        <v>17501</v>
      </c>
      <c r="G70" s="48">
        <v>1361</v>
      </c>
      <c r="H70" s="49">
        <v>11</v>
      </c>
      <c r="I70" s="43">
        <v>9008775</v>
      </c>
      <c r="J70" s="8">
        <f>Table1[[#This Row],[Population]]/Table1[[#This Row],[Cases]]</f>
        <v>460.26541664537882</v>
      </c>
      <c r="K70" s="8">
        <f>Table1[[#This Row],[Population]]/Table1[[#This Row],[Deaths]]</f>
        <v>12670.569620253165</v>
      </c>
      <c r="L70" s="9">
        <f>Table1[[#This Row],[Deaths]]+Table1[[#This Row],[Active]]*Table1[[#This Row],[Death Rate]]</f>
        <v>760.43907423491544</v>
      </c>
      <c r="M70" s="10">
        <f>Table1[[#This Row],[Deaths]]/Table1[[#This Row],[Cases]]</f>
        <v>3.6325550503244264E-2</v>
      </c>
      <c r="N70" s="11">
        <f>Table1[[#This Row],[Cases]]/Table1[[#This Row],[Deaths]]</f>
        <v>27.528832630098453</v>
      </c>
      <c r="O70" s="12">
        <f>Table1[[#This Row],[Cases]]/Table1[[#This Row],[Population]]</f>
        <v>2.1726594348288196E-3</v>
      </c>
      <c r="P70" s="12">
        <f>Table1[[#This Row],[Deaths]]/Table1[[#This Row],[Population]]</f>
        <v>7.8923050026224431E-5</v>
      </c>
      <c r="Q70" s="13">
        <f>1-Table1[[#This Row],[Deaths]]/Table1[[#This Row],[Ex(Deaths)]]</f>
        <v>6.5013853062004356E-2</v>
      </c>
      <c r="R70" s="14">
        <f>G70/D70</f>
        <v>6.9534562918305828E-2</v>
      </c>
      <c r="S70" s="12">
        <f>Table1[[#This Row],[Percent Infected]]*Table1[[#This Row],[% Active]]</f>
        <v>1.5107492417115533E-4</v>
      </c>
      <c r="T70" s="8">
        <f>1/Table1[[#This Row],[Percent Actively Infected]]</f>
        <v>6619.232182218957</v>
      </c>
      <c r="AMC70"/>
    </row>
    <row r="71" spans="1:1017" s="1" customFormat="1" ht="16.5" thickBot="1" x14ac:dyDescent="0.3">
      <c r="A71" s="1">
        <v>72</v>
      </c>
      <c r="B71" s="52">
        <v>69</v>
      </c>
      <c r="C71" s="43" t="s">
        <v>136</v>
      </c>
      <c r="D71" s="48">
        <v>13101</v>
      </c>
      <c r="E71" s="49">
        <v>173</v>
      </c>
      <c r="F71" s="48">
        <v>3821</v>
      </c>
      <c r="G71" s="48">
        <v>9107</v>
      </c>
      <c r="H71" s="49">
        <v>24</v>
      </c>
      <c r="I71" s="43">
        <v>6528591</v>
      </c>
      <c r="J71" s="8">
        <f>Table1[[#This Row],[Population]]/Table1[[#This Row],[Cases]]</f>
        <v>498.32768490954891</v>
      </c>
      <c r="K71" s="8">
        <f>Table1[[#This Row],[Population]]/Table1[[#This Row],[Deaths]]</f>
        <v>37737.520231213872</v>
      </c>
      <c r="L71" s="9">
        <f>Table1[[#This Row],[Deaths]]+Table1[[#This Row],[Active]]*Table1[[#This Row],[Death Rate]]</f>
        <v>293.25883520341961</v>
      </c>
      <c r="M71" s="10">
        <f>Table1[[#This Row],[Deaths]]/Table1[[#This Row],[Cases]]</f>
        <v>1.3205098847416228E-2</v>
      </c>
      <c r="N71" s="11">
        <f>Table1[[#This Row],[Cases]]/Table1[[#This Row],[Deaths]]</f>
        <v>75.728323699421964</v>
      </c>
      <c r="O71" s="12">
        <f>Table1[[#This Row],[Cases]]/Table1[[#This Row],[Population]]</f>
        <v>2.0067117085447689E-3</v>
      </c>
      <c r="P71" s="12">
        <f>Table1[[#This Row],[Deaths]]/Table1[[#This Row],[Population]]</f>
        <v>2.6498826469601174E-5</v>
      </c>
      <c r="Q71" s="13">
        <f>1-Table1[[#This Row],[Deaths]]/Table1[[#This Row],[Ex(Deaths)]]</f>
        <v>0.41007744956772341</v>
      </c>
      <c r="R71" s="14">
        <f>G71/D71</f>
        <v>0.69513777574230973</v>
      </c>
      <c r="S71" s="12">
        <f>Table1[[#This Row],[Percent Infected]]*Table1[[#This Row],[% Active]]</f>
        <v>1.3949411136338608E-3</v>
      </c>
      <c r="T71" s="8">
        <f>1/Table1[[#This Row],[Percent Actively Infected]]</f>
        <v>716.8761392335565</v>
      </c>
      <c r="AMC71"/>
    </row>
    <row r="72" spans="1:1017" s="1" customFormat="1" ht="16.5" thickBot="1" x14ac:dyDescent="0.3">
      <c r="A72" s="1">
        <v>73</v>
      </c>
      <c r="B72" s="52">
        <v>75</v>
      </c>
      <c r="C72" s="43" t="s">
        <v>151</v>
      </c>
      <c r="D72" s="48">
        <v>9969</v>
      </c>
      <c r="E72" s="49">
        <v>47</v>
      </c>
      <c r="F72" s="48">
        <v>2818</v>
      </c>
      <c r="G72" s="48">
        <v>7104</v>
      </c>
      <c r="H72" s="49">
        <v>38</v>
      </c>
      <c r="I72" s="43">
        <v>5096191</v>
      </c>
      <c r="J72" s="8">
        <f>Table1[[#This Row],[Population]]/Table1[[#This Row],[Cases]]</f>
        <v>511.20383187882436</v>
      </c>
      <c r="K72" s="8">
        <f>Table1[[#This Row],[Population]]/Table1[[#This Row],[Deaths]]</f>
        <v>108429.59574468085</v>
      </c>
      <c r="L72" s="9">
        <f>Table1[[#This Row],[Deaths]]+Table1[[#This Row],[Active]]*Table1[[#This Row],[Death Rate]]</f>
        <v>80.492627144146866</v>
      </c>
      <c r="M72" s="10">
        <f>Table1[[#This Row],[Deaths]]/Table1[[#This Row],[Cases]]</f>
        <v>4.7146153074531048E-3</v>
      </c>
      <c r="N72" s="11">
        <f>Table1[[#This Row],[Cases]]/Table1[[#This Row],[Deaths]]</f>
        <v>212.10638297872342</v>
      </c>
      <c r="O72" s="12">
        <f>Table1[[#This Row],[Cases]]/Table1[[#This Row],[Population]]</f>
        <v>1.9561668705117214E-3</v>
      </c>
      <c r="P72" s="12">
        <f>Table1[[#This Row],[Deaths]]/Table1[[#This Row],[Population]]</f>
        <v>9.2225742716471975E-6</v>
      </c>
      <c r="Q72" s="13">
        <f>1-Table1[[#This Row],[Deaths]]/Table1[[#This Row],[Ex(Deaths)]]</f>
        <v>0.41609558952732395</v>
      </c>
      <c r="R72" s="14">
        <f>G72/D72</f>
        <v>0.71260908817333735</v>
      </c>
      <c r="S72" s="12">
        <f>Table1[[#This Row],[Percent Infected]]*Table1[[#This Row],[% Active]]</f>
        <v>1.3939822899102486E-3</v>
      </c>
      <c r="T72" s="8">
        <f>1/Table1[[#This Row],[Percent Actively Infected]]</f>
        <v>717.36922860360369</v>
      </c>
      <c r="AMC72"/>
    </row>
    <row r="73" spans="1:1017" s="1" customFormat="1" ht="16.5" thickBot="1" x14ac:dyDescent="0.3">
      <c r="A73" s="1">
        <v>74</v>
      </c>
      <c r="B73" s="52">
        <v>189</v>
      </c>
      <c r="C73" s="43" t="s">
        <v>118</v>
      </c>
      <c r="D73" s="49">
        <v>75</v>
      </c>
      <c r="E73" s="49">
        <v>2</v>
      </c>
      <c r="F73" s="49">
        <v>12</v>
      </c>
      <c r="G73" s="49">
        <v>61</v>
      </c>
      <c r="H73" s="49">
        <v>1</v>
      </c>
      <c r="I73" s="43">
        <v>38739</v>
      </c>
      <c r="J73" s="8">
        <f>Table1[[#This Row],[Population]]/Table1[[#This Row],[Cases]]</f>
        <v>516.52</v>
      </c>
      <c r="K73" s="8">
        <f>Table1[[#This Row],[Population]]/Table1[[#This Row],[Deaths]]</f>
        <v>19369.5</v>
      </c>
      <c r="L73" s="9">
        <f>Table1[[#This Row],[Deaths]]+Table1[[#This Row],[Active]]*Table1[[#This Row],[Death Rate]]</f>
        <v>3.6266666666666669</v>
      </c>
      <c r="M73" s="10">
        <f>Table1[[#This Row],[Deaths]]/Table1[[#This Row],[Cases]]</f>
        <v>2.6666666666666668E-2</v>
      </c>
      <c r="N73" s="11">
        <f>Table1[[#This Row],[Cases]]/Table1[[#This Row],[Deaths]]</f>
        <v>37.5</v>
      </c>
      <c r="O73" s="12">
        <f>Table1[[#This Row],[Cases]]/Table1[[#This Row],[Population]]</f>
        <v>1.9360334546580965E-3</v>
      </c>
      <c r="P73" s="12">
        <f>Table1[[#This Row],[Deaths]]/Table1[[#This Row],[Population]]</f>
        <v>5.1627558790882576E-5</v>
      </c>
      <c r="Q73" s="13">
        <f>1-Table1[[#This Row],[Deaths]]/Table1[[#This Row],[Ex(Deaths)]]</f>
        <v>0.44852941176470595</v>
      </c>
      <c r="R73" s="14">
        <f>G73/D73</f>
        <v>0.81333333333333335</v>
      </c>
      <c r="S73" s="12">
        <f>Table1[[#This Row],[Percent Infected]]*Table1[[#This Row],[% Active]]</f>
        <v>1.5746405431219185E-3</v>
      </c>
      <c r="T73" s="8">
        <f>1/Table1[[#This Row],[Percent Actively Infected]]</f>
        <v>635.06557377049182</v>
      </c>
      <c r="AMC73"/>
    </row>
    <row r="74" spans="1:1017" s="1" customFormat="1" ht="16.5" thickBot="1" x14ac:dyDescent="0.3">
      <c r="A74" s="1">
        <v>75</v>
      </c>
      <c r="B74" s="52">
        <v>45</v>
      </c>
      <c r="C74" s="43" t="s">
        <v>86</v>
      </c>
      <c r="D74" s="48">
        <v>36691</v>
      </c>
      <c r="E74" s="48">
        <v>2009</v>
      </c>
      <c r="F74" s="48">
        <v>22488</v>
      </c>
      <c r="G74" s="48">
        <v>12194</v>
      </c>
      <c r="H74" s="49">
        <v>280</v>
      </c>
      <c r="I74" s="43">
        <v>19230998</v>
      </c>
      <c r="J74" s="8">
        <f>Table1[[#This Row],[Population]]/Table1[[#This Row],[Cases]]</f>
        <v>524.13392930146358</v>
      </c>
      <c r="K74" s="8">
        <f>Table1[[#This Row],[Population]]/Table1[[#This Row],[Deaths]]</f>
        <v>9572.423096067696</v>
      </c>
      <c r="L74" s="9">
        <f>Table1[[#This Row],[Deaths]]+Table1[[#This Row],[Active]]*Table1[[#This Row],[Death Rate]]</f>
        <v>2676.6772505519066</v>
      </c>
      <c r="M74" s="10">
        <f>Table1[[#This Row],[Deaths]]/Table1[[#This Row],[Cases]]</f>
        <v>5.4754571965877193E-2</v>
      </c>
      <c r="N74" s="11">
        <f>Table1[[#This Row],[Cases]]/Table1[[#This Row],[Deaths]]</f>
        <v>18.263315082130415</v>
      </c>
      <c r="O74" s="12">
        <f>Table1[[#This Row],[Cases]]/Table1[[#This Row],[Population]]</f>
        <v>1.9079093035109253E-3</v>
      </c>
      <c r="P74" s="12">
        <f>Table1[[#This Row],[Deaths]]/Table1[[#This Row],[Population]]</f>
        <v>1.0446675726345559E-4</v>
      </c>
      <c r="Q74" s="13">
        <f>1-Table1[[#This Row],[Deaths]]/Table1[[#This Row],[Ex(Deaths)]]</f>
        <v>0.24944256929528486</v>
      </c>
      <c r="R74" s="14">
        <f>G74/D74</f>
        <v>0.33234308140961</v>
      </c>
      <c r="S74" s="12">
        <f>Table1[[#This Row],[Percent Infected]]*Table1[[#This Row],[% Active]]</f>
        <v>6.3408045697888374E-4</v>
      </c>
      <c r="T74" s="8">
        <f>1/Table1[[#This Row],[Percent Actively Infected]]</f>
        <v>1577.0869279973758</v>
      </c>
      <c r="AMC74"/>
    </row>
    <row r="75" spans="1:1017" s="1" customFormat="1" ht="16.5" thickBot="1" x14ac:dyDescent="0.3">
      <c r="A75" s="1">
        <v>76</v>
      </c>
      <c r="B75" s="52">
        <v>50</v>
      </c>
      <c r="C75" s="43" t="s">
        <v>145</v>
      </c>
      <c r="D75" s="48">
        <v>33809</v>
      </c>
      <c r="E75" s="48">
        <v>1443</v>
      </c>
      <c r="F75" s="48">
        <v>4989</v>
      </c>
      <c r="G75" s="48">
        <v>27377</v>
      </c>
      <c r="H75" s="49">
        <v>5</v>
      </c>
      <c r="I75" s="43">
        <v>17928764</v>
      </c>
      <c r="J75" s="8">
        <f>Table1[[#This Row],[Population]]/Table1[[#This Row],[Cases]]</f>
        <v>530.29560176284417</v>
      </c>
      <c r="K75" s="8">
        <f>Table1[[#This Row],[Population]]/Table1[[#This Row],[Deaths]]</f>
        <v>12424.645876645876</v>
      </c>
      <c r="L75" s="9">
        <f>Table1[[#This Row],[Deaths]]+Table1[[#This Row],[Active]]*Table1[[#This Row],[Death Rate]]</f>
        <v>2611.4761749829927</v>
      </c>
      <c r="M75" s="10">
        <f>Table1[[#This Row],[Deaths]]/Table1[[#This Row],[Cases]]</f>
        <v>4.2680942944186458E-2</v>
      </c>
      <c r="N75" s="11">
        <f>Table1[[#This Row],[Cases]]/Table1[[#This Row],[Deaths]]</f>
        <v>23.42966042966043</v>
      </c>
      <c r="O75" s="12">
        <f>Table1[[#This Row],[Cases]]/Table1[[#This Row],[Population]]</f>
        <v>1.8857407013668091E-3</v>
      </c>
      <c r="P75" s="12">
        <f>Table1[[#This Row],[Deaths]]/Table1[[#This Row],[Population]]</f>
        <v>8.0485191282566947E-5</v>
      </c>
      <c r="Q75" s="13">
        <f>1-Table1[[#This Row],[Deaths]]/Table1[[#This Row],[Ex(Deaths)]]</f>
        <v>0.4474389566240643</v>
      </c>
      <c r="R75" s="14">
        <f>G75/D75</f>
        <v>0.80975479901801295</v>
      </c>
      <c r="S75" s="12">
        <f>Table1[[#This Row],[Percent Infected]]*Table1[[#This Row],[% Active]]</f>
        <v>1.5269875826353673E-3</v>
      </c>
      <c r="T75" s="8">
        <f>1/Table1[[#This Row],[Percent Actively Infected]]</f>
        <v>654.88417284581953</v>
      </c>
      <c r="AMC75"/>
    </row>
    <row r="76" spans="1:1017" s="1" customFormat="1" ht="16.5" thickBot="1" x14ac:dyDescent="0.3">
      <c r="A76" s="1">
        <v>77</v>
      </c>
      <c r="B76" s="52">
        <v>187</v>
      </c>
      <c r="C76" s="43" t="s">
        <v>71</v>
      </c>
      <c r="D76" s="49">
        <v>79</v>
      </c>
      <c r="E76" s="49">
        <v>15</v>
      </c>
      <c r="F76" s="49">
        <v>63</v>
      </c>
      <c r="G76" s="49">
        <v>1</v>
      </c>
      <c r="H76" s="49"/>
      <c r="I76" s="43">
        <v>42897</v>
      </c>
      <c r="J76" s="8">
        <f>Table1[[#This Row],[Population]]/Table1[[#This Row],[Cases]]</f>
        <v>543</v>
      </c>
      <c r="K76" s="8">
        <f>Table1[[#This Row],[Population]]/Table1[[#This Row],[Deaths]]</f>
        <v>2859.8</v>
      </c>
      <c r="L76" s="9">
        <f>Table1[[#This Row],[Deaths]]+Table1[[#This Row],[Active]]*Table1[[#This Row],[Death Rate]]</f>
        <v>15.189873417721518</v>
      </c>
      <c r="M76" s="10">
        <f>Table1[[#This Row],[Deaths]]/Table1[[#This Row],[Cases]]</f>
        <v>0.189873417721519</v>
      </c>
      <c r="N76" s="11">
        <f>Table1[[#This Row],[Cases]]/Table1[[#This Row],[Deaths]]</f>
        <v>5.2666666666666666</v>
      </c>
      <c r="O76" s="12">
        <f>Table1[[#This Row],[Cases]]/Table1[[#This Row],[Population]]</f>
        <v>1.841620626151013E-3</v>
      </c>
      <c r="P76" s="12">
        <f>Table1[[#This Row],[Deaths]]/Table1[[#This Row],[Population]]</f>
        <v>3.496748024337366E-4</v>
      </c>
      <c r="Q76" s="13">
        <f>1-Table1[[#This Row],[Deaths]]/Table1[[#This Row],[Ex(Deaths)]]</f>
        <v>1.2499999999999956E-2</v>
      </c>
      <c r="R76" s="14">
        <f>G76/D76</f>
        <v>1.2658227848101266E-2</v>
      </c>
      <c r="S76" s="12">
        <f>Table1[[#This Row],[Percent Infected]]*Table1[[#This Row],[% Active]]</f>
        <v>2.3311653495582441E-5</v>
      </c>
      <c r="T76" s="8">
        <f>1/Table1[[#This Row],[Percent Actively Infected]]</f>
        <v>42897</v>
      </c>
      <c r="AMC76"/>
    </row>
    <row r="77" spans="1:1017" s="1" customFormat="1" ht="16.5" thickBot="1" x14ac:dyDescent="0.3">
      <c r="A77" s="1">
        <v>78</v>
      </c>
      <c r="B77" s="52">
        <v>71</v>
      </c>
      <c r="C77" s="43" t="s">
        <v>120</v>
      </c>
      <c r="D77" s="48">
        <v>11508</v>
      </c>
      <c r="E77" s="49">
        <v>324</v>
      </c>
      <c r="F77" s="48">
        <v>6560</v>
      </c>
      <c r="G77" s="48">
        <v>4624</v>
      </c>
      <c r="H77" s="49">
        <v>410</v>
      </c>
      <c r="I77" s="43">
        <v>6487729</v>
      </c>
      <c r="J77" s="8">
        <f>Table1[[#This Row],[Population]]/Table1[[#This Row],[Cases]]</f>
        <v>563.75816823079595</v>
      </c>
      <c r="K77" s="8">
        <f>Table1[[#This Row],[Population]]/Table1[[#This Row],[Deaths]]</f>
        <v>20023.854938271605</v>
      </c>
      <c r="L77" s="9">
        <f>Table1[[#This Row],[Deaths]]+Table1[[#This Row],[Active]]*Table1[[#This Row],[Death Rate]]</f>
        <v>454.18561001042752</v>
      </c>
      <c r="M77" s="10">
        <f>Table1[[#This Row],[Deaths]]/Table1[[#This Row],[Cases]]</f>
        <v>2.8154327424400417E-2</v>
      </c>
      <c r="N77" s="11">
        <f>Table1[[#This Row],[Cases]]/Table1[[#This Row],[Deaths]]</f>
        <v>35.518518518518519</v>
      </c>
      <c r="O77" s="12">
        <f>Table1[[#This Row],[Cases]]/Table1[[#This Row],[Population]]</f>
        <v>1.7738102192616245E-3</v>
      </c>
      <c r="P77" s="12">
        <f>Table1[[#This Row],[Deaths]]/Table1[[#This Row],[Population]]</f>
        <v>4.9940433701839273E-5</v>
      </c>
      <c r="Q77" s="13">
        <f>1-Table1[[#This Row],[Deaths]]/Table1[[#This Row],[Ex(Deaths)]]</f>
        <v>0.28663525911232335</v>
      </c>
      <c r="R77" s="14">
        <f>G77/D77</f>
        <v>0.40180743830378868</v>
      </c>
      <c r="S77" s="12">
        <f>Table1[[#This Row],[Percent Infected]]*Table1[[#This Row],[% Active]]</f>
        <v>7.12730140238595E-4</v>
      </c>
      <c r="T77" s="8">
        <f>1/Table1[[#This Row],[Percent Actively Infected]]</f>
        <v>1403.0555795847752</v>
      </c>
      <c r="AMC77"/>
    </row>
    <row r="78" spans="1:1017" s="1" customFormat="1" ht="16.5" thickBot="1" x14ac:dyDescent="0.3">
      <c r="A78" s="1">
        <v>79</v>
      </c>
      <c r="B78" s="52">
        <v>76</v>
      </c>
      <c r="C78" s="43" t="s">
        <v>75</v>
      </c>
      <c r="D78" s="48">
        <v>9028</v>
      </c>
      <c r="E78" s="49">
        <v>255</v>
      </c>
      <c r="F78" s="48">
        <v>8138</v>
      </c>
      <c r="G78" s="49">
        <v>635</v>
      </c>
      <c r="H78" s="49">
        <v>1</v>
      </c>
      <c r="I78" s="43">
        <v>5423157</v>
      </c>
      <c r="J78" s="8">
        <f>Table1[[#This Row],[Population]]/Table1[[#This Row],[Cases]]</f>
        <v>600.70414266725743</v>
      </c>
      <c r="K78" s="8">
        <f>Table1[[#This Row],[Population]]/Table1[[#This Row],[Deaths]]</f>
        <v>21267.282352941176</v>
      </c>
      <c r="L78" s="9">
        <f>Table1[[#This Row],[Deaths]]+Table1[[#This Row],[Active]]*Table1[[#This Row],[Death Rate]]</f>
        <v>272.9358661940629</v>
      </c>
      <c r="M78" s="10">
        <f>Table1[[#This Row],[Deaths]]/Table1[[#This Row],[Cases]]</f>
        <v>2.8245458573327425E-2</v>
      </c>
      <c r="N78" s="11">
        <f>Table1[[#This Row],[Cases]]/Table1[[#This Row],[Deaths]]</f>
        <v>35.403921568627453</v>
      </c>
      <c r="O78" s="12">
        <f>Table1[[#This Row],[Cases]]/Table1[[#This Row],[Population]]</f>
        <v>1.6647130075710514E-3</v>
      </c>
      <c r="P78" s="12">
        <f>Table1[[#This Row],[Deaths]]/Table1[[#This Row],[Population]]</f>
        <v>4.7020582291827434E-5</v>
      </c>
      <c r="Q78" s="13">
        <f>1-Table1[[#This Row],[Deaths]]/Table1[[#This Row],[Ex(Deaths)]]</f>
        <v>6.5714581392942062E-2</v>
      </c>
      <c r="R78" s="14">
        <f>G78/D78</f>
        <v>7.033673017279575E-2</v>
      </c>
      <c r="S78" s="12">
        <f>Table1[[#This Row],[Percent Infected]]*Table1[[#This Row],[% Active]]</f>
        <v>1.1709046962866833E-4</v>
      </c>
      <c r="T78" s="8">
        <f>1/Table1[[#This Row],[Percent Actively Infected]]</f>
        <v>8540.4047244094472</v>
      </c>
      <c r="AMC78"/>
    </row>
    <row r="79" spans="1:1017" s="1" customFormat="1" ht="16.5" thickBot="1" x14ac:dyDescent="0.3">
      <c r="A79" s="1">
        <v>80</v>
      </c>
      <c r="B79" s="52">
        <v>144</v>
      </c>
      <c r="C79" s="43" t="s">
        <v>206</v>
      </c>
      <c r="D79" s="49">
        <v>943</v>
      </c>
      <c r="E79" s="49">
        <v>19</v>
      </c>
      <c r="F79" s="49">
        <v>600</v>
      </c>
      <c r="G79" s="49">
        <v>324</v>
      </c>
      <c r="H79" s="49">
        <v>6</v>
      </c>
      <c r="I79" s="43">
        <v>586867</v>
      </c>
      <c r="J79" s="8">
        <f>Table1[[#This Row],[Population]]/Table1[[#This Row],[Cases]]</f>
        <v>622.34040296924707</v>
      </c>
      <c r="K79" s="8">
        <f>Table1[[#This Row],[Population]]/Table1[[#This Row],[Deaths]]</f>
        <v>30887.736842105263</v>
      </c>
      <c r="L79" s="9">
        <f>Table1[[#This Row],[Deaths]]+Table1[[#This Row],[Active]]*Table1[[#This Row],[Death Rate]]</f>
        <v>25.528101802757156</v>
      </c>
      <c r="M79" s="10">
        <f>Table1[[#This Row],[Deaths]]/Table1[[#This Row],[Cases]]</f>
        <v>2.0148462354188761E-2</v>
      </c>
      <c r="N79" s="11">
        <f>Table1[[#This Row],[Cases]]/Table1[[#This Row],[Deaths]]</f>
        <v>49.631578947368418</v>
      </c>
      <c r="O79" s="12">
        <f>Table1[[#This Row],[Cases]]/Table1[[#This Row],[Population]]</f>
        <v>1.6068376650927724E-3</v>
      </c>
      <c r="P79" s="12">
        <f>Table1[[#This Row],[Deaths]]/Table1[[#This Row],[Population]]</f>
        <v>3.2375308204414288E-5</v>
      </c>
      <c r="Q79" s="13">
        <f>1-Table1[[#This Row],[Deaths]]/Table1[[#This Row],[Ex(Deaths)]]</f>
        <v>0.25572217837411204</v>
      </c>
      <c r="R79" s="14">
        <f>G79/D79</f>
        <v>0.34358430540827145</v>
      </c>
      <c r="S79" s="12">
        <f>Table1[[#This Row],[Percent Infected]]*Table1[[#This Row],[% Active]]</f>
        <v>5.5208420306474893E-4</v>
      </c>
      <c r="T79" s="8">
        <f>1/Table1[[#This Row],[Percent Actively Infected]]</f>
        <v>1811.3179012345679</v>
      </c>
      <c r="AMC79"/>
    </row>
    <row r="80" spans="1:1017" s="1" customFormat="1" ht="16.5" thickBot="1" x14ac:dyDescent="0.3">
      <c r="A80" s="1">
        <v>81</v>
      </c>
      <c r="B80" s="52">
        <v>83</v>
      </c>
      <c r="C80" s="43" t="s">
        <v>177</v>
      </c>
      <c r="D80" s="48">
        <v>8200</v>
      </c>
      <c r="E80" s="49">
        <v>55</v>
      </c>
      <c r="F80" s="48">
        <v>1596</v>
      </c>
      <c r="G80" s="48">
        <v>6549</v>
      </c>
      <c r="H80" s="49"/>
      <c r="I80" s="43">
        <v>5105843</v>
      </c>
      <c r="J80" s="8">
        <f>Table1[[#This Row],[Population]]/Table1[[#This Row],[Cases]]</f>
        <v>622.66378048780484</v>
      </c>
      <c r="K80" s="8">
        <f>Table1[[#This Row],[Population]]/Table1[[#This Row],[Deaths]]</f>
        <v>92833.509090909094</v>
      </c>
      <c r="L80" s="9">
        <f>Table1[[#This Row],[Deaths]]+Table1[[#This Row],[Active]]*Table1[[#This Row],[Death Rate]]</f>
        <v>98.926219512195118</v>
      </c>
      <c r="M80" s="10">
        <f>Table1[[#This Row],[Deaths]]/Table1[[#This Row],[Cases]]</f>
        <v>6.7073170731707316E-3</v>
      </c>
      <c r="N80" s="11">
        <f>Table1[[#This Row],[Cases]]/Table1[[#This Row],[Deaths]]</f>
        <v>149.09090909090909</v>
      </c>
      <c r="O80" s="12">
        <f>Table1[[#This Row],[Cases]]/Table1[[#This Row],[Population]]</f>
        <v>1.6060031614759797E-3</v>
      </c>
      <c r="P80" s="12">
        <f>Table1[[#This Row],[Deaths]]/Table1[[#This Row],[Population]]</f>
        <v>1.0771972424534009E-5</v>
      </c>
      <c r="Q80" s="13">
        <f>1-Table1[[#This Row],[Deaths]]/Table1[[#This Row],[Ex(Deaths)]]</f>
        <v>0.4440301037358465</v>
      </c>
      <c r="R80" s="14">
        <f>G80/D80</f>
        <v>0.7986585365853659</v>
      </c>
      <c r="S80" s="12">
        <f>Table1[[#This Row],[Percent Infected]]*Table1[[#This Row],[% Active]]</f>
        <v>1.282648134695877E-3</v>
      </c>
      <c r="T80" s="8">
        <f>1/Table1[[#This Row],[Percent Actively Infected]]</f>
        <v>779.63704382348442</v>
      </c>
      <c r="AMC80"/>
    </row>
    <row r="81" spans="1:1017" s="1" customFormat="1" ht="16.5" thickBot="1" x14ac:dyDescent="0.3">
      <c r="A81" s="1">
        <v>82</v>
      </c>
      <c r="B81" s="52">
        <v>152</v>
      </c>
      <c r="C81" s="43" t="s">
        <v>77</v>
      </c>
      <c r="D81" s="49">
        <v>675</v>
      </c>
      <c r="E81" s="49">
        <v>9</v>
      </c>
      <c r="F81" s="49">
        <v>662</v>
      </c>
      <c r="G81" s="49">
        <v>4</v>
      </c>
      <c r="H81" s="49"/>
      <c r="I81" s="43">
        <v>441599</v>
      </c>
      <c r="J81" s="8">
        <f>Table1[[#This Row],[Population]]/Table1[[#This Row],[Cases]]</f>
        <v>654.22074074074078</v>
      </c>
      <c r="K81" s="8">
        <f>Table1[[#This Row],[Population]]/Table1[[#This Row],[Deaths]]</f>
        <v>49066.555555555555</v>
      </c>
      <c r="L81" s="9">
        <f>Table1[[#This Row],[Deaths]]+Table1[[#This Row],[Active]]*Table1[[#This Row],[Death Rate]]</f>
        <v>9.0533333333333328</v>
      </c>
      <c r="M81" s="10">
        <f>Table1[[#This Row],[Deaths]]/Table1[[#This Row],[Cases]]</f>
        <v>1.3333333333333334E-2</v>
      </c>
      <c r="N81" s="11">
        <f>Table1[[#This Row],[Cases]]/Table1[[#This Row],[Deaths]]</f>
        <v>75</v>
      </c>
      <c r="O81" s="12">
        <f>Table1[[#This Row],[Cases]]/Table1[[#This Row],[Population]]</f>
        <v>1.5285360700545065E-3</v>
      </c>
      <c r="P81" s="12">
        <f>Table1[[#This Row],[Deaths]]/Table1[[#This Row],[Population]]</f>
        <v>2.0380480934060085E-5</v>
      </c>
      <c r="Q81" s="13">
        <f>1-Table1[[#This Row],[Deaths]]/Table1[[#This Row],[Ex(Deaths)]]</f>
        <v>5.8910162002945299E-3</v>
      </c>
      <c r="R81" s="14">
        <f>G81/D81</f>
        <v>5.9259259259259256E-3</v>
      </c>
      <c r="S81" s="12">
        <f>Table1[[#This Row],[Percent Infected]]*Table1[[#This Row],[% Active]]</f>
        <v>9.0579915262489264E-6</v>
      </c>
      <c r="T81" s="8">
        <f>1/Table1[[#This Row],[Percent Actively Infected]]</f>
        <v>110399.75000000001</v>
      </c>
      <c r="AMC81"/>
    </row>
    <row r="82" spans="1:1017" s="1" customFormat="1" ht="16.5" thickBot="1" x14ac:dyDescent="0.3">
      <c r="A82" s="1">
        <v>83</v>
      </c>
      <c r="B82" s="52">
        <v>116</v>
      </c>
      <c r="C82" s="43" t="s">
        <v>78</v>
      </c>
      <c r="D82" s="48">
        <v>2021</v>
      </c>
      <c r="E82" s="49">
        <v>69</v>
      </c>
      <c r="F82" s="48">
        <v>1912</v>
      </c>
      <c r="G82" s="49">
        <v>40</v>
      </c>
      <c r="H82" s="49">
        <v>1</v>
      </c>
      <c r="I82" s="43">
        <v>1326578</v>
      </c>
      <c r="J82" s="8">
        <f>Table1[[#This Row],[Population]]/Table1[[#This Row],[Cases]]</f>
        <v>656.39683325086594</v>
      </c>
      <c r="K82" s="8">
        <f>Table1[[#This Row],[Population]]/Table1[[#This Row],[Deaths]]</f>
        <v>19225.768115942028</v>
      </c>
      <c r="L82" s="9">
        <f>Table1[[#This Row],[Deaths]]+Table1[[#This Row],[Active]]*Table1[[#This Row],[Death Rate]]</f>
        <v>70.365660564077189</v>
      </c>
      <c r="M82" s="10">
        <f>Table1[[#This Row],[Deaths]]/Table1[[#This Row],[Cases]]</f>
        <v>3.414151410192974E-2</v>
      </c>
      <c r="N82" s="11">
        <f>Table1[[#This Row],[Cases]]/Table1[[#This Row],[Deaths]]</f>
        <v>29.289855072463769</v>
      </c>
      <c r="O82" s="12">
        <f>Table1[[#This Row],[Cases]]/Table1[[#This Row],[Population]]</f>
        <v>1.5234686539351626E-3</v>
      </c>
      <c r="P82" s="12">
        <f>Table1[[#This Row],[Deaths]]/Table1[[#This Row],[Population]]</f>
        <v>5.2013526532175267E-5</v>
      </c>
      <c r="Q82" s="13">
        <f>1-Table1[[#This Row],[Deaths]]/Table1[[#This Row],[Ex(Deaths)]]</f>
        <v>1.9408054342552106E-2</v>
      </c>
      <c r="R82" s="14">
        <f>G82/D82</f>
        <v>1.9792182088075209E-2</v>
      </c>
      <c r="S82" s="12">
        <f>Table1[[#This Row],[Percent Infected]]*Table1[[#This Row],[% Active]]</f>
        <v>3.0152769004159574E-5</v>
      </c>
      <c r="T82" s="8">
        <f>1/Table1[[#This Row],[Percent Actively Infected]]</f>
        <v>33164.449999999997</v>
      </c>
      <c r="AMC82"/>
    </row>
    <row r="83" spans="1:1017" s="1" customFormat="1" ht="16.5" thickBot="1" x14ac:dyDescent="0.3">
      <c r="A83" s="1">
        <v>84</v>
      </c>
      <c r="B83" s="52">
        <v>126</v>
      </c>
      <c r="C83" s="43" t="s">
        <v>140</v>
      </c>
      <c r="D83" s="48">
        <v>1619</v>
      </c>
      <c r="E83" s="49">
        <v>21</v>
      </c>
      <c r="F83" s="49">
        <v>769</v>
      </c>
      <c r="G83" s="49">
        <v>829</v>
      </c>
      <c r="H83" s="49">
        <v>5</v>
      </c>
      <c r="I83" s="43">
        <v>1160692</v>
      </c>
      <c r="J83" s="8">
        <f>Table1[[#This Row],[Population]]/Table1[[#This Row],[Cases]]</f>
        <v>716.91908585546639</v>
      </c>
      <c r="K83" s="8">
        <f>Table1[[#This Row],[Population]]/Table1[[#This Row],[Deaths]]</f>
        <v>55271.047619047618</v>
      </c>
      <c r="L83" s="9">
        <f>Table1[[#This Row],[Deaths]]+Table1[[#This Row],[Active]]*Table1[[#This Row],[Death Rate]]</f>
        <v>31.752933909820875</v>
      </c>
      <c r="M83" s="10">
        <f>Table1[[#This Row],[Deaths]]/Table1[[#This Row],[Cases]]</f>
        <v>1.2970969734403953E-2</v>
      </c>
      <c r="N83" s="11">
        <f>Table1[[#This Row],[Cases]]/Table1[[#This Row],[Deaths]]</f>
        <v>77.095238095238102</v>
      </c>
      <c r="O83" s="12">
        <f>Table1[[#This Row],[Cases]]/Table1[[#This Row],[Population]]</f>
        <v>1.3948575504957388E-3</v>
      </c>
      <c r="P83" s="12">
        <f>Table1[[#This Row],[Deaths]]/Table1[[#This Row],[Population]]</f>
        <v>1.809265507128506E-5</v>
      </c>
      <c r="Q83" s="13">
        <f>1-Table1[[#This Row],[Deaths]]/Table1[[#This Row],[Ex(Deaths)]]</f>
        <v>0.33864379084967311</v>
      </c>
      <c r="R83" s="14">
        <f>G83/D83</f>
        <v>0.51204447189623226</v>
      </c>
      <c r="S83" s="12">
        <f>Table1[[#This Row],[Percent Infected]]*Table1[[#This Row],[% Active]]</f>
        <v>7.1422909781406266E-4</v>
      </c>
      <c r="T83" s="8">
        <f>1/Table1[[#This Row],[Percent Actively Infected]]</f>
        <v>1400.1109770808202</v>
      </c>
      <c r="AMC83"/>
    </row>
    <row r="84" spans="1:1017" s="1" customFormat="1" ht="16.5" thickBot="1" x14ac:dyDescent="0.3">
      <c r="A84" s="1">
        <v>85</v>
      </c>
      <c r="B84" s="52">
        <v>99</v>
      </c>
      <c r="C84" s="43" t="s">
        <v>114</v>
      </c>
      <c r="D84" s="48">
        <v>3906</v>
      </c>
      <c r="E84" s="49">
        <v>107</v>
      </c>
      <c r="F84" s="48">
        <v>2214</v>
      </c>
      <c r="G84" s="48">
        <v>1585</v>
      </c>
      <c r="H84" s="49">
        <v>9</v>
      </c>
      <c r="I84" s="43">
        <v>2877641</v>
      </c>
      <c r="J84" s="8">
        <f>Table1[[#This Row],[Population]]/Table1[[#This Row],[Cases]]</f>
        <v>736.72324628776244</v>
      </c>
      <c r="K84" s="8">
        <f>Table1[[#This Row],[Population]]/Table1[[#This Row],[Deaths]]</f>
        <v>26893.841121495327</v>
      </c>
      <c r="L84" s="9">
        <f>Table1[[#This Row],[Deaths]]+Table1[[#This Row],[Active]]*Table1[[#This Row],[Death Rate]]</f>
        <v>150.41909882232463</v>
      </c>
      <c r="M84" s="10">
        <f>Table1[[#This Row],[Deaths]]/Table1[[#This Row],[Cases]]</f>
        <v>2.7393753200204814E-2</v>
      </c>
      <c r="N84" s="11">
        <f>Table1[[#This Row],[Cases]]/Table1[[#This Row],[Deaths]]</f>
        <v>36.504672897196265</v>
      </c>
      <c r="O84" s="12">
        <f>Table1[[#This Row],[Cases]]/Table1[[#This Row],[Population]]</f>
        <v>1.3573618112891774E-3</v>
      </c>
      <c r="P84" s="12">
        <f>Table1[[#This Row],[Deaths]]/Table1[[#This Row],[Population]]</f>
        <v>3.718323446183871E-5</v>
      </c>
      <c r="Q84" s="17">
        <f>1-Table1[[#This Row],[Deaths]]/Table1[[#This Row],[Ex(Deaths)]]</f>
        <v>0.28865416135494448</v>
      </c>
      <c r="R84" s="14">
        <f>G84/D84</f>
        <v>0.40578597030209934</v>
      </c>
      <c r="S84" s="12">
        <f>Table1[[#This Row],[Percent Infected]]*Table1[[#This Row],[% Active]]</f>
        <v>5.5079837964499396E-4</v>
      </c>
      <c r="T84" s="8">
        <f>1/Table1[[#This Row],[Percent Actively Infected]]</f>
        <v>1815.5463722397476</v>
      </c>
      <c r="AMC84"/>
    </row>
    <row r="85" spans="1:1017" s="1" customFormat="1" ht="16.5" thickBot="1" x14ac:dyDescent="0.3">
      <c r="A85" s="1">
        <v>86</v>
      </c>
      <c r="B85" s="52">
        <v>35</v>
      </c>
      <c r="C85" s="43" t="s">
        <v>105</v>
      </c>
      <c r="D85" s="48">
        <v>58111</v>
      </c>
      <c r="E85" s="48">
        <v>1477</v>
      </c>
      <c r="F85" s="48">
        <v>30525</v>
      </c>
      <c r="G85" s="48">
        <v>26109</v>
      </c>
      <c r="H85" s="49">
        <v>96</v>
      </c>
      <c r="I85" s="43">
        <v>43720140</v>
      </c>
      <c r="J85" s="8">
        <f>Table1[[#This Row],[Population]]/Table1[[#This Row],[Cases]]</f>
        <v>752.35566415996971</v>
      </c>
      <c r="K85" s="8">
        <f>Table1[[#This Row],[Population]]/Table1[[#This Row],[Deaths]]</f>
        <v>29600.636425186189</v>
      </c>
      <c r="L85" s="9">
        <f>Table1[[#This Row],[Deaths]]+Table1[[#This Row],[Active]]*Table1[[#This Row],[Death Rate]]</f>
        <v>2140.6091789850461</v>
      </c>
      <c r="M85" s="10">
        <f>Table1[[#This Row],[Deaths]]/Table1[[#This Row],[Cases]]</f>
        <v>2.541687460205469E-2</v>
      </c>
      <c r="N85" s="11">
        <f>Table1[[#This Row],[Cases]]/Table1[[#This Row],[Deaths]]</f>
        <v>39.343940419769801</v>
      </c>
      <c r="O85" s="12">
        <f>Table1[[#This Row],[Cases]]/Table1[[#This Row],[Population]]</f>
        <v>1.3291585983027502E-3</v>
      </c>
      <c r="P85" s="12">
        <f>Table1[[#This Row],[Deaths]]/Table1[[#This Row],[Population]]</f>
        <v>3.378305741930378E-5</v>
      </c>
      <c r="Q85" s="13">
        <f>1-Table1[[#This Row],[Deaths]]/Table1[[#This Row],[Ex(Deaths)]]</f>
        <v>0.31000949893137031</v>
      </c>
      <c r="R85" s="14">
        <f>G85/D85</f>
        <v>0.44929531414017998</v>
      </c>
      <c r="S85" s="12">
        <f>Table1[[#This Row],[Percent Infected]]*Table1[[#This Row],[% Active]]</f>
        <v>5.9718472996655547E-4</v>
      </c>
      <c r="T85" s="8">
        <f>1/Table1[[#This Row],[Percent Actively Infected]]</f>
        <v>1674.5237274503045</v>
      </c>
      <c r="AMC85"/>
    </row>
    <row r="86" spans="1:1017" s="1" customFormat="1" ht="16.5" thickBot="1" x14ac:dyDescent="0.3">
      <c r="A86" s="1">
        <v>87</v>
      </c>
      <c r="B86" s="52">
        <v>85</v>
      </c>
      <c r="C86" s="43" t="s">
        <v>81</v>
      </c>
      <c r="D86" s="48">
        <v>7318</v>
      </c>
      <c r="E86" s="49">
        <v>328</v>
      </c>
      <c r="F86" s="48">
        <v>6880</v>
      </c>
      <c r="G86" s="49">
        <v>110</v>
      </c>
      <c r="H86" s="49">
        <v>1</v>
      </c>
      <c r="I86" s="43">
        <v>5541135</v>
      </c>
      <c r="J86" s="8">
        <f>Table1[[#This Row],[Population]]/Table1[[#This Row],[Cases]]</f>
        <v>757.19253894506699</v>
      </c>
      <c r="K86" s="8">
        <f>Table1[[#This Row],[Population]]/Table1[[#This Row],[Deaths]]</f>
        <v>16893.704268292684</v>
      </c>
      <c r="L86" s="9">
        <f>Table1[[#This Row],[Deaths]]+Table1[[#This Row],[Active]]*Table1[[#This Row],[Death Rate]]</f>
        <v>332.93030882754852</v>
      </c>
      <c r="M86" s="10">
        <f>Table1[[#This Row],[Deaths]]/Table1[[#This Row],[Cases]]</f>
        <v>4.4820989341350093E-2</v>
      </c>
      <c r="N86" s="11">
        <f>Table1[[#This Row],[Cases]]/Table1[[#This Row],[Deaths]]</f>
        <v>22.310975609756099</v>
      </c>
      <c r="O86" s="12">
        <f>Table1[[#This Row],[Cases]]/Table1[[#This Row],[Population]]</f>
        <v>1.3206680580783541E-3</v>
      </c>
      <c r="P86" s="12">
        <f>Table1[[#This Row],[Deaths]]/Table1[[#This Row],[Population]]</f>
        <v>5.9193648954591434E-5</v>
      </c>
      <c r="Q86" s="13">
        <f>1-Table1[[#This Row],[Deaths]]/Table1[[#This Row],[Ex(Deaths)]]</f>
        <v>1.4808831448573034E-2</v>
      </c>
      <c r="R86" s="14">
        <f>G86/D86</f>
        <v>1.5031429352282044E-2</v>
      </c>
      <c r="S86" s="12">
        <f>Table1[[#This Row],[Percent Infected]]*Table1[[#This Row],[% Active]]</f>
        <v>1.9851528612820299E-5</v>
      </c>
      <c r="T86" s="8">
        <f>1/Table1[[#This Row],[Percent Actively Infected]]</f>
        <v>50373.954545454544</v>
      </c>
      <c r="AMC86"/>
    </row>
    <row r="87" spans="1:1017" s="1" customFormat="1" ht="16.5" thickBot="1" x14ac:dyDescent="0.3">
      <c r="A87" s="1">
        <v>88</v>
      </c>
      <c r="B87" s="52">
        <v>65</v>
      </c>
      <c r="C87" s="43" t="s">
        <v>89</v>
      </c>
      <c r="D87" s="48">
        <v>13742</v>
      </c>
      <c r="E87" s="49">
        <v>358</v>
      </c>
      <c r="F87" s="48">
        <v>8725</v>
      </c>
      <c r="G87" s="48">
        <v>4659</v>
      </c>
      <c r="H87" s="49">
        <v>18</v>
      </c>
      <c r="I87" s="43">
        <v>10709937</v>
      </c>
      <c r="J87" s="8">
        <f>Table1[[#This Row],[Population]]/Table1[[#This Row],[Cases]]</f>
        <v>779.35795371852714</v>
      </c>
      <c r="K87" s="8">
        <f>Table1[[#This Row],[Population]]/Table1[[#This Row],[Deaths]]</f>
        <v>29916.025139664805</v>
      </c>
      <c r="L87" s="9">
        <f>Table1[[#This Row],[Deaths]]+Table1[[#This Row],[Active]]*Table1[[#This Row],[Death Rate]]</f>
        <v>479.37403580264879</v>
      </c>
      <c r="M87" s="10">
        <f>Table1[[#This Row],[Deaths]]/Table1[[#This Row],[Cases]]</f>
        <v>2.6051520884878474E-2</v>
      </c>
      <c r="N87" s="11">
        <f>Table1[[#This Row],[Cases]]/Table1[[#This Row],[Deaths]]</f>
        <v>38.385474860335194</v>
      </c>
      <c r="O87" s="12">
        <f>Table1[[#This Row],[Cases]]/Table1[[#This Row],[Population]]</f>
        <v>1.2831074543202261E-3</v>
      </c>
      <c r="P87" s="12">
        <f>Table1[[#This Row],[Deaths]]/Table1[[#This Row],[Population]]</f>
        <v>3.3426900643766626E-5</v>
      </c>
      <c r="Q87" s="13">
        <f>1-Table1[[#This Row],[Deaths]]/Table1[[#This Row],[Ex(Deaths)]]</f>
        <v>0.25319276126297485</v>
      </c>
      <c r="R87" s="14">
        <f>G87/D87</f>
        <v>0.33903361956047157</v>
      </c>
      <c r="S87" s="12">
        <f>Table1[[#This Row],[Percent Infected]]*Table1[[#This Row],[% Active]]</f>
        <v>4.3501656452320871E-4</v>
      </c>
      <c r="T87" s="8">
        <f>1/Table1[[#This Row],[Percent Actively Infected]]</f>
        <v>2298.7630392788151</v>
      </c>
      <c r="AMC87"/>
    </row>
    <row r="88" spans="1:1017" s="1" customFormat="1" ht="16.5" thickBot="1" x14ac:dyDescent="0.3">
      <c r="A88" s="1">
        <v>89</v>
      </c>
      <c r="B88" s="52">
        <v>92</v>
      </c>
      <c r="C88" s="43" t="s">
        <v>186</v>
      </c>
      <c r="D88" s="48">
        <v>5710</v>
      </c>
      <c r="E88" s="49">
        <v>151</v>
      </c>
      <c r="F88" s="48">
        <v>3153</v>
      </c>
      <c r="G88" s="48">
        <v>2406</v>
      </c>
      <c r="H88" s="49">
        <v>7</v>
      </c>
      <c r="I88" s="43">
        <v>4654026</v>
      </c>
      <c r="J88" s="8">
        <f>Table1[[#This Row],[Population]]/Table1[[#This Row],[Cases]]</f>
        <v>815.06584938704032</v>
      </c>
      <c r="K88" s="8">
        <f>Table1[[#This Row],[Population]]/Table1[[#This Row],[Deaths]]</f>
        <v>30821.364238410595</v>
      </c>
      <c r="L88" s="9">
        <f>Table1[[#This Row],[Deaths]]+Table1[[#This Row],[Active]]*Table1[[#This Row],[Death Rate]]</f>
        <v>214.62626970227672</v>
      </c>
      <c r="M88" s="10">
        <f>Table1[[#This Row],[Deaths]]/Table1[[#This Row],[Cases]]</f>
        <v>2.6444833625218916E-2</v>
      </c>
      <c r="N88" s="11">
        <f>Table1[[#This Row],[Cases]]/Table1[[#This Row],[Deaths]]</f>
        <v>37.814569536423839</v>
      </c>
      <c r="O88" s="12">
        <f>Table1[[#This Row],[Cases]]/Table1[[#This Row],[Population]]</f>
        <v>1.2268947358695461E-3</v>
      </c>
      <c r="P88" s="12">
        <f>Table1[[#This Row],[Deaths]]/Table1[[#This Row],[Population]]</f>
        <v>3.244502716572705E-5</v>
      </c>
      <c r="Q88" s="13">
        <f>1-Table1[[#This Row],[Deaths]]/Table1[[#This Row],[Ex(Deaths)]]</f>
        <v>0.29645145391818628</v>
      </c>
      <c r="R88" s="14">
        <f>G88/D88</f>
        <v>0.42136602451838878</v>
      </c>
      <c r="S88" s="12">
        <f>Table1[[#This Row],[Percent Infected]]*Table1[[#This Row],[% Active]]</f>
        <v>5.1697175735588934E-4</v>
      </c>
      <c r="T88" s="8">
        <f>1/Table1[[#This Row],[Percent Actively Infected]]</f>
        <v>1934.3416458852867</v>
      </c>
      <c r="AMC88"/>
    </row>
    <row r="89" spans="1:1017" s="1" customFormat="1" ht="16.5" thickBot="1" x14ac:dyDescent="0.3">
      <c r="A89" s="1">
        <v>90</v>
      </c>
      <c r="B89" s="52">
        <v>17</v>
      </c>
      <c r="C89" s="43" t="s">
        <v>139</v>
      </c>
      <c r="D89" s="48">
        <v>202066</v>
      </c>
      <c r="E89" s="48">
        <v>2581</v>
      </c>
      <c r="F89" s="48">
        <v>110098</v>
      </c>
      <c r="G89" s="48">
        <v>89387</v>
      </c>
      <c r="H89" s="49">
        <v>1</v>
      </c>
      <c r="I89" s="43">
        <v>164761811</v>
      </c>
      <c r="J89" s="8">
        <f>Table1[[#This Row],[Population]]/Table1[[#This Row],[Cases]]</f>
        <v>815.38611641740818</v>
      </c>
      <c r="K89" s="8">
        <f>Table1[[#This Row],[Population]]/Table1[[#This Row],[Deaths]]</f>
        <v>63836.424254165053</v>
      </c>
      <c r="L89" s="9">
        <f>Table1[[#This Row],[Deaths]]+Table1[[#This Row],[Active]]*Table1[[#This Row],[Death Rate]]</f>
        <v>3722.7450090564471</v>
      </c>
      <c r="M89" s="10">
        <f>Table1[[#This Row],[Deaths]]/Table1[[#This Row],[Cases]]</f>
        <v>1.2773054348579177E-2</v>
      </c>
      <c r="N89" s="11">
        <f>Table1[[#This Row],[Cases]]/Table1[[#This Row],[Deaths]]</f>
        <v>78.28981015110422</v>
      </c>
      <c r="O89" s="12">
        <f>Table1[[#This Row],[Cases]]/Table1[[#This Row],[Population]]</f>
        <v>1.2264128366493859E-3</v>
      </c>
      <c r="P89" s="12">
        <f>Table1[[#This Row],[Deaths]]/Table1[[#This Row],[Population]]</f>
        <v>1.5665037816317762E-5</v>
      </c>
      <c r="Q89" s="13">
        <f>1-Table1[[#This Row],[Deaths]]/Table1[[#This Row],[Ex(Deaths)]]</f>
        <v>0.30669438983300912</v>
      </c>
      <c r="R89" s="14">
        <f>G89/D89</f>
        <v>0.44236536577157959</v>
      </c>
      <c r="S89" s="12">
        <f>Table1[[#This Row],[Percent Infected]]*Table1[[#This Row],[% Active]]</f>
        <v>5.4252256307136604E-4</v>
      </c>
      <c r="T89" s="8">
        <f>1/Table1[[#This Row],[Percent Actively Infected]]</f>
        <v>1843.2413102576438</v>
      </c>
      <c r="AMC89"/>
    </row>
    <row r="90" spans="1:1017" s="1" customFormat="1" ht="16.5" thickBot="1" x14ac:dyDescent="0.3">
      <c r="A90" s="1">
        <v>91</v>
      </c>
      <c r="B90" s="52">
        <v>81</v>
      </c>
      <c r="C90" s="43" t="s">
        <v>113</v>
      </c>
      <c r="D90" s="48">
        <v>8442</v>
      </c>
      <c r="E90" s="49">
        <v>297</v>
      </c>
      <c r="F90" s="48">
        <v>4033</v>
      </c>
      <c r="G90" s="48">
        <v>4112</v>
      </c>
      <c r="H90" s="49">
        <v>33</v>
      </c>
      <c r="I90" s="43">
        <v>6945696</v>
      </c>
      <c r="J90" s="8">
        <f>Table1[[#This Row],[Population]]/Table1[[#This Row],[Cases]]</f>
        <v>822.75479744136464</v>
      </c>
      <c r="K90" s="8">
        <f>Table1[[#This Row],[Population]]/Table1[[#This Row],[Deaths]]</f>
        <v>23386.18181818182</v>
      </c>
      <c r="L90" s="9">
        <f>Table1[[#This Row],[Deaths]]+Table1[[#This Row],[Active]]*Table1[[#This Row],[Death Rate]]</f>
        <v>441.66524520255859</v>
      </c>
      <c r="M90" s="10">
        <f>Table1[[#This Row],[Deaths]]/Table1[[#This Row],[Cases]]</f>
        <v>3.5181236673773986E-2</v>
      </c>
      <c r="N90" s="11">
        <f>Table1[[#This Row],[Cases]]/Table1[[#This Row],[Deaths]]</f>
        <v>28.424242424242426</v>
      </c>
      <c r="O90" s="12">
        <f>Table1[[#This Row],[Cases]]/Table1[[#This Row],[Population]]</f>
        <v>1.2154289505328191E-3</v>
      </c>
      <c r="P90" s="12">
        <f>Table1[[#This Row],[Deaths]]/Table1[[#This Row],[Population]]</f>
        <v>4.2760293568851849E-5</v>
      </c>
      <c r="Q90" s="13">
        <f>1-Table1[[#This Row],[Deaths]]/Table1[[#This Row],[Ex(Deaths)]]</f>
        <v>0.32754500557591204</v>
      </c>
      <c r="R90" s="14">
        <f>G90/D90</f>
        <v>0.48708836768538261</v>
      </c>
      <c r="S90" s="12">
        <f>Table1[[#This Row],[Percent Infected]]*Table1[[#This Row],[% Active]]</f>
        <v>5.9202130355258853E-4</v>
      </c>
      <c r="T90" s="8">
        <f>1/Table1[[#This Row],[Percent Actively Infected]]</f>
        <v>1689.1284046692608</v>
      </c>
      <c r="AMC90"/>
    </row>
    <row r="91" spans="1:1017" s="1" customFormat="1" ht="16.5" thickBot="1" x14ac:dyDescent="0.3">
      <c r="A91" s="1">
        <v>92</v>
      </c>
      <c r="B91" s="52">
        <v>191</v>
      </c>
      <c r="C91" s="43" t="s">
        <v>84</v>
      </c>
      <c r="D91" s="49">
        <v>46</v>
      </c>
      <c r="E91" s="49">
        <v>3</v>
      </c>
      <c r="F91" s="49">
        <v>39</v>
      </c>
      <c r="G91" s="49">
        <v>4</v>
      </c>
      <c r="H91" s="49">
        <v>1</v>
      </c>
      <c r="I91" s="43">
        <v>38693</v>
      </c>
      <c r="J91" s="8">
        <f>Table1[[#This Row],[Population]]/Table1[[#This Row],[Cases]]</f>
        <v>841.1521739130435</v>
      </c>
      <c r="K91" s="8">
        <f>Table1[[#This Row],[Population]]/Table1[[#This Row],[Deaths]]</f>
        <v>12897.666666666666</v>
      </c>
      <c r="L91" s="9">
        <f>Table1[[#This Row],[Deaths]]+Table1[[#This Row],[Active]]*Table1[[#This Row],[Death Rate]]</f>
        <v>3.2608695652173911</v>
      </c>
      <c r="M91" s="10">
        <f>Table1[[#This Row],[Deaths]]/Table1[[#This Row],[Cases]]</f>
        <v>6.5217391304347824E-2</v>
      </c>
      <c r="N91" s="11">
        <f>Table1[[#This Row],[Cases]]/Table1[[#This Row],[Deaths]]</f>
        <v>15.333333333333334</v>
      </c>
      <c r="O91" s="12">
        <f>Table1[[#This Row],[Cases]]/Table1[[#This Row],[Population]]</f>
        <v>1.188845527614814E-3</v>
      </c>
      <c r="P91" s="12">
        <f>Table1[[#This Row],[Deaths]]/Table1[[#This Row],[Population]]</f>
        <v>7.7533403974879174E-5</v>
      </c>
      <c r="Q91" s="13">
        <f>1-Table1[[#This Row],[Deaths]]/Table1[[#This Row],[Ex(Deaths)]]</f>
        <v>7.999999999999996E-2</v>
      </c>
      <c r="R91" s="14">
        <f>G91/D91</f>
        <v>8.6956521739130432E-2</v>
      </c>
      <c r="S91" s="12">
        <f>Table1[[#This Row],[Percent Infected]]*Table1[[#This Row],[% Active]]</f>
        <v>1.0337787196650556E-4</v>
      </c>
      <c r="T91" s="8">
        <f>1/Table1[[#This Row],[Percent Actively Infected]]</f>
        <v>9673.25</v>
      </c>
      <c r="AMC91"/>
    </row>
    <row r="92" spans="1:1017" s="1" customFormat="1" ht="16.5" thickBot="1" x14ac:dyDescent="0.3">
      <c r="A92" s="1">
        <v>93</v>
      </c>
      <c r="B92" s="52">
        <v>12</v>
      </c>
      <c r="C92" s="43" t="s">
        <v>129</v>
      </c>
      <c r="D92" s="48">
        <v>261916</v>
      </c>
      <c r="E92" s="48">
        <v>5522</v>
      </c>
      <c r="F92" s="48">
        <v>198509</v>
      </c>
      <c r="G92" s="48">
        <v>57885</v>
      </c>
      <c r="H92" s="48">
        <v>1604</v>
      </c>
      <c r="I92" s="43">
        <v>221061085</v>
      </c>
      <c r="J92" s="8">
        <f>Table1[[#This Row],[Population]]/Table1[[#This Row],[Cases]]</f>
        <v>844.01519952962019</v>
      </c>
      <c r="K92" s="8">
        <f>Table1[[#This Row],[Population]]/Table1[[#This Row],[Deaths]]</f>
        <v>40032.793371966676</v>
      </c>
      <c r="L92" s="9">
        <f>Table1[[#This Row],[Deaths]]+Table1[[#This Row],[Active]]*Table1[[#This Row],[Death Rate]]</f>
        <v>6742.3949739611171</v>
      </c>
      <c r="M92" s="10">
        <f>Table1[[#This Row],[Deaths]]/Table1[[#This Row],[Cases]]</f>
        <v>2.1083095343545258E-2</v>
      </c>
      <c r="N92" s="11">
        <f>Table1[[#This Row],[Cases]]/Table1[[#This Row],[Deaths]]</f>
        <v>47.431365447301701</v>
      </c>
      <c r="O92" s="12">
        <f>Table1[[#This Row],[Cases]]/Table1[[#This Row],[Population]]</f>
        <v>1.1848127860224697E-3</v>
      </c>
      <c r="P92" s="12">
        <f>Table1[[#This Row],[Deaths]]/Table1[[#This Row],[Population]]</f>
        <v>2.4979520931963218E-5</v>
      </c>
      <c r="Q92" s="13">
        <f>1-Table1[[#This Row],[Deaths]]/Table1[[#This Row],[Ex(Deaths)]]</f>
        <v>0.18100318635651547</v>
      </c>
      <c r="R92" s="14">
        <f>G92/D92</f>
        <v>0.22100597138013714</v>
      </c>
      <c r="S92" s="12">
        <f>Table1[[#This Row],[Percent Infected]]*Table1[[#This Row],[% Active]]</f>
        <v>2.6185070067850246E-4</v>
      </c>
      <c r="T92" s="8">
        <f>1/Table1[[#This Row],[Percent Actively Infected]]</f>
        <v>3818.9701131553948</v>
      </c>
      <c r="AMC92"/>
    </row>
    <row r="93" spans="1:1017" s="1" customFormat="1" ht="16.5" thickBot="1" x14ac:dyDescent="0.3">
      <c r="A93" s="1">
        <v>94</v>
      </c>
      <c r="B93" s="52">
        <v>182</v>
      </c>
      <c r="C93" s="43" t="s">
        <v>162</v>
      </c>
      <c r="D93" s="49">
        <v>108</v>
      </c>
      <c r="E93" s="49"/>
      <c r="F93" s="49">
        <v>27</v>
      </c>
      <c r="G93" s="49">
        <v>81</v>
      </c>
      <c r="H93" s="49"/>
      <c r="I93" s="43">
        <v>98375</v>
      </c>
      <c r="J93" s="8">
        <f>Table1[[#This Row],[Population]]/Table1[[#This Row],[Cases]]</f>
        <v>910.87962962962968</v>
      </c>
      <c r="K93" s="8" t="e">
        <f>Table1[[#This Row],[Population]]/Table1[[#This Row],[Deaths]]</f>
        <v>#DIV/0!</v>
      </c>
      <c r="L93" s="9">
        <f>Table1[[#This Row],[Deaths]]+Table1[[#This Row],[Active]]*Table1[[#This Row],[Death Rate]]</f>
        <v>0</v>
      </c>
      <c r="M93" s="10">
        <f>Table1[[#This Row],[Deaths]]/Table1[[#This Row],[Cases]]</f>
        <v>0</v>
      </c>
      <c r="N93" s="11" t="e">
        <f>Table1[[#This Row],[Cases]]/Table1[[#This Row],[Deaths]]</f>
        <v>#DIV/0!</v>
      </c>
      <c r="O93" s="12">
        <f>Table1[[#This Row],[Cases]]/Table1[[#This Row],[Population]]</f>
        <v>1.0978398983481576E-3</v>
      </c>
      <c r="P93" s="12">
        <f>Table1[[#This Row],[Deaths]]/Table1[[#This Row],[Population]]</f>
        <v>0</v>
      </c>
      <c r="Q93" s="13" t="e">
        <f>1-Table1[[#This Row],[Deaths]]/Table1[[#This Row],[Ex(Deaths)]]</f>
        <v>#DIV/0!</v>
      </c>
      <c r="R93" s="14">
        <f>G93/D93</f>
        <v>0.75</v>
      </c>
      <c r="S93" s="12">
        <f>Table1[[#This Row],[Percent Infected]]*Table1[[#This Row],[% Active]]</f>
        <v>8.2337992376111811E-4</v>
      </c>
      <c r="T93" s="8">
        <f>1/Table1[[#This Row],[Percent Actively Infected]]</f>
        <v>1214.5061728395062</v>
      </c>
      <c r="AMC93"/>
    </row>
    <row r="94" spans="1:1017" s="1" customFormat="1" ht="16.5" thickBot="1" x14ac:dyDescent="0.3">
      <c r="A94" s="1">
        <v>95</v>
      </c>
      <c r="B94" s="52">
        <v>44</v>
      </c>
      <c r="C94" s="43" t="s">
        <v>97</v>
      </c>
      <c r="D94" s="48">
        <v>39746</v>
      </c>
      <c r="E94" s="48">
        <v>1618</v>
      </c>
      <c r="F94" s="48">
        <v>29924</v>
      </c>
      <c r="G94" s="48">
        <v>8204</v>
      </c>
      <c r="H94" s="49">
        <v>66</v>
      </c>
      <c r="I94" s="43">
        <v>37844558</v>
      </c>
      <c r="J94" s="8">
        <f>Table1[[#This Row],[Population]]/Table1[[#This Row],[Cases]]</f>
        <v>952.16016706083633</v>
      </c>
      <c r="K94" s="8">
        <f>Table1[[#This Row],[Population]]/Table1[[#This Row],[Deaths]]</f>
        <v>23389.714462299136</v>
      </c>
      <c r="L94" s="9">
        <f>Table1[[#This Row],[Deaths]]+Table1[[#This Row],[Active]]*Table1[[#This Row],[Death Rate]]</f>
        <v>1951.9725255371609</v>
      </c>
      <c r="M94" s="10">
        <f>Table1[[#This Row],[Deaths]]/Table1[[#This Row],[Cases]]</f>
        <v>4.0708498968449656E-2</v>
      </c>
      <c r="N94" s="11">
        <f>Table1[[#This Row],[Cases]]/Table1[[#This Row],[Deaths]]</f>
        <v>24.564894932014834</v>
      </c>
      <c r="O94" s="12">
        <f>Table1[[#This Row],[Cases]]/Table1[[#This Row],[Population]]</f>
        <v>1.0502434722582834E-3</v>
      </c>
      <c r="P94" s="12">
        <f>Table1[[#This Row],[Deaths]]/Table1[[#This Row],[Population]]</f>
        <v>4.2753835307047315E-5</v>
      </c>
      <c r="Q94" s="13">
        <f>1-Table1[[#This Row],[Deaths]]/Table1[[#This Row],[Ex(Deaths)]]</f>
        <v>0.17109489051094884</v>
      </c>
      <c r="R94" s="14">
        <f>G94/D94</f>
        <v>0.20641070799577316</v>
      </c>
      <c r="S94" s="12">
        <f>Table1[[#This Row],[Percent Infected]]*Table1[[#This Row],[% Active]]</f>
        <v>2.1678149867677144E-4</v>
      </c>
      <c r="T94" s="8">
        <f>1/Table1[[#This Row],[Percent Actively Infected]]</f>
        <v>4612.9397854705021</v>
      </c>
      <c r="AMC94"/>
    </row>
    <row r="95" spans="1:1017" s="1" customFormat="1" ht="16.5" thickBot="1" x14ac:dyDescent="0.3">
      <c r="A95" s="1">
        <v>96</v>
      </c>
      <c r="B95" s="52">
        <v>180</v>
      </c>
      <c r="C95" s="43" t="s">
        <v>87</v>
      </c>
      <c r="D95" s="49">
        <v>111</v>
      </c>
      <c r="E95" s="49">
        <v>3</v>
      </c>
      <c r="F95" s="49">
        <v>100</v>
      </c>
      <c r="G95" s="49">
        <v>8</v>
      </c>
      <c r="H95" s="49"/>
      <c r="I95" s="43">
        <v>106787</v>
      </c>
      <c r="J95" s="8">
        <f>Table1[[#This Row],[Population]]/Table1[[#This Row],[Cases]]</f>
        <v>962.04504504504507</v>
      </c>
      <c r="K95" s="8">
        <f>Table1[[#This Row],[Population]]/Table1[[#This Row],[Deaths]]</f>
        <v>35595.666666666664</v>
      </c>
      <c r="L95" s="9">
        <f>Table1[[#This Row],[Deaths]]+Table1[[#This Row],[Active]]*Table1[[#This Row],[Death Rate]]</f>
        <v>3.2162162162162162</v>
      </c>
      <c r="M95" s="10">
        <f>Table1[[#This Row],[Deaths]]/Table1[[#This Row],[Cases]]</f>
        <v>2.7027027027027029E-2</v>
      </c>
      <c r="N95" s="11">
        <f>Table1[[#This Row],[Cases]]/Table1[[#This Row],[Deaths]]</f>
        <v>37</v>
      </c>
      <c r="O95" s="12">
        <f>Table1[[#This Row],[Cases]]/Table1[[#This Row],[Population]]</f>
        <v>1.0394523677975784E-3</v>
      </c>
      <c r="P95" s="12">
        <f>Table1[[#This Row],[Deaths]]/Table1[[#This Row],[Population]]</f>
        <v>2.8093307237772387E-5</v>
      </c>
      <c r="Q95" s="13">
        <f>1-Table1[[#This Row],[Deaths]]/Table1[[#This Row],[Ex(Deaths)]]</f>
        <v>6.7226890756302504E-2</v>
      </c>
      <c r="R95" s="14">
        <f>G95/D95</f>
        <v>7.2072072072072071E-2</v>
      </c>
      <c r="S95" s="12">
        <f>Table1[[#This Row],[Percent Infected]]*Table1[[#This Row],[% Active]]</f>
        <v>7.4915485967393033E-5</v>
      </c>
      <c r="T95" s="8">
        <f>1/Table1[[#This Row],[Percent Actively Infected]]</f>
        <v>13348.375</v>
      </c>
      <c r="AMC95"/>
    </row>
    <row r="96" spans="1:1017" s="1" customFormat="1" ht="16.5" thickBot="1" x14ac:dyDescent="0.3">
      <c r="A96" s="1">
        <v>97</v>
      </c>
      <c r="B96" s="52">
        <v>97</v>
      </c>
      <c r="C96" s="43" t="s">
        <v>99</v>
      </c>
      <c r="D96" s="48">
        <v>4253</v>
      </c>
      <c r="E96" s="49">
        <v>120</v>
      </c>
      <c r="F96" s="48">
        <v>2929</v>
      </c>
      <c r="G96" s="48">
        <v>1204</v>
      </c>
      <c r="H96" s="49">
        <v>8</v>
      </c>
      <c r="I96" s="43">
        <v>4103953</v>
      </c>
      <c r="J96" s="8">
        <f>Table1[[#This Row],[Population]]/Table1[[#This Row],[Cases]]</f>
        <v>964.95485539619096</v>
      </c>
      <c r="K96" s="8">
        <f>Table1[[#This Row],[Population]]/Table1[[#This Row],[Deaths]]</f>
        <v>34199.60833333333</v>
      </c>
      <c r="L96" s="9">
        <f>Table1[[#This Row],[Deaths]]+Table1[[#This Row],[Active]]*Table1[[#This Row],[Death Rate]]</f>
        <v>153.97131436632964</v>
      </c>
      <c r="M96" s="10">
        <f>Table1[[#This Row],[Deaths]]/Table1[[#This Row],[Cases]]</f>
        <v>2.8215377380672466E-2</v>
      </c>
      <c r="N96" s="15">
        <f>Table1[[#This Row],[Cases]]/Table1[[#This Row],[Deaths]]</f>
        <v>35.44166666666667</v>
      </c>
      <c r="O96" s="12">
        <f>Table1[[#This Row],[Cases]]/Table1[[#This Row],[Population]]</f>
        <v>1.0363179110482016E-3</v>
      </c>
      <c r="P96" s="12">
        <f>Table1[[#This Row],[Deaths]]/Table1[[#This Row],[Population]]</f>
        <v>2.9240100946575166E-5</v>
      </c>
      <c r="Q96" s="13">
        <f>1-Table1[[#This Row],[Deaths]]/Table1[[#This Row],[Ex(Deaths)]]</f>
        <v>0.22063404801172803</v>
      </c>
      <c r="R96" s="16">
        <f>G96/D96</f>
        <v>0.28309428638608042</v>
      </c>
      <c r="S96" s="12">
        <f>Table1[[#This Row],[Percent Infected]]*Table1[[#This Row],[% Active]]</f>
        <v>2.933756794973042E-4</v>
      </c>
      <c r="T96" s="8">
        <f>1/Table1[[#This Row],[Percent Actively Infected]]</f>
        <v>3408.598837209302</v>
      </c>
      <c r="AMC96"/>
    </row>
    <row r="97" spans="1:1017" s="1" customFormat="1" ht="16.5" thickBot="1" x14ac:dyDescent="0.3">
      <c r="A97" s="1">
        <v>98</v>
      </c>
      <c r="B97" s="52">
        <v>120</v>
      </c>
      <c r="C97" s="43" t="s">
        <v>96</v>
      </c>
      <c r="D97" s="48">
        <v>1927</v>
      </c>
      <c r="E97" s="49">
        <v>26</v>
      </c>
      <c r="F97" s="49">
        <v>773</v>
      </c>
      <c r="G97" s="48">
        <v>1128</v>
      </c>
      <c r="H97" s="49">
        <v>5</v>
      </c>
      <c r="I97" s="43">
        <v>1969729</v>
      </c>
      <c r="J97" s="8">
        <f>Table1[[#This Row],[Population]]/Table1[[#This Row],[Cases]]</f>
        <v>1022.1738453554748</v>
      </c>
      <c r="K97" s="8">
        <f>Table1[[#This Row],[Population]]/Table1[[#This Row],[Deaths]]</f>
        <v>75758.807692307688</v>
      </c>
      <c r="L97" s="9">
        <f>Table1[[#This Row],[Deaths]]+Table1[[#This Row],[Active]]*Table1[[#This Row],[Death Rate]]</f>
        <v>41.219512195121951</v>
      </c>
      <c r="M97" s="10">
        <f>Table1[[#This Row],[Deaths]]/Table1[[#This Row],[Cases]]</f>
        <v>1.3492475350285417E-2</v>
      </c>
      <c r="N97" s="11">
        <f>Table1[[#This Row],[Cases]]/Table1[[#This Row],[Deaths]]</f>
        <v>74.115384615384613</v>
      </c>
      <c r="O97" s="12">
        <f>Table1[[#This Row],[Cases]]/Table1[[#This Row],[Population]]</f>
        <v>9.7830716814343503E-4</v>
      </c>
      <c r="P97" s="12">
        <f>Table1[[#This Row],[Deaths]]/Table1[[#This Row],[Population]]</f>
        <v>1.3199785351182827E-5</v>
      </c>
      <c r="Q97" s="13">
        <f>1-Table1[[#This Row],[Deaths]]/Table1[[#This Row],[Ex(Deaths)]]</f>
        <v>0.36923076923076925</v>
      </c>
      <c r="R97" s="14">
        <f>G97/D97</f>
        <v>0.58536585365853655</v>
      </c>
      <c r="S97" s="12">
        <f>Table1[[#This Row],[Percent Infected]]*Table1[[#This Row],[% Active]]</f>
        <v>5.726676106205473E-4</v>
      </c>
      <c r="T97" s="8">
        <f>1/Table1[[#This Row],[Percent Actively Infected]]</f>
        <v>1746.2136524822695</v>
      </c>
      <c r="AMC97"/>
    </row>
    <row r="98" spans="1:1017" s="1" customFormat="1" ht="16.5" thickBot="1" x14ac:dyDescent="0.3">
      <c r="A98" s="1">
        <v>99</v>
      </c>
      <c r="B98" s="52">
        <v>118</v>
      </c>
      <c r="C98" s="43" t="s">
        <v>93</v>
      </c>
      <c r="D98" s="48">
        <v>1940</v>
      </c>
      <c r="E98" s="49">
        <v>111</v>
      </c>
      <c r="F98" s="48">
        <v>1568</v>
      </c>
      <c r="G98" s="49">
        <v>261</v>
      </c>
      <c r="H98" s="49">
        <v>2</v>
      </c>
      <c r="I98" s="43">
        <v>2078952</v>
      </c>
      <c r="J98" s="8">
        <f>Table1[[#This Row],[Population]]/Table1[[#This Row],[Cases]]</f>
        <v>1071.6247422680412</v>
      </c>
      <c r="K98" s="8">
        <f>Table1[[#This Row],[Population]]/Table1[[#This Row],[Deaths]]</f>
        <v>18729.297297297297</v>
      </c>
      <c r="L98" s="9">
        <f>Table1[[#This Row],[Deaths]]+Table1[[#This Row],[Active]]*Table1[[#This Row],[Death Rate]]</f>
        <v>125.93350515463918</v>
      </c>
      <c r="M98" s="10">
        <f>Table1[[#This Row],[Deaths]]/Table1[[#This Row],[Cases]]</f>
        <v>5.7216494845360823E-2</v>
      </c>
      <c r="N98" s="11">
        <f>Table1[[#This Row],[Cases]]/Table1[[#This Row],[Deaths]]</f>
        <v>17.477477477477478</v>
      </c>
      <c r="O98" s="12">
        <f>Table1[[#This Row],[Cases]]/Table1[[#This Row],[Population]]</f>
        <v>9.3316247801777052E-4</v>
      </c>
      <c r="P98" s="12">
        <f>Table1[[#This Row],[Deaths]]/Table1[[#This Row],[Population]]</f>
        <v>5.3392286113387898E-5</v>
      </c>
      <c r="Q98" s="13">
        <f>1-Table1[[#This Row],[Deaths]]/Table1[[#This Row],[Ex(Deaths)]]</f>
        <v>0.11858246251703775</v>
      </c>
      <c r="R98" s="14">
        <f>G98/D98</f>
        <v>0.1345360824742268</v>
      </c>
      <c r="S98" s="12">
        <f>Table1[[#This Row],[Percent Infected]]*Table1[[#This Row],[% Active]]</f>
        <v>1.2554402410445262E-4</v>
      </c>
      <c r="T98" s="8">
        <f>1/Table1[[#This Row],[Percent Actively Infected]]</f>
        <v>7965.3333333333339</v>
      </c>
      <c r="AMC98"/>
    </row>
    <row r="99" spans="1:1017" s="1" customFormat="1" ht="16.5" thickBot="1" x14ac:dyDescent="0.3">
      <c r="A99" s="1">
        <v>100</v>
      </c>
      <c r="B99" s="52">
        <v>95</v>
      </c>
      <c r="C99" s="43" t="s">
        <v>160</v>
      </c>
      <c r="D99" s="48">
        <v>4389</v>
      </c>
      <c r="E99" s="49">
        <v>53</v>
      </c>
      <c r="F99" s="48">
        <v>1288</v>
      </c>
      <c r="G99" s="48">
        <v>3048</v>
      </c>
      <c r="H99" s="49">
        <v>2</v>
      </c>
      <c r="I99" s="43">
        <v>4833159</v>
      </c>
      <c r="J99" s="8">
        <f>Table1[[#This Row],[Population]]/Table1[[#This Row],[Cases]]</f>
        <v>1101.1982228298018</v>
      </c>
      <c r="K99" s="8">
        <f>Table1[[#This Row],[Population]]/Table1[[#This Row],[Deaths]]</f>
        <v>91191.679245283012</v>
      </c>
      <c r="L99" s="9">
        <f>Table1[[#This Row],[Deaths]]+Table1[[#This Row],[Active]]*Table1[[#This Row],[Death Rate]]</f>
        <v>89.806561859193437</v>
      </c>
      <c r="M99" s="10">
        <f>Table1[[#This Row],[Deaths]]/Table1[[#This Row],[Cases]]</f>
        <v>1.2075643654591022E-2</v>
      </c>
      <c r="N99" s="11">
        <f>Table1[[#This Row],[Cases]]/Table1[[#This Row],[Deaths]]</f>
        <v>82.811320754716988</v>
      </c>
      <c r="O99" s="12">
        <f>Table1[[#This Row],[Cases]]/Table1[[#This Row],[Population]]</f>
        <v>9.0810171980685922E-4</v>
      </c>
      <c r="P99" s="12">
        <f>Table1[[#This Row],[Deaths]]/Table1[[#This Row],[Population]]</f>
        <v>1.0965912770508895E-5</v>
      </c>
      <c r="Q99" s="13">
        <f>1-Table1[[#This Row],[Deaths]]/Table1[[#This Row],[Ex(Deaths)]]</f>
        <v>0.40984267849939493</v>
      </c>
      <c r="R99" s="14">
        <f>G99/D99</f>
        <v>0.69446343130553656</v>
      </c>
      <c r="S99" s="12">
        <f>Table1[[#This Row],[Percent Infected]]*Table1[[#This Row],[% Active]]</f>
        <v>6.3064343631153038E-4</v>
      </c>
      <c r="T99" s="8">
        <f>1/Table1[[#This Row],[Percent Actively Infected]]</f>
        <v>1585.6820866141734</v>
      </c>
      <c r="AMC99"/>
    </row>
    <row r="100" spans="1:1017" s="1" customFormat="1" ht="16.5" thickBot="1" x14ac:dyDescent="0.3">
      <c r="A100" s="1">
        <v>101</v>
      </c>
      <c r="B100" s="52">
        <v>48</v>
      </c>
      <c r="C100" s="43" t="s">
        <v>121</v>
      </c>
      <c r="D100" s="48">
        <v>35289</v>
      </c>
      <c r="E100" s="48">
        <v>1147</v>
      </c>
      <c r="F100" s="48">
        <v>23243</v>
      </c>
      <c r="G100" s="48">
        <v>10899</v>
      </c>
      <c r="H100" s="49">
        <v>31</v>
      </c>
      <c r="I100" s="43">
        <v>38961422</v>
      </c>
      <c r="J100" s="8">
        <f>Table1[[#This Row],[Population]]/Table1[[#This Row],[Cases]]</f>
        <v>1104.067046388393</v>
      </c>
      <c r="K100" s="8">
        <f>Table1[[#This Row],[Population]]/Table1[[#This Row],[Deaths]]</f>
        <v>33968.109851787274</v>
      </c>
      <c r="L100" s="9">
        <f>Table1[[#This Row],[Deaths]]+Table1[[#This Row],[Active]]*Table1[[#This Row],[Death Rate]]</f>
        <v>1501.2507013516961</v>
      </c>
      <c r="M100" s="10">
        <f>Table1[[#This Row],[Deaths]]/Table1[[#This Row],[Cases]]</f>
        <v>3.2503046275043211E-2</v>
      </c>
      <c r="N100" s="11">
        <f>Table1[[#This Row],[Cases]]/Table1[[#This Row],[Deaths]]</f>
        <v>30.766346992153444</v>
      </c>
      <c r="O100" s="12">
        <f>Table1[[#This Row],[Cases]]/Table1[[#This Row],[Population]]</f>
        <v>9.0574209534754666E-4</v>
      </c>
      <c r="P100" s="12">
        <f>Table1[[#This Row],[Deaths]]/Table1[[#This Row],[Population]]</f>
        <v>2.943937723833591E-5</v>
      </c>
      <c r="Q100" s="13">
        <f>1-Table1[[#This Row],[Deaths]]/Table1[[#This Row],[Ex(Deaths)]]</f>
        <v>0.23597038191738118</v>
      </c>
      <c r="R100" s="14">
        <f>G100/D100</f>
        <v>0.30884978321856671</v>
      </c>
      <c r="S100" s="12">
        <f>Table1[[#This Row],[Percent Infected]]*Table1[[#This Row],[% Active]]</f>
        <v>2.7973824980002016E-4</v>
      </c>
      <c r="T100" s="8">
        <f>1/Table1[[#This Row],[Percent Actively Infected]]</f>
        <v>3574.7703459032937</v>
      </c>
      <c r="AMC100"/>
    </row>
    <row r="101" spans="1:1017" s="1" customFormat="1" ht="16.5" thickBot="1" x14ac:dyDescent="0.3">
      <c r="A101" s="1">
        <v>102</v>
      </c>
      <c r="B101" s="52">
        <v>142</v>
      </c>
      <c r="C101" s="43" t="s">
        <v>90</v>
      </c>
      <c r="D101" s="48">
        <v>1033</v>
      </c>
      <c r="E101" s="49">
        <v>19</v>
      </c>
      <c r="F101" s="49">
        <v>845</v>
      </c>
      <c r="G101" s="49">
        <v>169</v>
      </c>
      <c r="H101" s="49"/>
      <c r="I101" s="43">
        <v>1207759</v>
      </c>
      <c r="J101" s="8">
        <f>Table1[[#This Row],[Population]]/Table1[[#This Row],[Cases]]</f>
        <v>1169.1761858664086</v>
      </c>
      <c r="K101" s="8">
        <f>Table1[[#This Row],[Population]]/Table1[[#This Row],[Deaths]]</f>
        <v>63566.26315789474</v>
      </c>
      <c r="L101" s="9">
        <f>Table1[[#This Row],[Deaths]]+Table1[[#This Row],[Active]]*Table1[[#This Row],[Death Rate]]</f>
        <v>22.108422071636014</v>
      </c>
      <c r="M101" s="10">
        <f>Table1[[#This Row],[Deaths]]/Table1[[#This Row],[Cases]]</f>
        <v>1.8393030009680542E-2</v>
      </c>
      <c r="N101" s="11">
        <f>Table1[[#This Row],[Cases]]/Table1[[#This Row],[Deaths]]</f>
        <v>54.368421052631582</v>
      </c>
      <c r="O101" s="12">
        <f>Table1[[#This Row],[Cases]]/Table1[[#This Row],[Population]]</f>
        <v>8.5530308612893793E-4</v>
      </c>
      <c r="P101" s="12">
        <f>Table1[[#This Row],[Deaths]]/Table1[[#This Row],[Population]]</f>
        <v>1.5731615330541937E-5</v>
      </c>
      <c r="Q101" s="13">
        <f>1-Table1[[#This Row],[Deaths]]/Table1[[#This Row],[Ex(Deaths)]]</f>
        <v>0.14059900166389361</v>
      </c>
      <c r="R101" s="14">
        <f>G101/D101</f>
        <v>0.16360116166505323</v>
      </c>
      <c r="S101" s="12">
        <f>Table1[[#This Row],[Percent Infected]]*Table1[[#This Row],[% Active]]</f>
        <v>1.3992857846639931E-4</v>
      </c>
      <c r="T101" s="8">
        <f>1/Table1[[#This Row],[Percent Actively Infected]]</f>
        <v>7146.5029585798829</v>
      </c>
      <c r="AMC101"/>
    </row>
    <row r="102" spans="1:1017" s="1" customFormat="1" ht="16.5" thickBot="1" x14ac:dyDescent="0.3">
      <c r="A102" s="1">
        <v>103</v>
      </c>
      <c r="B102" s="52">
        <v>54</v>
      </c>
      <c r="C102" s="43" t="s">
        <v>137</v>
      </c>
      <c r="D102" s="48">
        <v>26572</v>
      </c>
      <c r="E102" s="49">
        <v>144</v>
      </c>
      <c r="F102" s="48">
        <v>22915</v>
      </c>
      <c r="G102" s="48">
        <v>3513</v>
      </c>
      <c r="H102" s="49">
        <v>8</v>
      </c>
      <c r="I102" s="43">
        <v>31097968</v>
      </c>
      <c r="J102" s="8">
        <f>Table1[[#This Row],[Population]]/Table1[[#This Row],[Cases]]</f>
        <v>1170.3284660544934</v>
      </c>
      <c r="K102" s="8">
        <f>Table1[[#This Row],[Population]]/Table1[[#This Row],[Deaths]]</f>
        <v>215958.11111111112</v>
      </c>
      <c r="L102" s="9">
        <f>Table1[[#This Row],[Deaths]]+Table1[[#This Row],[Active]]*Table1[[#This Row],[Death Rate]]</f>
        <v>163.03778413367453</v>
      </c>
      <c r="M102" s="10">
        <f>Table1[[#This Row],[Deaths]]/Table1[[#This Row],[Cases]]</f>
        <v>5.419238295950625E-3</v>
      </c>
      <c r="N102" s="11">
        <f>Table1[[#This Row],[Cases]]/Table1[[#This Row],[Deaths]]</f>
        <v>184.52777777777777</v>
      </c>
      <c r="O102" s="12">
        <f>Table1[[#This Row],[Cases]]/Table1[[#This Row],[Population]]</f>
        <v>8.5446097314139627E-4</v>
      </c>
      <c r="P102" s="12">
        <f>Table1[[#This Row],[Deaths]]/Table1[[#This Row],[Population]]</f>
        <v>4.6305276280430926E-6</v>
      </c>
      <c r="Q102" s="13">
        <f>1-Table1[[#This Row],[Deaths]]/Table1[[#This Row],[Ex(Deaths)]]</f>
        <v>0.11676915406348676</v>
      </c>
      <c r="R102" s="14">
        <f>G102/D102</f>
        <v>0.13220683426162877</v>
      </c>
      <c r="S102" s="12">
        <f>Table1[[#This Row],[Percent Infected]]*Table1[[#This Row],[% Active]]</f>
        <v>1.1296558025913461E-4</v>
      </c>
      <c r="T102" s="8">
        <f>1/Table1[[#This Row],[Percent Actively Infected]]</f>
        <v>8852.2539140335903</v>
      </c>
      <c r="AMC102"/>
    </row>
    <row r="103" spans="1:1017" s="1" customFormat="1" ht="16.5" thickBot="1" x14ac:dyDescent="0.3">
      <c r="A103" s="1">
        <v>104</v>
      </c>
      <c r="B103" s="52">
        <v>24</v>
      </c>
      <c r="C103" s="43" t="s">
        <v>154</v>
      </c>
      <c r="D103" s="48">
        <v>86474</v>
      </c>
      <c r="E103" s="48">
        <v>4188</v>
      </c>
      <c r="F103" s="48">
        <v>27302</v>
      </c>
      <c r="G103" s="48">
        <v>54984</v>
      </c>
      <c r="H103" s="49">
        <v>41</v>
      </c>
      <c r="I103" s="43">
        <v>102410895</v>
      </c>
      <c r="J103" s="8">
        <f>Table1[[#This Row],[Population]]/Table1[[#This Row],[Cases]]</f>
        <v>1184.2969563105673</v>
      </c>
      <c r="K103" s="8">
        <f>Table1[[#This Row],[Population]]/Table1[[#This Row],[Deaths]]</f>
        <v>24453.413323782235</v>
      </c>
      <c r="L103" s="9">
        <f>Table1[[#This Row],[Deaths]]+Table1[[#This Row],[Active]]*Table1[[#This Row],[Death Rate]]</f>
        <v>6850.9159284871748</v>
      </c>
      <c r="M103" s="10">
        <f>Table1[[#This Row],[Deaths]]/Table1[[#This Row],[Cases]]</f>
        <v>4.8430742188403451E-2</v>
      </c>
      <c r="N103" s="11">
        <f>Table1[[#This Row],[Cases]]/Table1[[#This Row],[Deaths]]</f>
        <v>20.648042024832854</v>
      </c>
      <c r="O103" s="12">
        <f>Table1[[#This Row],[Cases]]/Table1[[#This Row],[Population]]</f>
        <v>8.4438281688681662E-4</v>
      </c>
      <c r="P103" s="12">
        <f>Table1[[#This Row],[Deaths]]/Table1[[#This Row],[Population]]</f>
        <v>4.0894086512963296E-5</v>
      </c>
      <c r="Q103" s="13">
        <f>1-Table1[[#This Row],[Deaths]]/Table1[[#This Row],[Ex(Deaths)]]</f>
        <v>0.38869487763152311</v>
      </c>
      <c r="R103" s="14">
        <f>G103/D103</f>
        <v>0.63584430002081549</v>
      </c>
      <c r="S103" s="12">
        <f>Table1[[#This Row],[Percent Infected]]*Table1[[#This Row],[% Active]]</f>
        <v>5.3689600115300231E-4</v>
      </c>
      <c r="T103" s="8">
        <f>1/Table1[[#This Row],[Percent Actively Infected]]</f>
        <v>1862.558107813182</v>
      </c>
      <c r="AMC103"/>
    </row>
    <row r="104" spans="1:1017" s="1" customFormat="1" ht="16.5" thickBot="1" x14ac:dyDescent="0.3">
      <c r="A104" s="1">
        <v>105</v>
      </c>
      <c r="B104" s="52">
        <v>188</v>
      </c>
      <c r="C104" s="43" t="s">
        <v>130</v>
      </c>
      <c r="D104" s="49">
        <v>76</v>
      </c>
      <c r="E104" s="49">
        <v>3</v>
      </c>
      <c r="F104" s="49">
        <v>57</v>
      </c>
      <c r="G104" s="49">
        <v>16</v>
      </c>
      <c r="H104" s="49">
        <v>1</v>
      </c>
      <c r="I104" s="43">
        <v>97965</v>
      </c>
      <c r="J104" s="8">
        <f>Table1[[#This Row],[Population]]/Table1[[#This Row],[Cases]]</f>
        <v>1289.0131578947369</v>
      </c>
      <c r="K104" s="8">
        <f>Table1[[#This Row],[Population]]/Table1[[#This Row],[Deaths]]</f>
        <v>32655</v>
      </c>
      <c r="L104" s="9">
        <f>Table1[[#This Row],[Deaths]]+Table1[[#This Row],[Active]]*Table1[[#This Row],[Death Rate]]</f>
        <v>3.6315789473684212</v>
      </c>
      <c r="M104" s="10">
        <f>Table1[[#This Row],[Deaths]]/Table1[[#This Row],[Cases]]</f>
        <v>3.9473684210526314E-2</v>
      </c>
      <c r="N104" s="11">
        <f>Table1[[#This Row],[Cases]]/Table1[[#This Row],[Deaths]]</f>
        <v>25.333333333333332</v>
      </c>
      <c r="O104" s="12">
        <f>Table1[[#This Row],[Cases]]/Table1[[#This Row],[Population]]</f>
        <v>7.7578727096411985E-4</v>
      </c>
      <c r="P104" s="12">
        <f>Table1[[#This Row],[Deaths]]/Table1[[#This Row],[Population]]</f>
        <v>3.062318174858368E-5</v>
      </c>
      <c r="Q104" s="13">
        <f>1-Table1[[#This Row],[Deaths]]/Table1[[#This Row],[Ex(Deaths)]]</f>
        <v>0.17391304347826086</v>
      </c>
      <c r="R104" s="14">
        <f>G104/D104</f>
        <v>0.21052631578947367</v>
      </c>
      <c r="S104" s="12">
        <f>Table1[[#This Row],[Percent Infected]]*Table1[[#This Row],[% Active]]</f>
        <v>1.6332363599244628E-4</v>
      </c>
      <c r="T104" s="8">
        <f>1/Table1[[#This Row],[Percent Actively Infected]]</f>
        <v>6122.8125</v>
      </c>
      <c r="AMC104"/>
    </row>
    <row r="105" spans="1:1017" s="1" customFormat="1" ht="16.5" thickBot="1" x14ac:dyDescent="0.3">
      <c r="A105" s="1">
        <v>106</v>
      </c>
      <c r="B105" s="52">
        <v>3</v>
      </c>
      <c r="C105" s="43" t="s">
        <v>165</v>
      </c>
      <c r="D105" s="48">
        <v>1055932</v>
      </c>
      <c r="E105" s="48">
        <v>26508</v>
      </c>
      <c r="F105" s="48">
        <v>664461</v>
      </c>
      <c r="G105" s="48">
        <v>364963</v>
      </c>
      <c r="H105" s="48">
        <v>8944</v>
      </c>
      <c r="I105" s="43">
        <v>1380604191</v>
      </c>
      <c r="J105" s="8">
        <f>Table1[[#This Row],[Population]]/Table1[[#This Row],[Cases]]</f>
        <v>1307.4745258217386</v>
      </c>
      <c r="K105" s="8">
        <f>Table1[[#This Row],[Population]]/Table1[[#This Row],[Deaths]]</f>
        <v>52082.548325033953</v>
      </c>
      <c r="L105" s="9">
        <f>Table1[[#This Row],[Deaths]]+Table1[[#This Row],[Active]]*Table1[[#This Row],[Death Rate]]</f>
        <v>35669.990738039953</v>
      </c>
      <c r="M105" s="10">
        <f>Table1[[#This Row],[Deaths]]/Table1[[#This Row],[Cases]]</f>
        <v>2.510388926559665E-2</v>
      </c>
      <c r="N105" s="11">
        <f>Table1[[#This Row],[Cases]]/Table1[[#This Row],[Deaths]]</f>
        <v>39.834465067149537</v>
      </c>
      <c r="O105" s="12">
        <f>Table1[[#This Row],[Cases]]/Table1[[#This Row],[Population]]</f>
        <v>7.6483325697799512E-4</v>
      </c>
      <c r="P105" s="12">
        <f>Table1[[#This Row],[Deaths]]/Table1[[#This Row],[Population]]</f>
        <v>1.9200289389821215E-5</v>
      </c>
      <c r="Q105" s="13">
        <f>1-Table1[[#This Row],[Deaths]]/Table1[[#This Row],[Ex(Deaths)]]</f>
        <v>0.25685430661660436</v>
      </c>
      <c r="R105" s="14">
        <f>G105/D105</f>
        <v>0.34563115806699674</v>
      </c>
      <c r="S105" s="12">
        <f>Table1[[#This Row],[Percent Infected]]*Table1[[#This Row],[% Active]]</f>
        <v>2.6435020433745738E-4</v>
      </c>
      <c r="T105" s="8">
        <f>1/Table1[[#This Row],[Percent Actively Infected]]</f>
        <v>3782.8607036877706</v>
      </c>
      <c r="AMC105"/>
    </row>
    <row r="106" spans="1:1017" s="1" customFormat="1" ht="16.5" thickBot="1" x14ac:dyDescent="0.3">
      <c r="A106" s="1">
        <v>107</v>
      </c>
      <c r="B106" s="52">
        <v>88</v>
      </c>
      <c r="C106" s="43" t="s">
        <v>119</v>
      </c>
      <c r="D106" s="48">
        <v>6834</v>
      </c>
      <c r="E106" s="49">
        <v>57</v>
      </c>
      <c r="F106" s="48">
        <v>5529</v>
      </c>
      <c r="G106" s="48">
        <v>1248</v>
      </c>
      <c r="H106" s="49"/>
      <c r="I106" s="43">
        <v>9545734</v>
      </c>
      <c r="J106" s="8">
        <f>Table1[[#This Row],[Population]]/Table1[[#This Row],[Cases]]</f>
        <v>1396.8004097161252</v>
      </c>
      <c r="K106" s="8">
        <f>Table1[[#This Row],[Population]]/Table1[[#This Row],[Deaths]]</f>
        <v>167469.01754385966</v>
      </c>
      <c r="L106" s="9">
        <f>Table1[[#This Row],[Deaths]]+Table1[[#This Row],[Active]]*Table1[[#This Row],[Death Rate]]</f>
        <v>67.409130816505709</v>
      </c>
      <c r="M106" s="10">
        <f>Table1[[#This Row],[Deaths]]/Table1[[#This Row],[Cases]]</f>
        <v>8.3406496927129065E-3</v>
      </c>
      <c r="N106" s="11">
        <f>Table1[[#This Row],[Cases]]/Table1[[#This Row],[Deaths]]</f>
        <v>119.89473684210526</v>
      </c>
      <c r="O106" s="12">
        <f>Table1[[#This Row],[Cases]]/Table1[[#This Row],[Population]]</f>
        <v>7.1592189767701465E-4</v>
      </c>
      <c r="P106" s="12">
        <f>Table1[[#This Row],[Deaths]]/Table1[[#This Row],[Population]]</f>
        <v>5.9712537558662326E-6</v>
      </c>
      <c r="Q106" s="13">
        <f>1-Table1[[#This Row],[Deaths]]/Table1[[#This Row],[Ex(Deaths)]]</f>
        <v>0.15441722345953979</v>
      </c>
      <c r="R106" s="14">
        <f>G106/D106</f>
        <v>0.18261633011413519</v>
      </c>
      <c r="S106" s="12">
        <f>Table1[[#This Row],[Percent Infected]]*Table1[[#This Row],[% Active]]</f>
        <v>1.3073902960212384E-4</v>
      </c>
      <c r="T106" s="8">
        <f>1/Table1[[#This Row],[Percent Actively Infected]]</f>
        <v>7648.8253205128203</v>
      </c>
      <c r="AMC106"/>
    </row>
    <row r="107" spans="1:1017" s="1" customFormat="1" ht="16.5" thickBot="1" x14ac:dyDescent="0.3">
      <c r="A107" s="1">
        <v>108</v>
      </c>
      <c r="B107" s="52">
        <v>122</v>
      </c>
      <c r="C107" s="43" t="s">
        <v>95</v>
      </c>
      <c r="D107" s="48">
        <v>1915</v>
      </c>
      <c r="E107" s="49">
        <v>80</v>
      </c>
      <c r="F107" s="48">
        <v>1600</v>
      </c>
      <c r="G107" s="49">
        <v>235</v>
      </c>
      <c r="H107" s="49">
        <v>6</v>
      </c>
      <c r="I107" s="43">
        <v>2720181</v>
      </c>
      <c r="J107" s="8">
        <f>Table1[[#This Row],[Population]]/Table1[[#This Row],[Cases]]</f>
        <v>1420.4600522193211</v>
      </c>
      <c r="K107" s="8">
        <f>Table1[[#This Row],[Population]]/Table1[[#This Row],[Deaths]]</f>
        <v>34002.262499999997</v>
      </c>
      <c r="L107" s="9">
        <f>Table1[[#This Row],[Deaths]]+Table1[[#This Row],[Active]]*Table1[[#This Row],[Death Rate]]</f>
        <v>89.817232375979117</v>
      </c>
      <c r="M107" s="10">
        <f>Table1[[#This Row],[Deaths]]/Table1[[#This Row],[Cases]]</f>
        <v>4.1775456919060053E-2</v>
      </c>
      <c r="N107" s="11">
        <f>Table1[[#This Row],[Cases]]/Table1[[#This Row],[Deaths]]</f>
        <v>23.9375</v>
      </c>
      <c r="O107" s="12">
        <f>Table1[[#This Row],[Cases]]/Table1[[#This Row],[Population]]</f>
        <v>7.0399727076984951E-4</v>
      </c>
      <c r="P107" s="12">
        <f>Table1[[#This Row],[Deaths]]/Table1[[#This Row],[Population]]</f>
        <v>2.9409807656181703E-5</v>
      </c>
      <c r="Q107" s="13">
        <f>1-Table1[[#This Row],[Deaths]]/Table1[[#This Row],[Ex(Deaths)]]</f>
        <v>0.10930232558139541</v>
      </c>
      <c r="R107" s="14">
        <f>G107/D107</f>
        <v>0.12271540469973891</v>
      </c>
      <c r="S107" s="12">
        <f>Table1[[#This Row],[Percent Infected]]*Table1[[#This Row],[% Active]]</f>
        <v>8.6391309990033758E-5</v>
      </c>
      <c r="T107" s="8">
        <f>1/Table1[[#This Row],[Percent Actively Infected]]</f>
        <v>11575.23829787234</v>
      </c>
      <c r="AMC107"/>
    </row>
    <row r="108" spans="1:1017" s="1" customFormat="1" ht="16.5" thickBot="1" x14ac:dyDescent="0.3">
      <c r="A108" s="1">
        <v>109</v>
      </c>
      <c r="B108" s="52">
        <v>154</v>
      </c>
      <c r="C108" s="43" t="s">
        <v>104</v>
      </c>
      <c r="D108" s="49">
        <v>614</v>
      </c>
      <c r="E108" s="49">
        <v>3</v>
      </c>
      <c r="F108" s="49">
        <v>472</v>
      </c>
      <c r="G108" s="49">
        <v>139</v>
      </c>
      <c r="H108" s="49">
        <v>4</v>
      </c>
      <c r="I108" s="43">
        <v>895603</v>
      </c>
      <c r="J108" s="8">
        <f>Table1[[#This Row],[Population]]/Table1[[#This Row],[Cases]]</f>
        <v>1458.6368078175897</v>
      </c>
      <c r="K108" s="8">
        <f>Table1[[#This Row],[Population]]/Table1[[#This Row],[Deaths]]</f>
        <v>298534.33333333331</v>
      </c>
      <c r="L108" s="9">
        <f>Table1[[#This Row],[Deaths]]+Table1[[#This Row],[Active]]*Table1[[#This Row],[Death Rate]]</f>
        <v>3.6791530944625408</v>
      </c>
      <c r="M108" s="10">
        <f>Table1[[#This Row],[Deaths]]/Table1[[#This Row],[Cases]]</f>
        <v>4.8859934853420191E-3</v>
      </c>
      <c r="N108" s="11">
        <f>Table1[[#This Row],[Cases]]/Table1[[#This Row],[Deaths]]</f>
        <v>204.66666666666666</v>
      </c>
      <c r="O108" s="12">
        <f>Table1[[#This Row],[Cases]]/Table1[[#This Row],[Population]]</f>
        <v>6.8557162046129817E-4</v>
      </c>
      <c r="P108" s="12">
        <f>Table1[[#This Row],[Deaths]]/Table1[[#This Row],[Population]]</f>
        <v>3.3496984713092741E-6</v>
      </c>
      <c r="Q108" s="13">
        <f>1-Table1[[#This Row],[Deaths]]/Table1[[#This Row],[Ex(Deaths)]]</f>
        <v>0.18459495351925637</v>
      </c>
      <c r="R108" s="14">
        <f>G108/D108</f>
        <v>0.2263843648208469</v>
      </c>
      <c r="S108" s="12">
        <f>Table1[[#This Row],[Percent Infected]]*Table1[[#This Row],[% Active]]</f>
        <v>1.5520269583732971E-4</v>
      </c>
      <c r="T108" s="8">
        <f>1/Table1[[#This Row],[Percent Actively Infected]]</f>
        <v>6443.187050359712</v>
      </c>
      <c r="AMC108"/>
    </row>
    <row r="109" spans="1:1017" s="1" customFormat="1" ht="16.5" thickBot="1" x14ac:dyDescent="0.3">
      <c r="A109" s="1">
        <v>110</v>
      </c>
      <c r="B109" s="52">
        <v>169</v>
      </c>
      <c r="C109" s="43" t="s">
        <v>102</v>
      </c>
      <c r="D109" s="49">
        <v>255</v>
      </c>
      <c r="E109" s="49">
        <v>15</v>
      </c>
      <c r="F109" s="49">
        <v>98</v>
      </c>
      <c r="G109" s="49">
        <v>142</v>
      </c>
      <c r="H109" s="49">
        <v>5</v>
      </c>
      <c r="I109" s="43">
        <v>375251</v>
      </c>
      <c r="J109" s="8">
        <f>Table1[[#This Row],[Population]]/Table1[[#This Row],[Cases]]</f>
        <v>1471.5725490196078</v>
      </c>
      <c r="K109" s="8">
        <f>Table1[[#This Row],[Population]]/Table1[[#This Row],[Deaths]]</f>
        <v>25016.733333333334</v>
      </c>
      <c r="L109" s="9">
        <f>Table1[[#This Row],[Deaths]]+Table1[[#This Row],[Active]]*Table1[[#This Row],[Death Rate]]</f>
        <v>23.352941176470587</v>
      </c>
      <c r="M109" s="10">
        <f>Table1[[#This Row],[Deaths]]/Table1[[#This Row],[Cases]]</f>
        <v>5.8823529411764705E-2</v>
      </c>
      <c r="N109" s="11">
        <f>Table1[[#This Row],[Cases]]/Table1[[#This Row],[Deaths]]</f>
        <v>17</v>
      </c>
      <c r="O109" s="12">
        <f>Table1[[#This Row],[Cases]]/Table1[[#This Row],[Population]]</f>
        <v>6.7954515777439634E-4</v>
      </c>
      <c r="P109" s="12">
        <f>Table1[[#This Row],[Deaths]]/Table1[[#This Row],[Population]]</f>
        <v>3.9973244574964493E-5</v>
      </c>
      <c r="Q109" s="13">
        <f>1-Table1[[#This Row],[Deaths]]/Table1[[#This Row],[Ex(Deaths)]]</f>
        <v>0.35768261964735515</v>
      </c>
      <c r="R109" s="14">
        <f>G109/D109</f>
        <v>0.55686274509803924</v>
      </c>
      <c r="S109" s="12">
        <f>Table1[[#This Row],[Percent Infected]]*Table1[[#This Row],[% Active]]</f>
        <v>3.7841338197633053E-4</v>
      </c>
      <c r="T109" s="8">
        <f>1/Table1[[#This Row],[Percent Actively Infected]]</f>
        <v>2642.6126760563379</v>
      </c>
      <c r="AMC109"/>
    </row>
    <row r="110" spans="1:1017" s="1" customFormat="1" ht="16.5" thickBot="1" x14ac:dyDescent="0.3">
      <c r="A110" s="1">
        <v>111</v>
      </c>
      <c r="B110" s="52">
        <v>136</v>
      </c>
      <c r="C110" s="43" t="s">
        <v>98</v>
      </c>
      <c r="D110" s="48">
        <v>1189</v>
      </c>
      <c r="E110" s="49">
        <v>31</v>
      </c>
      <c r="F110" s="48">
        <v>1022</v>
      </c>
      <c r="G110" s="49">
        <v>136</v>
      </c>
      <c r="H110" s="49"/>
      <c r="I110" s="43">
        <v>1885068</v>
      </c>
      <c r="J110" s="8">
        <f>Table1[[#This Row],[Population]]/Table1[[#This Row],[Cases]]</f>
        <v>1585.4230445752733</v>
      </c>
      <c r="K110" s="8">
        <f>Table1[[#This Row],[Population]]/Table1[[#This Row],[Deaths]]</f>
        <v>60808.645161290326</v>
      </c>
      <c r="L110" s="9">
        <f>Table1[[#This Row],[Deaths]]+Table1[[#This Row],[Active]]*Table1[[#This Row],[Death Rate]]</f>
        <v>34.545836837678721</v>
      </c>
      <c r="M110" s="10">
        <f>Table1[[#This Row],[Deaths]]/Table1[[#This Row],[Cases]]</f>
        <v>2.6072329688814129E-2</v>
      </c>
      <c r="N110" s="11">
        <f>Table1[[#This Row],[Cases]]/Table1[[#This Row],[Deaths]]</f>
        <v>38.354838709677416</v>
      </c>
      <c r="O110" s="12">
        <f>Table1[[#This Row],[Cases]]/Table1[[#This Row],[Population]]</f>
        <v>6.3074647705016473E-4</v>
      </c>
      <c r="P110" s="12">
        <f>Table1[[#This Row],[Deaths]]/Table1[[#This Row],[Population]]</f>
        <v>1.6445030099709931E-5</v>
      </c>
      <c r="Q110" s="13">
        <f>1-Table1[[#This Row],[Deaths]]/Table1[[#This Row],[Ex(Deaths)]]</f>
        <v>0.10264150943396222</v>
      </c>
      <c r="R110" s="14">
        <f>G110/D110</f>
        <v>0.11438183347350715</v>
      </c>
      <c r="S110" s="12">
        <f>Table1[[#This Row],[Percent Infected]]*Table1[[#This Row],[% Active]]</f>
        <v>7.2145938501953243E-5</v>
      </c>
      <c r="T110" s="8">
        <f>1/Table1[[#This Row],[Percent Actively Infected]]</f>
        <v>13860.794117647059</v>
      </c>
      <c r="AMC110"/>
    </row>
    <row r="111" spans="1:1017" s="1" customFormat="1" ht="16.5" thickBot="1" x14ac:dyDescent="0.3">
      <c r="A111" s="1">
        <v>112</v>
      </c>
      <c r="B111" s="52">
        <v>86</v>
      </c>
      <c r="C111" s="43" t="s">
        <v>175</v>
      </c>
      <c r="D111" s="48">
        <v>6975</v>
      </c>
      <c r="E111" s="49">
        <v>146</v>
      </c>
      <c r="F111" s="48">
        <v>3738</v>
      </c>
      <c r="G111" s="48">
        <v>3091</v>
      </c>
      <c r="H111" s="49"/>
      <c r="I111" s="43">
        <v>11408509</v>
      </c>
      <c r="J111" s="8">
        <f>Table1[[#This Row],[Population]]/Table1[[#This Row],[Cases]]</f>
        <v>1635.6285304659498</v>
      </c>
      <c r="K111" s="8">
        <f>Table1[[#This Row],[Population]]/Table1[[#This Row],[Deaths]]</f>
        <v>78140.472602739726</v>
      </c>
      <c r="L111" s="9">
        <f>Table1[[#This Row],[Deaths]]+Table1[[#This Row],[Active]]*Table1[[#This Row],[Death Rate]]</f>
        <v>210.70050179211472</v>
      </c>
      <c r="M111" s="10">
        <f>Table1[[#This Row],[Deaths]]/Table1[[#This Row],[Cases]]</f>
        <v>2.0931899641577063E-2</v>
      </c>
      <c r="N111" s="11">
        <f>Table1[[#This Row],[Cases]]/Table1[[#This Row],[Deaths]]</f>
        <v>47.773972602739725</v>
      </c>
      <c r="O111" s="12">
        <f>Table1[[#This Row],[Cases]]/Table1[[#This Row],[Population]]</f>
        <v>6.1138576478311053E-4</v>
      </c>
      <c r="P111" s="12">
        <f>Table1[[#This Row],[Deaths]]/Table1[[#This Row],[Population]]</f>
        <v>1.2797465470728909E-5</v>
      </c>
      <c r="Q111" s="13">
        <f>1-Table1[[#This Row],[Deaths]]/Table1[[#This Row],[Ex(Deaths)]]</f>
        <v>0.30707331611364996</v>
      </c>
      <c r="R111" s="14">
        <f>G111/D111</f>
        <v>0.44315412186379927</v>
      </c>
      <c r="S111" s="12">
        <f>Table1[[#This Row],[Percent Infected]]*Table1[[#This Row],[% Active]]</f>
        <v>2.7093812171248669E-4</v>
      </c>
      <c r="T111" s="8">
        <f>1/Table1[[#This Row],[Percent Actively Infected]]</f>
        <v>3690.8796505985119</v>
      </c>
      <c r="AMC111"/>
    </row>
    <row r="112" spans="1:1017" s="1" customFormat="1" ht="16.5" thickBot="1" x14ac:dyDescent="0.3">
      <c r="A112" s="1">
        <v>113</v>
      </c>
      <c r="B112" s="52">
        <v>63</v>
      </c>
      <c r="C112" s="43" t="s">
        <v>149</v>
      </c>
      <c r="D112" s="48">
        <v>16157</v>
      </c>
      <c r="E112" s="49">
        <v>373</v>
      </c>
      <c r="F112" s="48">
        <v>13728</v>
      </c>
      <c r="G112" s="48">
        <v>2056</v>
      </c>
      <c r="H112" s="49">
        <v>52</v>
      </c>
      <c r="I112" s="43">
        <v>26569969</v>
      </c>
      <c r="J112" s="8">
        <f>Table1[[#This Row],[Population]]/Table1[[#This Row],[Cases]]</f>
        <v>1644.486538342514</v>
      </c>
      <c r="K112" s="8">
        <f>Table1[[#This Row],[Population]]/Table1[[#This Row],[Deaths]]</f>
        <v>71233.16085790885</v>
      </c>
      <c r="L112" s="9">
        <f>Table1[[#This Row],[Deaths]]+Table1[[#This Row],[Active]]*Table1[[#This Row],[Death Rate]]</f>
        <v>420.4647521198242</v>
      </c>
      <c r="M112" s="10">
        <f>Table1[[#This Row],[Deaths]]/Table1[[#This Row],[Cases]]</f>
        <v>2.3085968929875595E-2</v>
      </c>
      <c r="N112" s="11">
        <f>Table1[[#This Row],[Cases]]/Table1[[#This Row],[Deaths]]</f>
        <v>43.316353887399465</v>
      </c>
      <c r="O112" s="12">
        <f>Table1[[#This Row],[Cases]]/Table1[[#This Row],[Population]]</f>
        <v>6.080925423736851E-4</v>
      </c>
      <c r="P112" s="12">
        <f>Table1[[#This Row],[Deaths]]/Table1[[#This Row],[Population]]</f>
        <v>1.4038405539727954E-5</v>
      </c>
      <c r="Q112" s="13">
        <f>1-Table1[[#This Row],[Deaths]]/Table1[[#This Row],[Ex(Deaths)]]</f>
        <v>0.11288639982430126</v>
      </c>
      <c r="R112" s="14">
        <f>G112/D112</f>
        <v>0.1272513461657486</v>
      </c>
      <c r="S112" s="12">
        <f>Table1[[#This Row],[Percent Infected]]*Table1[[#This Row],[% Active]]</f>
        <v>7.7380594610403945E-5</v>
      </c>
      <c r="T112" s="8">
        <f>1/Table1[[#This Row],[Percent Actively Infected]]</f>
        <v>12923.136673151752</v>
      </c>
      <c r="AMC112"/>
    </row>
    <row r="113" spans="1:1017" s="1" customFormat="1" ht="16.5" thickBot="1" x14ac:dyDescent="0.3">
      <c r="A113" s="1">
        <v>114</v>
      </c>
      <c r="B113" s="54">
        <v>213</v>
      </c>
      <c r="C113" s="43" t="s">
        <v>233</v>
      </c>
      <c r="D113" s="51">
        <v>6</v>
      </c>
      <c r="E113" s="51"/>
      <c r="F113" s="51">
        <v>6</v>
      </c>
      <c r="G113" s="51">
        <v>0</v>
      </c>
      <c r="H113" s="51"/>
      <c r="I113" s="43">
        <v>9878</v>
      </c>
      <c r="J113" s="8">
        <f>Table1[[#This Row],[Population]]/Table1[[#This Row],[Cases]]</f>
        <v>1646.3333333333333</v>
      </c>
      <c r="K113" s="8" t="e">
        <f>Table1[[#This Row],[Population]]/Table1[[#This Row],[Deaths]]</f>
        <v>#DIV/0!</v>
      </c>
      <c r="L113" s="9">
        <f>Table1[[#This Row],[Deaths]]+Table1[[#This Row],[Active]]*Table1[[#This Row],[Death Rate]]</f>
        <v>0</v>
      </c>
      <c r="M113" s="10">
        <f>Table1[[#This Row],[Deaths]]/Table1[[#This Row],[Cases]]</f>
        <v>0</v>
      </c>
      <c r="N113" s="11" t="e">
        <f>Table1[[#This Row],[Cases]]/Table1[[#This Row],[Deaths]]</f>
        <v>#DIV/0!</v>
      </c>
      <c r="O113" s="12">
        <f>Table1[[#This Row],[Cases]]/Table1[[#This Row],[Population]]</f>
        <v>6.0741040696497264E-4</v>
      </c>
      <c r="P113" s="12">
        <f>Table1[[#This Row],[Deaths]]/Table1[[#This Row],[Population]]</f>
        <v>0</v>
      </c>
      <c r="Q113" s="13" t="e">
        <f>1-Table1[[#This Row],[Deaths]]/Table1[[#This Row],[Ex(Deaths)]]</f>
        <v>#DIV/0!</v>
      </c>
      <c r="R113" s="14">
        <f>G113/D113</f>
        <v>0</v>
      </c>
      <c r="S113" s="12">
        <f>Table1[[#This Row],[Percent Infected]]*Table1[[#This Row],[% Active]]</f>
        <v>0</v>
      </c>
      <c r="T113" s="8" t="e">
        <f>1/Table1[[#This Row],[Percent Actively Infected]]</f>
        <v>#DIV/0!</v>
      </c>
      <c r="AMC113"/>
    </row>
    <row r="114" spans="1:1017" s="1" customFormat="1" ht="16.5" thickBot="1" x14ac:dyDescent="0.3">
      <c r="A114" s="1">
        <v>115</v>
      </c>
      <c r="B114" s="52">
        <v>61</v>
      </c>
      <c r="C114" s="43" t="s">
        <v>202</v>
      </c>
      <c r="D114" s="48">
        <v>17502</v>
      </c>
      <c r="E114" s="49">
        <v>40</v>
      </c>
      <c r="F114" s="48">
        <v>11637</v>
      </c>
      <c r="G114" s="48">
        <v>5825</v>
      </c>
      <c r="H114" s="49"/>
      <c r="I114" s="43">
        <v>29157812</v>
      </c>
      <c r="J114" s="8">
        <f>Table1[[#This Row],[Population]]/Table1[[#This Row],[Cases]]</f>
        <v>1665.9702891098161</v>
      </c>
      <c r="K114" s="8">
        <f>Table1[[#This Row],[Population]]/Table1[[#This Row],[Deaths]]</f>
        <v>728945.3</v>
      </c>
      <c r="L114" s="9">
        <f>Table1[[#This Row],[Deaths]]+Table1[[#This Row],[Active]]*Table1[[#This Row],[Death Rate]]</f>
        <v>53.312764255513656</v>
      </c>
      <c r="M114" s="10">
        <f>Table1[[#This Row],[Deaths]]/Table1[[#This Row],[Cases]]</f>
        <v>2.2854530910753055E-3</v>
      </c>
      <c r="N114" s="11">
        <f>Table1[[#This Row],[Cases]]/Table1[[#This Row],[Deaths]]</f>
        <v>437.55</v>
      </c>
      <c r="O114" s="12">
        <f>Table1[[#This Row],[Cases]]/Table1[[#This Row],[Population]]</f>
        <v>6.0025080071165831E-4</v>
      </c>
      <c r="P114" s="12">
        <f>Table1[[#This Row],[Deaths]]/Table1[[#This Row],[Population]]</f>
        <v>1.3718450479068868E-6</v>
      </c>
      <c r="Q114" s="13">
        <f>1-Table1[[#This Row],[Deaths]]/Table1[[#This Row],[Ex(Deaths)]]</f>
        <v>0.24971063574398766</v>
      </c>
      <c r="R114" s="14">
        <f>G114/D114</f>
        <v>0.3328191063878414</v>
      </c>
      <c r="S114" s="12">
        <f>Table1[[#This Row],[Percent Infected]]*Table1[[#This Row],[% Active]]</f>
        <v>1.997749351014404E-4</v>
      </c>
      <c r="T114" s="8">
        <f>1/Table1[[#This Row],[Percent Actively Infected]]</f>
        <v>5005.6329613733906</v>
      </c>
      <c r="AMC114"/>
    </row>
    <row r="115" spans="1:1017" s="1" customFormat="1" ht="16.5" thickBot="1" x14ac:dyDescent="0.3">
      <c r="A115" s="1">
        <v>116</v>
      </c>
      <c r="B115" s="52">
        <v>32</v>
      </c>
      <c r="C115" s="43" t="s">
        <v>158</v>
      </c>
      <c r="D115" s="48">
        <v>65304</v>
      </c>
      <c r="E115" s="48">
        <v>1773</v>
      </c>
      <c r="F115" s="48">
        <v>22067</v>
      </c>
      <c r="G115" s="48">
        <v>41464</v>
      </c>
      <c r="H115" s="49">
        <v>522</v>
      </c>
      <c r="I115" s="43">
        <v>109643012</v>
      </c>
      <c r="J115" s="8">
        <f>Table1[[#This Row],[Population]]/Table1[[#This Row],[Cases]]</f>
        <v>1678.9631875535954</v>
      </c>
      <c r="K115" s="8">
        <f>Table1[[#This Row],[Population]]/Table1[[#This Row],[Deaths]]</f>
        <v>61840.390298928367</v>
      </c>
      <c r="L115" s="9">
        <f>Table1[[#This Row],[Deaths]]+Table1[[#This Row],[Active]]*Table1[[#This Row],[Death Rate]]</f>
        <v>2898.7453142227123</v>
      </c>
      <c r="M115" s="10">
        <f>Table1[[#This Row],[Deaths]]/Table1[[#This Row],[Cases]]</f>
        <v>2.7149944873208379E-2</v>
      </c>
      <c r="N115" s="11">
        <f>Table1[[#This Row],[Cases]]/Table1[[#This Row],[Deaths]]</f>
        <v>36.832487309644669</v>
      </c>
      <c r="O115" s="12">
        <f>Table1[[#This Row],[Cases]]/Table1[[#This Row],[Population]]</f>
        <v>5.956056734377199E-4</v>
      </c>
      <c r="P115" s="12">
        <f>Table1[[#This Row],[Deaths]]/Table1[[#This Row],[Population]]</f>
        <v>1.6170661200004246E-5</v>
      </c>
      <c r="Q115" s="13">
        <f>1-Table1[[#This Row],[Deaths]]/Table1[[#This Row],[Ex(Deaths)]]</f>
        <v>0.38835606174134574</v>
      </c>
      <c r="R115" s="14">
        <f>G115/D115</f>
        <v>0.63493813548940337</v>
      </c>
      <c r="S115" s="12">
        <f>Table1[[#This Row],[Percent Infected]]*Table1[[#This Row],[% Active]]</f>
        <v>3.7817275577945635E-4</v>
      </c>
      <c r="T115" s="8">
        <f>1/Table1[[#This Row],[Percent Actively Infected]]</f>
        <v>2644.29413467104</v>
      </c>
      <c r="AMC115"/>
    </row>
    <row r="116" spans="1:1017" s="1" customFormat="1" ht="16.5" thickBot="1" x14ac:dyDescent="0.3">
      <c r="A116" s="1">
        <v>117</v>
      </c>
      <c r="B116" s="52">
        <v>67</v>
      </c>
      <c r="C116" s="43" t="s">
        <v>171</v>
      </c>
      <c r="D116" s="48">
        <v>13696</v>
      </c>
      <c r="E116" s="49">
        <v>87</v>
      </c>
      <c r="F116" s="48">
        <v>7607</v>
      </c>
      <c r="G116" s="48">
        <v>6002</v>
      </c>
      <c r="H116" s="49"/>
      <c r="I116" s="43">
        <v>26402148</v>
      </c>
      <c r="J116" s="8">
        <f>Table1[[#This Row],[Population]]/Table1[[#This Row],[Cases]]</f>
        <v>1927.7269275700935</v>
      </c>
      <c r="K116" s="8">
        <f>Table1[[#This Row],[Population]]/Table1[[#This Row],[Deaths]]</f>
        <v>303472.96551724139</v>
      </c>
      <c r="L116" s="9">
        <f>Table1[[#This Row],[Deaths]]+Table1[[#This Row],[Active]]*Table1[[#This Row],[Death Rate]]</f>
        <v>125.12602219626169</v>
      </c>
      <c r="M116" s="10">
        <f>Table1[[#This Row],[Deaths]]/Table1[[#This Row],[Cases]]</f>
        <v>6.3522196261682241E-3</v>
      </c>
      <c r="N116" s="11">
        <f>Table1[[#This Row],[Cases]]/Table1[[#This Row],[Deaths]]</f>
        <v>157.42528735632183</v>
      </c>
      <c r="O116" s="12">
        <f>Table1[[#This Row],[Cases]]/Table1[[#This Row],[Population]]</f>
        <v>5.1874567175367702E-4</v>
      </c>
      <c r="P116" s="12">
        <f>Table1[[#This Row],[Deaths]]/Table1[[#This Row],[Population]]</f>
        <v>3.2951864371035265E-6</v>
      </c>
      <c r="Q116" s="13">
        <f>1-Table1[[#This Row],[Deaths]]/Table1[[#This Row],[Ex(Deaths)]]</f>
        <v>0.30470098487156061</v>
      </c>
      <c r="R116" s="14">
        <f>G116/D116</f>
        <v>0.43823014018691586</v>
      </c>
      <c r="S116" s="12">
        <f>Table1[[#This Row],[Percent Infected]]*Table1[[#This Row],[% Active]]</f>
        <v>2.2732998845396973E-4</v>
      </c>
      <c r="T116" s="8">
        <f>1/Table1[[#This Row],[Percent Actively Infected]]</f>
        <v>4398.8917027657444</v>
      </c>
      <c r="AMC116"/>
    </row>
    <row r="117" spans="1:1017" s="1" customFormat="1" ht="16.5" thickBot="1" x14ac:dyDescent="0.3">
      <c r="A117" s="1">
        <v>118</v>
      </c>
      <c r="B117" s="52">
        <v>80</v>
      </c>
      <c r="C117" s="43" t="s">
        <v>147</v>
      </c>
      <c r="D117" s="48">
        <v>8669</v>
      </c>
      <c r="E117" s="49">
        <v>163</v>
      </c>
      <c r="F117" s="48">
        <v>5859</v>
      </c>
      <c r="G117" s="48">
        <v>2647</v>
      </c>
      <c r="H117" s="49">
        <v>45</v>
      </c>
      <c r="I117" s="43">
        <v>16759682</v>
      </c>
      <c r="J117" s="8">
        <f>Table1[[#This Row],[Population]]/Table1[[#This Row],[Cases]]</f>
        <v>1933.2889606644364</v>
      </c>
      <c r="K117" s="8">
        <f>Table1[[#This Row],[Population]]/Table1[[#This Row],[Deaths]]</f>
        <v>102820.13496932515</v>
      </c>
      <c r="L117" s="9">
        <f>Table1[[#This Row],[Deaths]]+Table1[[#This Row],[Active]]*Table1[[#This Row],[Death Rate]]</f>
        <v>212.77056177183067</v>
      </c>
      <c r="M117" s="10">
        <f>Table1[[#This Row],[Deaths]]/Table1[[#This Row],[Cases]]</f>
        <v>1.8802630061137388E-2</v>
      </c>
      <c r="N117" s="11">
        <f>Table1[[#This Row],[Cases]]/Table1[[#This Row],[Deaths]]</f>
        <v>53.184049079754601</v>
      </c>
      <c r="O117" s="12">
        <f>Table1[[#This Row],[Cases]]/Table1[[#This Row],[Population]]</f>
        <v>5.1725325098650444E-4</v>
      </c>
      <c r="P117" s="12">
        <f>Table1[[#This Row],[Deaths]]/Table1[[#This Row],[Population]]</f>
        <v>9.7257215262198892E-6</v>
      </c>
      <c r="Q117" s="13">
        <f>1-Table1[[#This Row],[Deaths]]/Table1[[#This Row],[Ex(Deaths)]]</f>
        <v>0.23391657829621781</v>
      </c>
      <c r="R117" s="14">
        <f>G117/D117</f>
        <v>0.3053408697658323</v>
      </c>
      <c r="S117" s="12">
        <f>Table1[[#This Row],[Percent Infected]]*Table1[[#This Row],[% Active]]</f>
        <v>1.5793855754542361E-4</v>
      </c>
      <c r="T117" s="8">
        <f>1/Table1[[#This Row],[Percent Actively Infected]]</f>
        <v>6331.5761239138637</v>
      </c>
      <c r="AMC117"/>
    </row>
    <row r="118" spans="1:1017" s="1" customFormat="1" ht="16.5" thickBot="1" x14ac:dyDescent="0.3">
      <c r="A118" s="1">
        <v>119</v>
      </c>
      <c r="B118" s="52">
        <v>57</v>
      </c>
      <c r="C118" s="43" t="s">
        <v>146</v>
      </c>
      <c r="D118" s="48">
        <v>21948</v>
      </c>
      <c r="E118" s="48">
        <v>1057</v>
      </c>
      <c r="F118" s="48">
        <v>15430</v>
      </c>
      <c r="G118" s="48">
        <v>5461</v>
      </c>
      <c r="H118" s="49">
        <v>61</v>
      </c>
      <c r="I118" s="43">
        <v>43882752</v>
      </c>
      <c r="J118" s="8">
        <f>Table1[[#This Row],[Population]]/Table1[[#This Row],[Cases]]</f>
        <v>1999.396391470749</v>
      </c>
      <c r="K118" s="8">
        <f>Table1[[#This Row],[Population]]/Table1[[#This Row],[Deaths]]</f>
        <v>41516.321665089876</v>
      </c>
      <c r="L118" s="9">
        <f>Table1[[#This Row],[Deaths]]+Table1[[#This Row],[Active]]*Table1[[#This Row],[Death Rate]]</f>
        <v>1319.9978585748131</v>
      </c>
      <c r="M118" s="10">
        <f>Table1[[#This Row],[Deaths]]/Table1[[#This Row],[Cases]]</f>
        <v>4.815928558410789E-2</v>
      </c>
      <c r="N118" s="15">
        <f>Table1[[#This Row],[Cases]]/Table1[[#This Row],[Deaths]]</f>
        <v>20.764427625354777</v>
      </c>
      <c r="O118" s="12">
        <f>Table1[[#This Row],[Cases]]/Table1[[#This Row],[Population]]</f>
        <v>5.0015094768896895E-4</v>
      </c>
      <c r="P118" s="12">
        <f>Table1[[#This Row],[Deaths]]/Table1[[#This Row],[Population]]</f>
        <v>2.4086912324915266E-5</v>
      </c>
      <c r="Q118" s="13">
        <f>1-Table1[[#This Row],[Deaths]]/Table1[[#This Row],[Ex(Deaths)]]</f>
        <v>0.19924112517786119</v>
      </c>
      <c r="R118" s="16">
        <f>G118/D118</f>
        <v>0.24881538181155458</v>
      </c>
      <c r="S118" s="12">
        <f>Table1[[#This Row],[Percent Infected]]*Table1[[#This Row],[% Active]]</f>
        <v>1.2444524901264166E-4</v>
      </c>
      <c r="T118" s="8">
        <f>1/Table1[[#This Row],[Percent Actively Infected]]</f>
        <v>8035.6623329060631</v>
      </c>
      <c r="AMC118"/>
    </row>
    <row r="119" spans="1:1017" s="1" customFormat="1" ht="16.5" thickBot="1" x14ac:dyDescent="0.3">
      <c r="A119" s="1">
        <v>120</v>
      </c>
      <c r="B119" s="52">
        <v>90</v>
      </c>
      <c r="C119" s="43" t="s">
        <v>132</v>
      </c>
      <c r="D119" s="48">
        <v>6430</v>
      </c>
      <c r="E119" s="49">
        <v>39</v>
      </c>
      <c r="F119" s="48">
        <v>5233</v>
      </c>
      <c r="G119" s="48">
        <v>1158</v>
      </c>
      <c r="H119" s="49">
        <v>24</v>
      </c>
      <c r="I119" s="43">
        <v>13145368</v>
      </c>
      <c r="J119" s="8">
        <f>Table1[[#This Row],[Population]]/Table1[[#This Row],[Cases]]</f>
        <v>2044.3807153965786</v>
      </c>
      <c r="K119" s="8">
        <f>Table1[[#This Row],[Population]]/Table1[[#This Row],[Deaths]]</f>
        <v>337060.71794871794</v>
      </c>
      <c r="L119" s="9">
        <f>Table1[[#This Row],[Deaths]]+Table1[[#This Row],[Active]]*Table1[[#This Row],[Death Rate]]</f>
        <v>46.023639191290826</v>
      </c>
      <c r="M119" s="10">
        <f>Table1[[#This Row],[Deaths]]/Table1[[#This Row],[Cases]]</f>
        <v>6.0653188180404358E-3</v>
      </c>
      <c r="N119" s="11">
        <f>Table1[[#This Row],[Cases]]/Table1[[#This Row],[Deaths]]</f>
        <v>164.87179487179486</v>
      </c>
      <c r="O119" s="12">
        <f>Table1[[#This Row],[Cases]]/Table1[[#This Row],[Population]]</f>
        <v>4.8914568234225168E-4</v>
      </c>
      <c r="P119" s="12">
        <f>Table1[[#This Row],[Deaths]]/Table1[[#This Row],[Population]]</f>
        <v>2.966824511873688E-6</v>
      </c>
      <c r="Q119" s="13">
        <f>1-Table1[[#This Row],[Deaths]]/Table1[[#This Row],[Ex(Deaths)]]</f>
        <v>0.15260938323668949</v>
      </c>
      <c r="R119" s="14">
        <f>G119/D119</f>
        <v>0.18009331259720063</v>
      </c>
      <c r="S119" s="12">
        <f>Table1[[#This Row],[Percent Infected]]*Table1[[#This Row],[% Active]]</f>
        <v>8.8091866275634133E-5</v>
      </c>
      <c r="T119" s="8">
        <f>1/Table1[[#This Row],[Percent Actively Infected]]</f>
        <v>11351.785837651121</v>
      </c>
      <c r="AMC119"/>
    </row>
    <row r="120" spans="1:1017" s="1" customFormat="1" ht="16.5" thickBot="1" x14ac:dyDescent="0.3">
      <c r="A120" s="1">
        <v>121</v>
      </c>
      <c r="B120" s="52">
        <v>172</v>
      </c>
      <c r="C120" s="43" t="s">
        <v>109</v>
      </c>
      <c r="D120" s="49">
        <v>195</v>
      </c>
      <c r="E120" s="49">
        <v>14</v>
      </c>
      <c r="F120" s="49">
        <v>172</v>
      </c>
      <c r="G120" s="49">
        <v>9</v>
      </c>
      <c r="H120" s="49">
        <v>4</v>
      </c>
      <c r="I120" s="43">
        <v>400127</v>
      </c>
      <c r="J120" s="8">
        <f>Table1[[#This Row],[Population]]/Table1[[#This Row],[Cases]]</f>
        <v>2051.9333333333334</v>
      </c>
      <c r="K120" s="8">
        <f>Table1[[#This Row],[Population]]/Table1[[#This Row],[Deaths]]</f>
        <v>28580.5</v>
      </c>
      <c r="L120" s="9">
        <f>Table1[[#This Row],[Deaths]]+Table1[[#This Row],[Active]]*Table1[[#This Row],[Death Rate]]</f>
        <v>14.646153846153846</v>
      </c>
      <c r="M120" s="10">
        <f>Table1[[#This Row],[Deaths]]/Table1[[#This Row],[Cases]]</f>
        <v>7.179487179487179E-2</v>
      </c>
      <c r="N120" s="11">
        <f>Table1[[#This Row],[Cases]]/Table1[[#This Row],[Deaths]]</f>
        <v>13.928571428571429</v>
      </c>
      <c r="O120" s="12">
        <f>Table1[[#This Row],[Cases]]/Table1[[#This Row],[Population]]</f>
        <v>4.8734526787744893E-4</v>
      </c>
      <c r="P120" s="12">
        <f>Table1[[#This Row],[Deaths]]/Table1[[#This Row],[Population]]</f>
        <v>3.4988891027098896E-5</v>
      </c>
      <c r="Q120" s="13">
        <f>1-Table1[[#This Row],[Deaths]]/Table1[[#This Row],[Ex(Deaths)]]</f>
        <v>4.4117647058823484E-2</v>
      </c>
      <c r="R120" s="14">
        <f>G120/D120</f>
        <v>4.6153846153846156E-2</v>
      </c>
      <c r="S120" s="12">
        <f>Table1[[#This Row],[Percent Infected]]*Table1[[#This Row],[% Active]]</f>
        <v>2.2492858517420723E-5</v>
      </c>
      <c r="T120" s="8">
        <f>1/Table1[[#This Row],[Percent Actively Infected]]</f>
        <v>44458.555555555547</v>
      </c>
      <c r="AMC120"/>
    </row>
    <row r="121" spans="1:1017" s="1" customFormat="1" ht="16.5" thickBot="1" x14ac:dyDescent="0.3">
      <c r="A121" s="1">
        <v>122</v>
      </c>
      <c r="B121" s="52">
        <v>100</v>
      </c>
      <c r="C121" s="43" t="s">
        <v>161</v>
      </c>
      <c r="D121" s="48">
        <v>3457</v>
      </c>
      <c r="E121" s="49">
        <v>28</v>
      </c>
      <c r="F121" s="48">
        <v>1481</v>
      </c>
      <c r="G121" s="48">
        <v>1948</v>
      </c>
      <c r="H121" s="49">
        <v>11</v>
      </c>
      <c r="I121" s="43">
        <v>7136304</v>
      </c>
      <c r="J121" s="8">
        <f>Table1[[#This Row],[Population]]/Table1[[#This Row],[Cases]]</f>
        <v>2064.3054671680648</v>
      </c>
      <c r="K121" s="8">
        <f>Table1[[#This Row],[Population]]/Table1[[#This Row],[Deaths]]</f>
        <v>254868</v>
      </c>
      <c r="L121" s="9">
        <f>Table1[[#This Row],[Deaths]]+Table1[[#This Row],[Active]]*Table1[[#This Row],[Death Rate]]</f>
        <v>43.77784205958924</v>
      </c>
      <c r="M121" s="10">
        <f>Table1[[#This Row],[Deaths]]/Table1[[#This Row],[Cases]]</f>
        <v>8.0995082441423193E-3</v>
      </c>
      <c r="N121" s="11">
        <f>Table1[[#This Row],[Cases]]/Table1[[#This Row],[Deaths]]</f>
        <v>123.46428571428571</v>
      </c>
      <c r="O121" s="12">
        <f>Table1[[#This Row],[Cases]]/Table1[[#This Row],[Population]]</f>
        <v>4.8442443034937973E-4</v>
      </c>
      <c r="P121" s="12">
        <f>Table1[[#This Row],[Deaths]]/Table1[[#This Row],[Population]]</f>
        <v>3.9235996672787481E-6</v>
      </c>
      <c r="Q121" s="13">
        <f>1-Table1[[#This Row],[Deaths]]/Table1[[#This Row],[Ex(Deaths)]]</f>
        <v>0.36040703052728951</v>
      </c>
      <c r="R121" s="14">
        <f>G121/D121</f>
        <v>0.5634943592710443</v>
      </c>
      <c r="S121" s="12">
        <f>Table1[[#This Row],[Percent Infected]]*Table1[[#This Row],[% Active]]</f>
        <v>2.7297043399496435E-4</v>
      </c>
      <c r="T121" s="8">
        <f>1/Table1[[#This Row],[Percent Actively Infected]]</f>
        <v>3663.4004106776179</v>
      </c>
      <c r="AMC121"/>
    </row>
    <row r="122" spans="1:1017" s="1" customFormat="1" ht="16.5" thickBot="1" x14ac:dyDescent="0.3">
      <c r="A122" s="1">
        <v>123</v>
      </c>
      <c r="B122" s="52">
        <v>111</v>
      </c>
      <c r="C122" s="43" t="s">
        <v>173</v>
      </c>
      <c r="D122" s="48">
        <v>2633</v>
      </c>
      <c r="E122" s="49">
        <v>49</v>
      </c>
      <c r="F122" s="49">
        <v>626</v>
      </c>
      <c r="G122" s="48">
        <v>1958</v>
      </c>
      <c r="H122" s="49"/>
      <c r="I122" s="43">
        <v>5523062</v>
      </c>
      <c r="J122" s="8">
        <f>Table1[[#This Row],[Population]]/Table1[[#This Row],[Cases]]</f>
        <v>2097.630839346753</v>
      </c>
      <c r="K122" s="8">
        <f>Table1[[#This Row],[Population]]/Table1[[#This Row],[Deaths]]</f>
        <v>112715.55102040817</v>
      </c>
      <c r="L122" s="9">
        <f>Table1[[#This Row],[Deaths]]+Table1[[#This Row],[Active]]*Table1[[#This Row],[Death Rate]]</f>
        <v>85.438283327003418</v>
      </c>
      <c r="M122" s="10">
        <f>Table1[[#This Row],[Deaths]]/Table1[[#This Row],[Cases]]</f>
        <v>1.8609950626661601E-2</v>
      </c>
      <c r="N122" s="11">
        <f>Table1[[#This Row],[Cases]]/Table1[[#This Row],[Deaths]]</f>
        <v>53.734693877551024</v>
      </c>
      <c r="O122" s="12">
        <f>Table1[[#This Row],[Cases]]/Table1[[#This Row],[Population]]</f>
        <v>4.7672830759459156E-4</v>
      </c>
      <c r="P122" s="12">
        <f>Table1[[#This Row],[Deaths]]/Table1[[#This Row],[Population]]</f>
        <v>8.8718902666672949E-6</v>
      </c>
      <c r="Q122" s="13">
        <f>1-Table1[[#This Row],[Deaths]]/Table1[[#This Row],[Ex(Deaths)]]</f>
        <v>0.42648660422565887</v>
      </c>
      <c r="R122" s="14">
        <f>G122/D122</f>
        <v>0.74363843524496775</v>
      </c>
      <c r="S122" s="12">
        <f>Table1[[#This Row],[Percent Infected]]*Table1[[#This Row],[% Active]]</f>
        <v>3.5451349269662372E-4</v>
      </c>
      <c r="T122" s="8">
        <f>1/Table1[[#This Row],[Percent Actively Infected]]</f>
        <v>2820.7671092951991</v>
      </c>
      <c r="AMC122"/>
    </row>
    <row r="123" spans="1:1017" s="1" customFormat="1" ht="16.5" thickBot="1" x14ac:dyDescent="0.3">
      <c r="A123" s="1">
        <v>124</v>
      </c>
      <c r="B123" s="52">
        <v>102</v>
      </c>
      <c r="C123" s="43" t="s">
        <v>193</v>
      </c>
      <c r="D123" s="48">
        <v>3147</v>
      </c>
      <c r="E123" s="49">
        <v>99</v>
      </c>
      <c r="F123" s="48">
        <v>2282</v>
      </c>
      <c r="G123" s="49">
        <v>766</v>
      </c>
      <c r="H123" s="49"/>
      <c r="I123" s="43">
        <v>6627957</v>
      </c>
      <c r="J123" s="8">
        <f>Table1[[#This Row],[Population]]/Table1[[#This Row],[Cases]]</f>
        <v>2106.1191611058152</v>
      </c>
      <c r="K123" s="8">
        <f>Table1[[#This Row],[Population]]/Table1[[#This Row],[Deaths]]</f>
        <v>66949.060606060608</v>
      </c>
      <c r="L123" s="9">
        <f>Table1[[#This Row],[Deaths]]+Table1[[#This Row],[Active]]*Table1[[#This Row],[Death Rate]]</f>
        <v>123.09723546234508</v>
      </c>
      <c r="M123" s="10">
        <f>Table1[[#This Row],[Deaths]]/Table1[[#This Row],[Cases]]</f>
        <v>3.1458531935176358E-2</v>
      </c>
      <c r="N123" s="11">
        <f>Table1[[#This Row],[Cases]]/Table1[[#This Row],[Deaths]]</f>
        <v>31.787878787878789</v>
      </c>
      <c r="O123" s="12">
        <f>Table1[[#This Row],[Cases]]/Table1[[#This Row],[Population]]</f>
        <v>4.748069427728635E-4</v>
      </c>
      <c r="P123" s="12">
        <f>Table1[[#This Row],[Deaths]]/Table1[[#This Row],[Population]]</f>
        <v>1.493672937226358E-5</v>
      </c>
      <c r="Q123" s="13">
        <f>1-Table1[[#This Row],[Deaths]]/Table1[[#This Row],[Ex(Deaths)]]</f>
        <v>0.19575773064145152</v>
      </c>
      <c r="R123" s="14">
        <f>G123/D123</f>
        <v>0.24340641881156658</v>
      </c>
      <c r="S123" s="12">
        <f>Table1[[#This Row],[Percent Infected]]*Table1[[#This Row],[% Active]]</f>
        <v>1.1557105756721114E-4</v>
      </c>
      <c r="T123" s="8">
        <f>1/Table1[[#This Row],[Percent Actively Infected]]</f>
        <v>8652.6853785900785</v>
      </c>
      <c r="AMC123"/>
    </row>
    <row r="124" spans="1:1017" s="1" customFormat="1" ht="16.5" thickBot="1" x14ac:dyDescent="0.3">
      <c r="A124" s="1">
        <v>125</v>
      </c>
      <c r="B124" s="52">
        <v>64</v>
      </c>
      <c r="C124" s="43" t="s">
        <v>169</v>
      </c>
      <c r="D124" s="48">
        <v>15896</v>
      </c>
      <c r="E124" s="49">
        <v>80</v>
      </c>
      <c r="F124" s="48">
        <v>9003</v>
      </c>
      <c r="G124" s="48">
        <v>6813</v>
      </c>
      <c r="H124" s="49">
        <v>70</v>
      </c>
      <c r="I124" s="43">
        <v>33489510</v>
      </c>
      <c r="J124" s="8">
        <f>Table1[[#This Row],[Population]]/Table1[[#This Row],[Cases]]</f>
        <v>2106.7885002516355</v>
      </c>
      <c r="K124" s="8">
        <f>Table1[[#This Row],[Population]]/Table1[[#This Row],[Deaths]]</f>
        <v>418618.875</v>
      </c>
      <c r="L124" s="9">
        <f>Table1[[#This Row],[Deaths]]+Table1[[#This Row],[Active]]*Table1[[#This Row],[Death Rate]]</f>
        <v>114.28787116255663</v>
      </c>
      <c r="M124" s="10">
        <f>Table1[[#This Row],[Deaths]]/Table1[[#This Row],[Cases]]</f>
        <v>5.0327126321087065E-3</v>
      </c>
      <c r="N124" s="11">
        <f>Table1[[#This Row],[Cases]]/Table1[[#This Row],[Deaths]]</f>
        <v>198.7</v>
      </c>
      <c r="O124" s="12">
        <f>Table1[[#This Row],[Cases]]/Table1[[#This Row],[Population]]</f>
        <v>4.7465609380370152E-4</v>
      </c>
      <c r="P124" s="12">
        <f>Table1[[#This Row],[Deaths]]/Table1[[#This Row],[Population]]</f>
        <v>2.3888077191932637E-6</v>
      </c>
      <c r="Q124" s="13">
        <f>1-Table1[[#This Row],[Deaths]]/Table1[[#This Row],[Ex(Deaths)]]</f>
        <v>0.30001321062133957</v>
      </c>
      <c r="R124" s="14">
        <f>G124/D124</f>
        <v>0.42859838953195772</v>
      </c>
      <c r="S124" s="12">
        <f>Table1[[#This Row],[Percent Infected]]*Table1[[#This Row],[% Active]]</f>
        <v>2.0343683738579632E-4</v>
      </c>
      <c r="T124" s="8">
        <f>1/Table1[[#This Row],[Percent Actively Infected]]</f>
        <v>4915.5306032584767</v>
      </c>
      <c r="AMC124"/>
    </row>
    <row r="125" spans="1:1017" s="1" customFormat="1" ht="16.5" thickBot="1" x14ac:dyDescent="0.3">
      <c r="A125" s="1">
        <v>126</v>
      </c>
      <c r="B125" s="52">
        <v>135</v>
      </c>
      <c r="C125" s="43" t="s">
        <v>216</v>
      </c>
      <c r="D125" s="48">
        <v>1203</v>
      </c>
      <c r="E125" s="49">
        <v>2</v>
      </c>
      <c r="F125" s="49">
        <v>32</v>
      </c>
      <c r="G125" s="48">
        <v>1169</v>
      </c>
      <c r="H125" s="49">
        <v>1</v>
      </c>
      <c r="I125" s="43">
        <v>2542746</v>
      </c>
      <c r="J125" s="8">
        <f>Table1[[#This Row],[Population]]/Table1[[#This Row],[Cases]]</f>
        <v>2113.6708229426436</v>
      </c>
      <c r="K125" s="8">
        <f>Table1[[#This Row],[Population]]/Table1[[#This Row],[Deaths]]</f>
        <v>1271373</v>
      </c>
      <c r="L125" s="9">
        <f>Table1[[#This Row],[Deaths]]+Table1[[#This Row],[Active]]*Table1[[#This Row],[Death Rate]]</f>
        <v>3.9434746467165418</v>
      </c>
      <c r="M125" s="10">
        <f>Table1[[#This Row],[Deaths]]/Table1[[#This Row],[Cases]]</f>
        <v>1.6625103906899418E-3</v>
      </c>
      <c r="N125" s="15">
        <f>Table1[[#This Row],[Cases]]/Table1[[#This Row],[Deaths]]</f>
        <v>601.5</v>
      </c>
      <c r="O125" s="12">
        <f>Table1[[#This Row],[Cases]]/Table1[[#This Row],[Population]]</f>
        <v>4.731105662932908E-4</v>
      </c>
      <c r="P125" s="12">
        <f>Table1[[#This Row],[Deaths]]/Table1[[#This Row],[Population]]</f>
        <v>7.8655123240779854E-7</v>
      </c>
      <c r="Q125" s="13">
        <f>1-Table1[[#This Row],[Deaths]]/Table1[[#This Row],[Ex(Deaths)]]</f>
        <v>0.49283305227655982</v>
      </c>
      <c r="R125" s="16">
        <f>G125/D125</f>
        <v>0.97173732335827101</v>
      </c>
      <c r="S125" s="12">
        <f>Table1[[#This Row],[Percent Infected]]*Table1[[#This Row],[% Active]]</f>
        <v>4.5973919534235825E-4</v>
      </c>
      <c r="T125" s="8">
        <f>1/Table1[[#This Row],[Percent Actively Infected]]</f>
        <v>2175.1462788708295</v>
      </c>
      <c r="AMC125"/>
    </row>
    <row r="126" spans="1:1017" s="1" customFormat="1" ht="16.5" thickBot="1" x14ac:dyDescent="0.3">
      <c r="A126" s="1">
        <v>127</v>
      </c>
      <c r="B126" s="52">
        <v>62</v>
      </c>
      <c r="C126" s="43" t="s">
        <v>143</v>
      </c>
      <c r="D126" s="48">
        <v>16726</v>
      </c>
      <c r="E126" s="49">
        <v>264</v>
      </c>
      <c r="F126" s="48">
        <v>14360</v>
      </c>
      <c r="G126" s="48">
        <v>2102</v>
      </c>
      <c r="H126" s="49">
        <v>31</v>
      </c>
      <c r="I126" s="43">
        <v>36929459</v>
      </c>
      <c r="J126" s="8">
        <f>Table1[[#This Row],[Population]]/Table1[[#This Row],[Cases]]</f>
        <v>2207.9073896926939</v>
      </c>
      <c r="K126" s="8">
        <f>Table1[[#This Row],[Population]]/Table1[[#This Row],[Deaths]]</f>
        <v>139884.31439393939</v>
      </c>
      <c r="L126" s="9">
        <f>Table1[[#This Row],[Deaths]]+Table1[[#This Row],[Active]]*Table1[[#This Row],[Death Rate]]</f>
        <v>297.17756785842403</v>
      </c>
      <c r="M126" s="10">
        <f>Table1[[#This Row],[Deaths]]/Table1[[#This Row],[Cases]]</f>
        <v>1.5783809637689824E-2</v>
      </c>
      <c r="N126" s="11">
        <f>Table1[[#This Row],[Cases]]/Table1[[#This Row],[Deaths]]</f>
        <v>63.356060606060609</v>
      </c>
      <c r="O126" s="12">
        <f>Table1[[#This Row],[Cases]]/Table1[[#This Row],[Population]]</f>
        <v>4.5291754747882985E-4</v>
      </c>
      <c r="P126" s="12">
        <f>Table1[[#This Row],[Deaths]]/Table1[[#This Row],[Population]]</f>
        <v>7.148764350975193E-6</v>
      </c>
      <c r="Q126" s="13">
        <f>1-Table1[[#This Row],[Deaths]]/Table1[[#This Row],[Ex(Deaths)]]</f>
        <v>0.1116422349691949</v>
      </c>
      <c r="R126" s="14">
        <f>G126/D126</f>
        <v>0.12567260552433338</v>
      </c>
      <c r="S126" s="12">
        <f>Table1[[#This Row],[Percent Infected]]*Table1[[#This Row],[% Active]]</f>
        <v>5.6919328279355517E-5</v>
      </c>
      <c r="T126" s="8">
        <f>1/Table1[[#This Row],[Percent Actively Infected]]</f>
        <v>17568.724548049475</v>
      </c>
      <c r="AMC126"/>
    </row>
    <row r="127" spans="1:1017" s="1" customFormat="1" ht="16.5" thickBot="1" x14ac:dyDescent="0.3">
      <c r="A127" s="1">
        <v>128</v>
      </c>
      <c r="B127" s="52">
        <v>72</v>
      </c>
      <c r="C127" s="43" t="s">
        <v>123</v>
      </c>
      <c r="D127" s="48">
        <v>11441</v>
      </c>
      <c r="E127" s="49">
        <v>118</v>
      </c>
      <c r="F127" s="48">
        <v>8161</v>
      </c>
      <c r="G127" s="48">
        <v>3162</v>
      </c>
      <c r="H127" s="49">
        <v>26</v>
      </c>
      <c r="I127" s="43">
        <v>25512702</v>
      </c>
      <c r="J127" s="8">
        <f>Table1[[#This Row],[Population]]/Table1[[#This Row],[Cases]]</f>
        <v>2229.9363691984968</v>
      </c>
      <c r="K127" s="8">
        <f>Table1[[#This Row],[Population]]/Table1[[#This Row],[Deaths]]</f>
        <v>216209.33898305084</v>
      </c>
      <c r="L127" s="9">
        <f>Table1[[#This Row],[Deaths]]+Table1[[#This Row],[Active]]*Table1[[#This Row],[Death Rate]]</f>
        <v>150.61218424962851</v>
      </c>
      <c r="M127" s="10">
        <f>Table1[[#This Row],[Deaths]]/Table1[[#This Row],[Cases]]</f>
        <v>1.0313783760160825E-2</v>
      </c>
      <c r="N127" s="11">
        <f>Table1[[#This Row],[Cases]]/Table1[[#This Row],[Deaths]]</f>
        <v>96.957627118644069</v>
      </c>
      <c r="O127" s="12">
        <f>Table1[[#This Row],[Cases]]/Table1[[#This Row],[Population]]</f>
        <v>4.4844328915063565E-4</v>
      </c>
      <c r="P127" s="12">
        <f>Table1[[#This Row],[Deaths]]/Table1[[#This Row],[Population]]</f>
        <v>4.6251471129949306E-6</v>
      </c>
      <c r="Q127" s="13">
        <f>1-Table1[[#This Row],[Deaths]]/Table1[[#This Row],[Ex(Deaths)]]</f>
        <v>0.21653084982537829</v>
      </c>
      <c r="R127" s="14">
        <f>G127/D127</f>
        <v>0.27637444279346213</v>
      </c>
      <c r="S127" s="12">
        <f>Table1[[#This Row],[Percent Infected]]*Table1[[#This Row],[% Active]]</f>
        <v>1.2393826416347436E-4</v>
      </c>
      <c r="T127" s="8">
        <f>1/Table1[[#This Row],[Percent Actively Infected]]</f>
        <v>8068.5332068311182</v>
      </c>
      <c r="AMC127"/>
    </row>
    <row r="128" spans="1:1017" s="1" customFormat="1" ht="16.5" thickBot="1" x14ac:dyDescent="0.3">
      <c r="A128" s="1">
        <v>129</v>
      </c>
      <c r="B128" s="52">
        <v>96</v>
      </c>
      <c r="C128" s="43" t="s">
        <v>111</v>
      </c>
      <c r="D128" s="48">
        <v>4315</v>
      </c>
      <c r="E128" s="49">
        <v>596</v>
      </c>
      <c r="F128" s="48">
        <v>3222</v>
      </c>
      <c r="G128" s="49">
        <v>497</v>
      </c>
      <c r="H128" s="49">
        <v>3</v>
      </c>
      <c r="I128" s="43">
        <v>9659119</v>
      </c>
      <c r="J128" s="8">
        <f>Table1[[#This Row],[Population]]/Table1[[#This Row],[Cases]]</f>
        <v>2238.4980301274622</v>
      </c>
      <c r="K128" s="8">
        <f>Table1[[#This Row],[Population]]/Table1[[#This Row],[Deaths]]</f>
        <v>16206.575503355705</v>
      </c>
      <c r="L128" s="9">
        <f>Table1[[#This Row],[Deaths]]+Table1[[#This Row],[Active]]*Table1[[#This Row],[Death Rate]]</f>
        <v>664.64704519119346</v>
      </c>
      <c r="M128" s="10">
        <f>Table1[[#This Row],[Deaths]]/Table1[[#This Row],[Cases]]</f>
        <v>0.1381228273464658</v>
      </c>
      <c r="N128" s="11">
        <f>Table1[[#This Row],[Cases]]/Table1[[#This Row],[Deaths]]</f>
        <v>7.2399328859060406</v>
      </c>
      <c r="O128" s="12">
        <f>Table1[[#This Row],[Cases]]/Table1[[#This Row],[Population]]</f>
        <v>4.46728112574242E-4</v>
      </c>
      <c r="P128" s="12">
        <f>Table1[[#This Row],[Deaths]]/Table1[[#This Row],[Population]]</f>
        <v>6.1703349963904578E-5</v>
      </c>
      <c r="Q128" s="13">
        <f>1-Table1[[#This Row],[Deaths]]/Table1[[#This Row],[Ex(Deaths)]]</f>
        <v>0.10328345802161254</v>
      </c>
      <c r="R128" s="14">
        <f>G128/D128</f>
        <v>0.11517960602549247</v>
      </c>
      <c r="S128" s="12">
        <f>Table1[[#This Row],[Percent Infected]]*Table1[[#This Row],[% Active]]</f>
        <v>5.1453968006813043E-5</v>
      </c>
      <c r="T128" s="8">
        <f>1/Table1[[#This Row],[Percent Actively Infected]]</f>
        <v>19434.847082494969</v>
      </c>
      <c r="AMC128"/>
    </row>
    <row r="129" spans="1:1017" s="1" customFormat="1" ht="16.5" thickBot="1" x14ac:dyDescent="0.3">
      <c r="A129" s="1">
        <v>130</v>
      </c>
      <c r="B129" s="52">
        <v>166</v>
      </c>
      <c r="C129" s="43" t="s">
        <v>152</v>
      </c>
      <c r="D129" s="49">
        <v>320</v>
      </c>
      <c r="E129" s="49">
        <v>19</v>
      </c>
      <c r="F129" s="49">
        <v>156</v>
      </c>
      <c r="G129" s="49">
        <v>145</v>
      </c>
      <c r="H129" s="49">
        <v>5</v>
      </c>
      <c r="I129" s="43">
        <v>786729</v>
      </c>
      <c r="J129" s="8">
        <f>Table1[[#This Row],[Population]]/Table1[[#This Row],[Cases]]</f>
        <v>2458.5281249999998</v>
      </c>
      <c r="K129" s="8">
        <f>Table1[[#This Row],[Population]]/Table1[[#This Row],[Deaths]]</f>
        <v>41406.789473684214</v>
      </c>
      <c r="L129" s="9">
        <f>Table1[[#This Row],[Deaths]]+Table1[[#This Row],[Active]]*Table1[[#This Row],[Death Rate]]</f>
        <v>27.609375</v>
      </c>
      <c r="M129" s="10">
        <f>Table1[[#This Row],[Deaths]]/Table1[[#This Row],[Cases]]</f>
        <v>5.9374999999999997E-2</v>
      </c>
      <c r="N129" s="11">
        <f>Table1[[#This Row],[Cases]]/Table1[[#This Row],[Deaths]]</f>
        <v>16.842105263157894</v>
      </c>
      <c r="O129" s="12">
        <f>Table1[[#This Row],[Cases]]/Table1[[#This Row],[Population]]</f>
        <v>4.0674743145352465E-4</v>
      </c>
      <c r="P129" s="12">
        <f>Table1[[#This Row],[Deaths]]/Table1[[#This Row],[Population]]</f>
        <v>2.4150628742553028E-5</v>
      </c>
      <c r="Q129" s="13">
        <f>1-Table1[[#This Row],[Deaths]]/Table1[[#This Row],[Ex(Deaths)]]</f>
        <v>0.31182795698924726</v>
      </c>
      <c r="R129" s="14">
        <f>G129/D129</f>
        <v>0.453125</v>
      </c>
      <c r="S129" s="12">
        <f>Table1[[#This Row],[Percent Infected]]*Table1[[#This Row],[% Active]]</f>
        <v>1.8430742987737836E-4</v>
      </c>
      <c r="T129" s="8">
        <f>1/Table1[[#This Row],[Percent Actively Infected]]</f>
        <v>5425.7172413793105</v>
      </c>
      <c r="AMC129"/>
    </row>
    <row r="130" spans="1:1017" s="1" customFormat="1" ht="16.5" thickBot="1" x14ac:dyDescent="0.3">
      <c r="A130" s="1">
        <v>131</v>
      </c>
      <c r="B130" s="52">
        <v>110</v>
      </c>
      <c r="C130" s="43" t="s">
        <v>155</v>
      </c>
      <c r="D130" s="48">
        <v>2700</v>
      </c>
      <c r="E130" s="49">
        <v>40</v>
      </c>
      <c r="F130" s="48">
        <v>1485</v>
      </c>
      <c r="G130" s="48">
        <v>1175</v>
      </c>
      <c r="H130" s="49">
        <v>12</v>
      </c>
      <c r="I130" s="43">
        <v>6823882</v>
      </c>
      <c r="J130" s="8">
        <f>Table1[[#This Row],[Population]]/Table1[[#This Row],[Cases]]</f>
        <v>2527.3637037037038</v>
      </c>
      <c r="K130" s="8">
        <f>Table1[[#This Row],[Population]]/Table1[[#This Row],[Deaths]]</f>
        <v>170597.05</v>
      </c>
      <c r="L130" s="9">
        <f>Table1[[#This Row],[Deaths]]+Table1[[#This Row],[Active]]*Table1[[#This Row],[Death Rate]]</f>
        <v>57.407407407407405</v>
      </c>
      <c r="M130" s="10">
        <f>Table1[[#This Row],[Deaths]]/Table1[[#This Row],[Cases]]</f>
        <v>1.4814814814814815E-2</v>
      </c>
      <c r="N130" s="11">
        <f>Table1[[#This Row],[Cases]]/Table1[[#This Row],[Deaths]]</f>
        <v>67.5</v>
      </c>
      <c r="O130" s="12">
        <f>Table1[[#This Row],[Cases]]/Table1[[#This Row],[Population]]</f>
        <v>3.9566920998927003E-4</v>
      </c>
      <c r="P130" s="12">
        <f>Table1[[#This Row],[Deaths]]/Table1[[#This Row],[Population]]</f>
        <v>5.861766073915112E-6</v>
      </c>
      <c r="Q130" s="13">
        <f>1-Table1[[#This Row],[Deaths]]/Table1[[#This Row],[Ex(Deaths)]]</f>
        <v>0.3032258064516129</v>
      </c>
      <c r="R130" s="14">
        <f>G130/D130</f>
        <v>0.43518518518518517</v>
      </c>
      <c r="S130" s="12">
        <f>Table1[[#This Row],[Percent Infected]]*Table1[[#This Row],[% Active]]</f>
        <v>1.7218937842125641E-4</v>
      </c>
      <c r="T130" s="8">
        <f>1/Table1[[#This Row],[Percent Actively Infected]]</f>
        <v>5807.5591489361705</v>
      </c>
      <c r="AMC130"/>
    </row>
    <row r="131" spans="1:1017" s="1" customFormat="1" ht="16.5" thickBot="1" x14ac:dyDescent="0.3">
      <c r="A131" s="1">
        <v>132</v>
      </c>
      <c r="B131" s="52">
        <v>73</v>
      </c>
      <c r="C131" s="43" t="s">
        <v>195</v>
      </c>
      <c r="D131" s="48">
        <v>11191</v>
      </c>
      <c r="E131" s="49">
        <v>107</v>
      </c>
      <c r="F131" s="48">
        <v>3852</v>
      </c>
      <c r="G131" s="48">
        <v>7232</v>
      </c>
      <c r="H131" s="49">
        <v>20</v>
      </c>
      <c r="I131" s="43">
        <v>28431883</v>
      </c>
      <c r="J131" s="8">
        <f>Table1[[#This Row],[Population]]/Table1[[#This Row],[Cases]]</f>
        <v>2540.602537753552</v>
      </c>
      <c r="K131" s="8">
        <f>Table1[[#This Row],[Population]]/Table1[[#This Row],[Deaths]]</f>
        <v>265718.53271028039</v>
      </c>
      <c r="L131" s="9">
        <f>Table1[[#This Row],[Deaths]]+Table1[[#This Row],[Active]]*Table1[[#This Row],[Death Rate]]</f>
        <v>176.14699311947101</v>
      </c>
      <c r="M131" s="10">
        <f>Table1[[#This Row],[Deaths]]/Table1[[#This Row],[Cases]]</f>
        <v>9.5612545795728705E-3</v>
      </c>
      <c r="N131" s="11">
        <f>Table1[[#This Row],[Cases]]/Table1[[#This Row],[Deaths]]</f>
        <v>104.58878504672897</v>
      </c>
      <c r="O131" s="12">
        <f>Table1[[#This Row],[Cases]]/Table1[[#This Row],[Population]]</f>
        <v>3.9360741601250963E-4</v>
      </c>
      <c r="P131" s="12">
        <f>Table1[[#This Row],[Deaths]]/Table1[[#This Row],[Population]]</f>
        <v>3.7633807089034518E-6</v>
      </c>
      <c r="Q131" s="13">
        <f>1-Table1[[#This Row],[Deaths]]/Table1[[#This Row],[Ex(Deaths)]]</f>
        <v>0.39255278727677356</v>
      </c>
      <c r="R131" s="14">
        <f>G131/D131</f>
        <v>0.64623358055580382</v>
      </c>
      <c r="S131" s="12">
        <f>Table1[[#This Row],[Percent Infected]]*Table1[[#This Row],[% Active]]</f>
        <v>2.5436232978308192E-4</v>
      </c>
      <c r="T131" s="8">
        <f>1/Table1[[#This Row],[Percent Actively Infected]]</f>
        <v>3931.3997511061943</v>
      </c>
      <c r="AMC131"/>
    </row>
    <row r="132" spans="1:1017" s="1" customFormat="1" ht="16.5" thickBot="1" x14ac:dyDescent="0.3">
      <c r="A132" s="1">
        <v>133</v>
      </c>
      <c r="B132" s="52">
        <v>98</v>
      </c>
      <c r="C132" s="43" t="s">
        <v>125</v>
      </c>
      <c r="D132" s="48">
        <v>3983</v>
      </c>
      <c r="E132" s="49">
        <v>194</v>
      </c>
      <c r="F132" s="48">
        <v>1374</v>
      </c>
      <c r="G132" s="48">
        <v>2415</v>
      </c>
      <c r="H132" s="49">
        <v>12</v>
      </c>
      <c r="I132" s="43">
        <v>10420441</v>
      </c>
      <c r="J132" s="8">
        <f>Table1[[#This Row],[Population]]/Table1[[#This Row],[Cases]]</f>
        <v>2616.229224202862</v>
      </c>
      <c r="K132" s="8">
        <f>Table1[[#This Row],[Population]]/Table1[[#This Row],[Deaths]]</f>
        <v>53713.613402061856</v>
      </c>
      <c r="L132" s="9">
        <f>Table1[[#This Row],[Deaths]]+Table1[[#This Row],[Active]]*Table1[[#This Row],[Death Rate]]</f>
        <v>311.62741652021089</v>
      </c>
      <c r="M132" s="10">
        <f>Table1[[#This Row],[Deaths]]/Table1[[#This Row],[Cases]]</f>
        <v>4.8707004770273662E-2</v>
      </c>
      <c r="N132" s="11">
        <f>Table1[[#This Row],[Cases]]/Table1[[#This Row],[Deaths]]</f>
        <v>20.530927835051546</v>
      </c>
      <c r="O132" s="12">
        <f>Table1[[#This Row],[Cases]]/Table1[[#This Row],[Population]]</f>
        <v>3.8222950449026102E-4</v>
      </c>
      <c r="P132" s="12">
        <f>Table1[[#This Row],[Deaths]]/Table1[[#This Row],[Population]]</f>
        <v>1.8617254298546482E-5</v>
      </c>
      <c r="Q132" s="13">
        <f>1-Table1[[#This Row],[Deaths]]/Table1[[#This Row],[Ex(Deaths)]]</f>
        <v>0.37746170678336977</v>
      </c>
      <c r="R132" s="14">
        <f>G132/D132</f>
        <v>0.60632688927943756</v>
      </c>
      <c r="S132" s="12">
        <f>Table1[[#This Row],[Percent Infected]]*Table1[[#This Row],[% Active]]</f>
        <v>2.3175602644840077E-4</v>
      </c>
      <c r="T132" s="8">
        <f>1/Table1[[#This Row],[Percent Actively Infected]]</f>
        <v>4314.8824016563149</v>
      </c>
      <c r="AMC132"/>
    </row>
    <row r="133" spans="1:1017" s="1" customFormat="1" ht="16.5" thickBot="1" x14ac:dyDescent="0.3">
      <c r="A133" s="1">
        <v>134</v>
      </c>
      <c r="B133" s="52">
        <v>210</v>
      </c>
      <c r="C133" s="43" t="s">
        <v>232</v>
      </c>
      <c r="D133" s="49">
        <v>10</v>
      </c>
      <c r="E133" s="49"/>
      <c r="F133" s="49">
        <v>7</v>
      </c>
      <c r="G133" s="49">
        <v>3</v>
      </c>
      <c r="H133" s="49"/>
      <c r="I133" s="43">
        <v>26234</v>
      </c>
      <c r="J133" s="8">
        <f>Table1[[#This Row],[Population]]/Table1[[#This Row],[Cases]]</f>
        <v>2623.4</v>
      </c>
      <c r="K133" s="8" t="e">
        <f>Table1[[#This Row],[Population]]/Table1[[#This Row],[Deaths]]</f>
        <v>#DIV/0!</v>
      </c>
      <c r="L133" s="9">
        <f>Table1[[#This Row],[Deaths]]+Table1[[#This Row],[Active]]*Table1[[#This Row],[Death Rate]]</f>
        <v>0</v>
      </c>
      <c r="M133" s="10">
        <f>Table1[[#This Row],[Deaths]]/Table1[[#This Row],[Cases]]</f>
        <v>0</v>
      </c>
      <c r="N133" s="11" t="e">
        <f>Table1[[#This Row],[Cases]]/Table1[[#This Row],[Deaths]]</f>
        <v>#DIV/0!</v>
      </c>
      <c r="O133" s="12">
        <f>Table1[[#This Row],[Cases]]/Table1[[#This Row],[Population]]</f>
        <v>3.8118472211633755E-4</v>
      </c>
      <c r="P133" s="12">
        <f>Table1[[#This Row],[Deaths]]/Table1[[#This Row],[Population]]</f>
        <v>0</v>
      </c>
      <c r="Q133" s="13" t="e">
        <f>1-Table1[[#This Row],[Deaths]]/Table1[[#This Row],[Ex(Deaths)]]</f>
        <v>#DIV/0!</v>
      </c>
      <c r="R133" s="14">
        <f>G133/D133</f>
        <v>0.3</v>
      </c>
      <c r="S133" s="12">
        <f>Table1[[#This Row],[Percent Infected]]*Table1[[#This Row],[% Active]]</f>
        <v>1.1435541663490126E-4</v>
      </c>
      <c r="T133" s="8">
        <f>1/Table1[[#This Row],[Percent Actively Infected]]</f>
        <v>8744.6666666666679</v>
      </c>
      <c r="AMC133"/>
    </row>
    <row r="134" spans="1:1017" s="1" customFormat="1" ht="16.5" thickBot="1" x14ac:dyDescent="0.3">
      <c r="A134" s="1">
        <v>135</v>
      </c>
      <c r="B134" s="52">
        <v>165</v>
      </c>
      <c r="C134" s="43" t="s">
        <v>167</v>
      </c>
      <c r="D134" s="49">
        <v>328</v>
      </c>
      <c r="E134" s="49">
        <v>7</v>
      </c>
      <c r="F134" s="49">
        <v>311</v>
      </c>
      <c r="G134" s="49">
        <v>10</v>
      </c>
      <c r="H134" s="49"/>
      <c r="I134" s="43">
        <v>870312</v>
      </c>
      <c r="J134" s="8">
        <f>Table1[[#This Row],[Population]]/Table1[[#This Row],[Cases]]</f>
        <v>2653.3902439024391</v>
      </c>
      <c r="K134" s="8">
        <f>Table1[[#This Row],[Population]]/Table1[[#This Row],[Deaths]]</f>
        <v>124330.28571428571</v>
      </c>
      <c r="L134" s="9">
        <f>Table1[[#This Row],[Deaths]]+Table1[[#This Row],[Active]]*Table1[[#This Row],[Death Rate]]</f>
        <v>7.2134146341463419</v>
      </c>
      <c r="M134" s="10">
        <f>Table1[[#This Row],[Deaths]]/Table1[[#This Row],[Cases]]</f>
        <v>2.1341463414634148E-2</v>
      </c>
      <c r="N134" s="11">
        <f>Table1[[#This Row],[Cases]]/Table1[[#This Row],[Deaths]]</f>
        <v>46.857142857142854</v>
      </c>
      <c r="O134" s="12">
        <f>Table1[[#This Row],[Cases]]/Table1[[#This Row],[Population]]</f>
        <v>3.7687633860040997E-4</v>
      </c>
      <c r="P134" s="12">
        <f>Table1[[#This Row],[Deaths]]/Table1[[#This Row],[Population]]</f>
        <v>8.0430925920819195E-6</v>
      </c>
      <c r="Q134" s="13">
        <f>1-Table1[[#This Row],[Deaths]]/Table1[[#This Row],[Ex(Deaths)]]</f>
        <v>2.9585798816568087E-2</v>
      </c>
      <c r="R134" s="14">
        <f>G134/D134</f>
        <v>3.048780487804878E-2</v>
      </c>
      <c r="S134" s="12">
        <f>Table1[[#This Row],[Percent Infected]]*Table1[[#This Row],[% Active]]</f>
        <v>1.1490132274402743E-5</v>
      </c>
      <c r="T134" s="8">
        <f>1/Table1[[#This Row],[Percent Actively Infected]]</f>
        <v>87031.2</v>
      </c>
      <c r="AMC134"/>
    </row>
    <row r="135" spans="1:1017" s="1" customFormat="1" ht="16.5" thickBot="1" x14ac:dyDescent="0.3">
      <c r="A135" s="1">
        <v>136</v>
      </c>
      <c r="B135" s="52">
        <v>117</v>
      </c>
      <c r="C135" s="43" t="s">
        <v>124</v>
      </c>
      <c r="D135" s="48">
        <v>1976</v>
      </c>
      <c r="E135" s="49">
        <v>28</v>
      </c>
      <c r="F135" s="48">
        <v>1523</v>
      </c>
      <c r="G135" s="49">
        <v>425</v>
      </c>
      <c r="H135" s="49">
        <v>2</v>
      </c>
      <c r="I135" s="43">
        <v>5459771</v>
      </c>
      <c r="J135" s="8">
        <f>Table1[[#This Row],[Population]]/Table1[[#This Row],[Cases]]</f>
        <v>2763.0420040485828</v>
      </c>
      <c r="K135" s="8">
        <f>Table1[[#This Row],[Population]]/Table1[[#This Row],[Deaths]]</f>
        <v>194991.82142857142</v>
      </c>
      <c r="L135" s="9">
        <f>Table1[[#This Row],[Deaths]]+Table1[[#This Row],[Active]]*Table1[[#This Row],[Death Rate]]</f>
        <v>34.022267206477736</v>
      </c>
      <c r="M135" s="10">
        <f>Table1[[#This Row],[Deaths]]/Table1[[#This Row],[Cases]]</f>
        <v>1.417004048582996E-2</v>
      </c>
      <c r="N135" s="11">
        <f>Table1[[#This Row],[Cases]]/Table1[[#This Row],[Deaths]]</f>
        <v>70.571428571428569</v>
      </c>
      <c r="O135" s="12">
        <f>Table1[[#This Row],[Cases]]/Table1[[#This Row],[Population]]</f>
        <v>3.6191994133087267E-4</v>
      </c>
      <c r="P135" s="12">
        <f>Table1[[#This Row],[Deaths]]/Table1[[#This Row],[Population]]</f>
        <v>5.1284202212876696E-6</v>
      </c>
      <c r="Q135" s="13">
        <f>1-Table1[[#This Row],[Deaths]]/Table1[[#This Row],[Ex(Deaths)]]</f>
        <v>0.17700957934194095</v>
      </c>
      <c r="R135" s="14">
        <f>G135/D135</f>
        <v>0.21508097165991902</v>
      </c>
      <c r="S135" s="12">
        <f>Table1[[#This Row],[Percent Infected]]*Table1[[#This Row],[% Active]]</f>
        <v>7.7842092644544981E-5</v>
      </c>
      <c r="T135" s="8">
        <f>1/Table1[[#This Row],[Percent Actively Infected]]</f>
        <v>12846.52</v>
      </c>
      <c r="AMC135"/>
    </row>
    <row r="136" spans="1:1017" s="1" customFormat="1" ht="16.5" thickBot="1" x14ac:dyDescent="0.3">
      <c r="A136" s="1">
        <v>137</v>
      </c>
      <c r="B136" s="52">
        <v>183</v>
      </c>
      <c r="C136" s="43" t="s">
        <v>116</v>
      </c>
      <c r="D136" s="49">
        <v>104</v>
      </c>
      <c r="E136" s="49">
        <v>7</v>
      </c>
      <c r="F136" s="49">
        <v>91</v>
      </c>
      <c r="G136" s="49">
        <v>6</v>
      </c>
      <c r="H136" s="49"/>
      <c r="I136" s="43">
        <v>287392</v>
      </c>
      <c r="J136" s="8">
        <f>Table1[[#This Row],[Population]]/Table1[[#This Row],[Cases]]</f>
        <v>2763.3846153846152</v>
      </c>
      <c r="K136" s="8">
        <f>Table1[[#This Row],[Population]]/Table1[[#This Row],[Deaths]]</f>
        <v>41056</v>
      </c>
      <c r="L136" s="9">
        <f>Table1[[#This Row],[Deaths]]+Table1[[#This Row],[Active]]*Table1[[#This Row],[Death Rate]]</f>
        <v>7.4038461538461542</v>
      </c>
      <c r="M136" s="10">
        <f>Table1[[#This Row],[Deaths]]/Table1[[#This Row],[Cases]]</f>
        <v>6.7307692307692304E-2</v>
      </c>
      <c r="N136" s="11">
        <f>Table1[[#This Row],[Cases]]/Table1[[#This Row],[Deaths]]</f>
        <v>14.857142857142858</v>
      </c>
      <c r="O136" s="12">
        <f>Table1[[#This Row],[Cases]]/Table1[[#This Row],[Population]]</f>
        <v>3.6187506959135953E-4</v>
      </c>
      <c r="P136" s="12">
        <f>Table1[[#This Row],[Deaths]]/Table1[[#This Row],[Population]]</f>
        <v>2.4356975837879969E-5</v>
      </c>
      <c r="Q136" s="13">
        <f>1-Table1[[#This Row],[Deaths]]/Table1[[#This Row],[Ex(Deaths)]]</f>
        <v>5.4545454545454564E-2</v>
      </c>
      <c r="R136" s="14">
        <f>G136/D136</f>
        <v>5.7692307692307696E-2</v>
      </c>
      <c r="S136" s="12">
        <f>Table1[[#This Row],[Percent Infected]]*Table1[[#This Row],[% Active]]</f>
        <v>2.0877407861039976E-5</v>
      </c>
      <c r="T136" s="8">
        <f>1/Table1[[#This Row],[Percent Actively Infected]]</f>
        <v>47898.666666666664</v>
      </c>
      <c r="AMC136"/>
    </row>
    <row r="137" spans="1:1017" s="1" customFormat="1" ht="16.5" thickBot="1" x14ac:dyDescent="0.3">
      <c r="A137" s="1">
        <v>138</v>
      </c>
      <c r="B137" s="52">
        <v>179</v>
      </c>
      <c r="C137" s="43" t="s">
        <v>131</v>
      </c>
      <c r="D137" s="49">
        <v>129</v>
      </c>
      <c r="E137" s="49">
        <v>11</v>
      </c>
      <c r="F137" s="49">
        <v>91</v>
      </c>
      <c r="G137" s="49">
        <v>27</v>
      </c>
      <c r="H137" s="49">
        <v>1</v>
      </c>
      <c r="I137" s="43">
        <v>393411</v>
      </c>
      <c r="J137" s="8">
        <f>Table1[[#This Row],[Population]]/Table1[[#This Row],[Cases]]</f>
        <v>3049.6976744186045</v>
      </c>
      <c r="K137" s="8">
        <f>Table1[[#This Row],[Population]]/Table1[[#This Row],[Deaths]]</f>
        <v>35764.63636363636</v>
      </c>
      <c r="L137" s="9">
        <f>Table1[[#This Row],[Deaths]]+Table1[[#This Row],[Active]]*Table1[[#This Row],[Death Rate]]</f>
        <v>13.302325581395349</v>
      </c>
      <c r="M137" s="10">
        <f>Table1[[#This Row],[Deaths]]/Table1[[#This Row],[Cases]]</f>
        <v>8.5271317829457363E-2</v>
      </c>
      <c r="N137" s="11">
        <f>Table1[[#This Row],[Cases]]/Table1[[#This Row],[Deaths]]</f>
        <v>11.727272727272727</v>
      </c>
      <c r="O137" s="12">
        <f>Table1[[#This Row],[Cases]]/Table1[[#This Row],[Population]]</f>
        <v>3.2790135507141386E-4</v>
      </c>
      <c r="P137" s="12">
        <f>Table1[[#This Row],[Deaths]]/Table1[[#This Row],[Population]]</f>
        <v>2.7960580665004283E-5</v>
      </c>
      <c r="Q137" s="13">
        <f>1-Table1[[#This Row],[Deaths]]/Table1[[#This Row],[Ex(Deaths)]]</f>
        <v>0.17307692307692313</v>
      </c>
      <c r="R137" s="14">
        <f>G137/D137</f>
        <v>0.20930232558139536</v>
      </c>
      <c r="S137" s="12">
        <f>Table1[[#This Row],[Percent Infected]]*Table1[[#This Row],[% Active]]</f>
        <v>6.8630516177737785E-5</v>
      </c>
      <c r="T137" s="8">
        <f>1/Table1[[#This Row],[Percent Actively Infected]]</f>
        <v>14570.777777777777</v>
      </c>
      <c r="AMC137"/>
    </row>
    <row r="138" spans="1:1017" s="1" customFormat="1" ht="16.5" thickBot="1" x14ac:dyDescent="0.3">
      <c r="A138" s="1">
        <v>139</v>
      </c>
      <c r="B138" s="53">
        <v>177</v>
      </c>
      <c r="C138" s="43" t="s">
        <v>115</v>
      </c>
      <c r="D138" s="50">
        <v>141</v>
      </c>
      <c r="E138" s="50">
        <v>3</v>
      </c>
      <c r="F138" s="50">
        <v>138</v>
      </c>
      <c r="G138" s="50">
        <v>0</v>
      </c>
      <c r="H138" s="50"/>
      <c r="I138" s="43">
        <v>437665</v>
      </c>
      <c r="J138" s="8">
        <f>Table1[[#This Row],[Population]]/Table1[[#This Row],[Cases]]</f>
        <v>3104.0070921985816</v>
      </c>
      <c r="K138" s="8">
        <f>Table1[[#This Row],[Population]]/Table1[[#This Row],[Deaths]]</f>
        <v>145888.33333333334</v>
      </c>
      <c r="L138" s="9">
        <f>Table1[[#This Row],[Deaths]]+Table1[[#This Row],[Active]]*Table1[[#This Row],[Death Rate]]</f>
        <v>3</v>
      </c>
      <c r="M138" s="10">
        <f>Table1[[#This Row],[Deaths]]/Table1[[#This Row],[Cases]]</f>
        <v>2.1276595744680851E-2</v>
      </c>
      <c r="N138" s="11">
        <f>Table1[[#This Row],[Cases]]/Table1[[#This Row],[Deaths]]</f>
        <v>47</v>
      </c>
      <c r="O138" s="12">
        <f>Table1[[#This Row],[Cases]]/Table1[[#This Row],[Population]]</f>
        <v>3.2216421235419787E-4</v>
      </c>
      <c r="P138" s="12">
        <f>Table1[[#This Row],[Deaths]]/Table1[[#This Row],[Population]]</f>
        <v>6.8545577096637843E-6</v>
      </c>
      <c r="Q138" s="13">
        <f>1-Table1[[#This Row],[Deaths]]/Table1[[#This Row],[Ex(Deaths)]]</f>
        <v>0</v>
      </c>
      <c r="R138" s="14">
        <f>G138/D138</f>
        <v>0</v>
      </c>
      <c r="S138" s="12">
        <f>Table1[[#This Row],[Percent Infected]]*Table1[[#This Row],[% Active]]</f>
        <v>0</v>
      </c>
      <c r="T138" s="8" t="e">
        <f>1/Table1[[#This Row],[Percent Actively Infected]]</f>
        <v>#DIV/0!</v>
      </c>
      <c r="AMC138"/>
    </row>
    <row r="139" spans="1:1017" s="1" customFormat="1" ht="16.5" thickBot="1" x14ac:dyDescent="0.3">
      <c r="A139" s="1">
        <v>140</v>
      </c>
      <c r="B139" s="52">
        <v>203</v>
      </c>
      <c r="C139" s="43" t="s">
        <v>122</v>
      </c>
      <c r="D139" s="49">
        <v>17</v>
      </c>
      <c r="E139" s="49"/>
      <c r="F139" s="49">
        <v>15</v>
      </c>
      <c r="G139" s="49">
        <v>2</v>
      </c>
      <c r="H139" s="49"/>
      <c r="I139" s="43">
        <v>53216</v>
      </c>
      <c r="J139" s="8">
        <f>Table1[[#This Row],[Population]]/Table1[[#This Row],[Cases]]</f>
        <v>3130.3529411764707</v>
      </c>
      <c r="K139" s="8" t="e">
        <f>Table1[[#This Row],[Population]]/Table1[[#This Row],[Deaths]]</f>
        <v>#DIV/0!</v>
      </c>
      <c r="L139" s="9">
        <f>Table1[[#This Row],[Deaths]]+Table1[[#This Row],[Active]]*Table1[[#This Row],[Death Rate]]</f>
        <v>0</v>
      </c>
      <c r="M139" s="10">
        <f>Table1[[#This Row],[Deaths]]/Table1[[#This Row],[Cases]]</f>
        <v>0</v>
      </c>
      <c r="N139" s="11" t="e">
        <f>Table1[[#This Row],[Cases]]/Table1[[#This Row],[Deaths]]</f>
        <v>#DIV/0!</v>
      </c>
      <c r="O139" s="12">
        <f>Table1[[#This Row],[Cases]]/Table1[[#This Row],[Population]]</f>
        <v>3.1945279615153339E-4</v>
      </c>
      <c r="P139" s="12">
        <f>Table1[[#This Row],[Deaths]]/Table1[[#This Row],[Population]]</f>
        <v>0</v>
      </c>
      <c r="Q139" s="13" t="e">
        <f>1-Table1[[#This Row],[Deaths]]/Table1[[#This Row],[Ex(Deaths)]]</f>
        <v>#DIV/0!</v>
      </c>
      <c r="R139" s="14">
        <f>G139/D139</f>
        <v>0.11764705882352941</v>
      </c>
      <c r="S139" s="12">
        <f>Table1[[#This Row],[Percent Infected]]*Table1[[#This Row],[% Active]]</f>
        <v>3.7582681900180399E-5</v>
      </c>
      <c r="T139" s="8">
        <f>1/Table1[[#This Row],[Percent Actively Infected]]</f>
        <v>26608</v>
      </c>
      <c r="AMC139"/>
    </row>
    <row r="140" spans="1:1017" s="1" customFormat="1" ht="16.5" thickBot="1" x14ac:dyDescent="0.3">
      <c r="A140" s="1">
        <v>141</v>
      </c>
      <c r="B140" s="52">
        <v>194</v>
      </c>
      <c r="C140" s="43" t="s">
        <v>156</v>
      </c>
      <c r="D140" s="49">
        <v>35</v>
      </c>
      <c r="E140" s="49"/>
      <c r="F140" s="49">
        <v>29</v>
      </c>
      <c r="G140" s="49">
        <v>6</v>
      </c>
      <c r="H140" s="49"/>
      <c r="I140" s="43">
        <v>110957</v>
      </c>
      <c r="J140" s="8">
        <f>Table1[[#This Row],[Population]]/Table1[[#This Row],[Cases]]</f>
        <v>3170.2</v>
      </c>
      <c r="K140" s="8" t="e">
        <f>Table1[[#This Row],[Population]]/Table1[[#This Row],[Deaths]]</f>
        <v>#DIV/0!</v>
      </c>
      <c r="L140" s="9">
        <f>Table1[[#This Row],[Deaths]]+Table1[[#This Row],[Active]]*Table1[[#This Row],[Death Rate]]</f>
        <v>0</v>
      </c>
      <c r="M140" s="10">
        <f>Table1[[#This Row],[Deaths]]/Table1[[#This Row],[Cases]]</f>
        <v>0</v>
      </c>
      <c r="N140" s="11" t="e">
        <f>Table1[[#This Row],[Cases]]/Table1[[#This Row],[Deaths]]</f>
        <v>#DIV/0!</v>
      </c>
      <c r="O140" s="12">
        <f>Table1[[#This Row],[Cases]]/Table1[[#This Row],[Population]]</f>
        <v>3.1543751182890669E-4</v>
      </c>
      <c r="P140" s="12">
        <f>Table1[[#This Row],[Deaths]]/Table1[[#This Row],[Population]]</f>
        <v>0</v>
      </c>
      <c r="Q140" s="13" t="e">
        <f>1-Table1[[#This Row],[Deaths]]/Table1[[#This Row],[Ex(Deaths)]]</f>
        <v>#DIV/0!</v>
      </c>
      <c r="R140" s="14">
        <f>G140/D140</f>
        <v>0.17142857142857143</v>
      </c>
      <c r="S140" s="12">
        <f>Table1[[#This Row],[Percent Infected]]*Table1[[#This Row],[% Active]]</f>
        <v>5.4075002027812576E-5</v>
      </c>
      <c r="T140" s="8">
        <f>1/Table1[[#This Row],[Percent Actively Infected]]</f>
        <v>18492.833333333332</v>
      </c>
      <c r="AMC140"/>
    </row>
    <row r="141" spans="1:1017" s="1" customFormat="1" ht="16.5" thickBot="1" x14ac:dyDescent="0.3">
      <c r="A141" s="1">
        <v>142</v>
      </c>
      <c r="B141" s="52">
        <v>25</v>
      </c>
      <c r="C141" s="43" t="s">
        <v>176</v>
      </c>
      <c r="D141" s="48">
        <v>84882</v>
      </c>
      <c r="E141" s="48">
        <v>4016</v>
      </c>
      <c r="F141" s="48">
        <v>43268</v>
      </c>
      <c r="G141" s="48">
        <v>37598</v>
      </c>
      <c r="H141" s="49"/>
      <c r="I141" s="43">
        <v>273650409</v>
      </c>
      <c r="J141" s="8">
        <f>Table1[[#This Row],[Population]]/Table1[[#This Row],[Cases]]</f>
        <v>3223.8920972644378</v>
      </c>
      <c r="K141" s="8">
        <f>Table1[[#This Row],[Population]]/Table1[[#This Row],[Deaths]]</f>
        <v>68140.042081673309</v>
      </c>
      <c r="L141" s="9">
        <f>Table1[[#This Row],[Deaths]]+Table1[[#This Row],[Active]]*Table1[[#This Row],[Death Rate]]</f>
        <v>5794.8643999905753</v>
      </c>
      <c r="M141" s="10">
        <f>Table1[[#This Row],[Deaths]]/Table1[[#This Row],[Cases]]</f>
        <v>4.7312740039113121E-2</v>
      </c>
      <c r="N141" s="11">
        <f>Table1[[#This Row],[Cases]]/Table1[[#This Row],[Deaths]]</f>
        <v>21.135956175298805</v>
      </c>
      <c r="O141" s="12">
        <f>Table1[[#This Row],[Cases]]/Table1[[#This Row],[Population]]</f>
        <v>3.1018407869436073E-4</v>
      </c>
      <c r="P141" s="12">
        <f>Table1[[#This Row],[Deaths]]/Table1[[#This Row],[Population]]</f>
        <v>1.4675658679538097E-5</v>
      </c>
      <c r="Q141" s="13">
        <f>1-Table1[[#This Row],[Deaths]]/Table1[[#This Row],[Ex(Deaths)]]</f>
        <v>0.30697256694970609</v>
      </c>
      <c r="R141" s="14">
        <f>G141/D141</f>
        <v>0.4429443227068165</v>
      </c>
      <c r="S141" s="12">
        <f>Table1[[#This Row],[Percent Infected]]*Table1[[#This Row],[% Active]]</f>
        <v>1.3739427665171149E-4</v>
      </c>
      <c r="T141" s="8">
        <f>1/Table1[[#This Row],[Percent Actively Infected]]</f>
        <v>7278.3235544443851</v>
      </c>
      <c r="AMC141"/>
    </row>
    <row r="142" spans="1:1017" s="1" customFormat="1" ht="16.5" thickBot="1" x14ac:dyDescent="0.3">
      <c r="A142" s="1">
        <v>143</v>
      </c>
      <c r="B142" s="52">
        <v>129</v>
      </c>
      <c r="C142" s="43" t="s">
        <v>117</v>
      </c>
      <c r="D142" s="48">
        <v>1550</v>
      </c>
      <c r="E142" s="49">
        <v>22</v>
      </c>
      <c r="F142" s="48">
        <v>1506</v>
      </c>
      <c r="G142" s="49">
        <v>22</v>
      </c>
      <c r="H142" s="49"/>
      <c r="I142" s="43">
        <v>5002100</v>
      </c>
      <c r="J142" s="8">
        <f>Table1[[#This Row],[Population]]/Table1[[#This Row],[Cases]]</f>
        <v>3227.1612903225805</v>
      </c>
      <c r="K142" s="8">
        <f>Table1[[#This Row],[Population]]/Table1[[#This Row],[Deaths]]</f>
        <v>227368.18181818182</v>
      </c>
      <c r="L142" s="9">
        <f>Table1[[#This Row],[Deaths]]+Table1[[#This Row],[Active]]*Table1[[#This Row],[Death Rate]]</f>
        <v>22.312258064516129</v>
      </c>
      <c r="M142" s="10">
        <f>Table1[[#This Row],[Deaths]]/Table1[[#This Row],[Cases]]</f>
        <v>1.4193548387096775E-2</v>
      </c>
      <c r="N142" s="11">
        <f>Table1[[#This Row],[Cases]]/Table1[[#This Row],[Deaths]]</f>
        <v>70.454545454545453</v>
      </c>
      <c r="O142" s="12">
        <f>Table1[[#This Row],[Cases]]/Table1[[#This Row],[Population]]</f>
        <v>3.0986985466104235E-4</v>
      </c>
      <c r="P142" s="12">
        <f>Table1[[#This Row],[Deaths]]/Table1[[#This Row],[Population]]</f>
        <v>4.3981527758341496E-6</v>
      </c>
      <c r="Q142" s="13">
        <f>1-Table1[[#This Row],[Deaths]]/Table1[[#This Row],[Ex(Deaths)]]</f>
        <v>1.3994910941475869E-2</v>
      </c>
      <c r="R142" s="14">
        <f>G142/D142</f>
        <v>1.4193548387096775E-2</v>
      </c>
      <c r="S142" s="12">
        <f>Table1[[#This Row],[Percent Infected]]*Table1[[#This Row],[% Active]]</f>
        <v>4.3981527758341496E-6</v>
      </c>
      <c r="T142" s="8">
        <f>1/Table1[[#This Row],[Percent Actively Infected]]</f>
        <v>227368.18181818182</v>
      </c>
      <c r="AMC142"/>
    </row>
    <row r="143" spans="1:1017" s="1" customFormat="1" ht="16.5" thickBot="1" x14ac:dyDescent="0.3">
      <c r="A143" s="1">
        <v>144</v>
      </c>
      <c r="B143" s="52">
        <v>141</v>
      </c>
      <c r="C143" s="43" t="s">
        <v>135</v>
      </c>
      <c r="D143" s="48">
        <v>1037</v>
      </c>
      <c r="E143" s="49">
        <v>32</v>
      </c>
      <c r="F143" s="49">
        <v>917</v>
      </c>
      <c r="G143" s="49">
        <v>88</v>
      </c>
      <c r="H143" s="49">
        <v>3</v>
      </c>
      <c r="I143" s="43">
        <v>3474300</v>
      </c>
      <c r="J143" s="8">
        <f>Table1[[#This Row],[Population]]/Table1[[#This Row],[Cases]]</f>
        <v>3350.3375120540018</v>
      </c>
      <c r="K143" s="8">
        <f>Table1[[#This Row],[Population]]/Table1[[#This Row],[Deaths]]</f>
        <v>108571.875</v>
      </c>
      <c r="L143" s="9">
        <f>Table1[[#This Row],[Deaths]]+Table1[[#This Row],[Active]]*Table1[[#This Row],[Death Rate]]</f>
        <v>34.715525554484088</v>
      </c>
      <c r="M143" s="10">
        <f>Table1[[#This Row],[Deaths]]/Table1[[#This Row],[Cases]]</f>
        <v>3.0858244937319191E-2</v>
      </c>
      <c r="N143" s="11">
        <f>Table1[[#This Row],[Cases]]/Table1[[#This Row],[Deaths]]</f>
        <v>32.40625</v>
      </c>
      <c r="O143" s="12">
        <f>Table1[[#This Row],[Cases]]/Table1[[#This Row],[Population]]</f>
        <v>2.9847739112914834E-4</v>
      </c>
      <c r="P143" s="12">
        <f>Table1[[#This Row],[Deaths]]/Table1[[#This Row],[Population]]</f>
        <v>9.2104884437152802E-6</v>
      </c>
      <c r="Q143" s="13">
        <f>1-Table1[[#This Row],[Deaths]]/Table1[[#This Row],[Ex(Deaths)]]</f>
        <v>7.8222222222222193E-2</v>
      </c>
      <c r="R143" s="14">
        <f>G143/D143</f>
        <v>8.4860173577627776E-2</v>
      </c>
      <c r="S143" s="12">
        <f>Table1[[#This Row],[Percent Infected]]*Table1[[#This Row],[% Active]]</f>
        <v>2.5328843220217024E-5</v>
      </c>
      <c r="T143" s="8">
        <f>1/Table1[[#This Row],[Percent Actively Infected]]</f>
        <v>39480.681818181816</v>
      </c>
      <c r="AMC143"/>
    </row>
    <row r="144" spans="1:1017" s="1" customFormat="1" ht="16.5" thickBot="1" x14ac:dyDescent="0.3">
      <c r="A144" s="1">
        <v>145</v>
      </c>
      <c r="B144" s="52">
        <v>79</v>
      </c>
      <c r="C144" s="43" t="s">
        <v>133</v>
      </c>
      <c r="D144" s="48">
        <v>8764</v>
      </c>
      <c r="E144" s="49">
        <v>122</v>
      </c>
      <c r="F144" s="48">
        <v>8546</v>
      </c>
      <c r="G144" s="49">
        <v>96</v>
      </c>
      <c r="H144" s="49">
        <v>1</v>
      </c>
      <c r="I144" s="43">
        <v>32383712</v>
      </c>
      <c r="J144" s="8">
        <f>Table1[[#This Row],[Population]]/Table1[[#This Row],[Cases]]</f>
        <v>3695.0835235052486</v>
      </c>
      <c r="K144" s="8">
        <f>Table1[[#This Row],[Population]]/Table1[[#This Row],[Deaths]]</f>
        <v>265440.26229508198</v>
      </c>
      <c r="L144" s="9">
        <f>Table1[[#This Row],[Deaths]]+Table1[[#This Row],[Active]]*Table1[[#This Row],[Death Rate]]</f>
        <v>123.33637608397991</v>
      </c>
      <c r="M144" s="10">
        <f>Table1[[#This Row],[Deaths]]/Table1[[#This Row],[Cases]]</f>
        <v>1.3920584208124144E-2</v>
      </c>
      <c r="N144" s="11">
        <f>Table1[[#This Row],[Cases]]/Table1[[#This Row],[Deaths]]</f>
        <v>71.836065573770497</v>
      </c>
      <c r="O144" s="12">
        <f>Table1[[#This Row],[Cases]]/Table1[[#This Row],[Population]]</f>
        <v>2.7062987714317617E-4</v>
      </c>
      <c r="P144" s="12">
        <f>Table1[[#This Row],[Deaths]]/Table1[[#This Row],[Population]]</f>
        <v>3.7673259940058754E-6</v>
      </c>
      <c r="Q144" s="13">
        <f>1-Table1[[#This Row],[Deaths]]/Table1[[#This Row],[Ex(Deaths)]]</f>
        <v>1.0835214446952568E-2</v>
      </c>
      <c r="R144" s="14">
        <f>G144/D144</f>
        <v>1.0953902327704245E-2</v>
      </c>
      <c r="S144" s="12">
        <f>Table1[[#This Row],[Percent Infected]]*Table1[[#This Row],[% Active]]</f>
        <v>2.9644532411849512E-6</v>
      </c>
      <c r="T144" s="8">
        <f>1/Table1[[#This Row],[Percent Actively Infected]]</f>
        <v>337330.33333333331</v>
      </c>
      <c r="AMC144"/>
    </row>
    <row r="145" spans="1:1017" s="1" customFormat="1" ht="16.5" thickBot="1" x14ac:dyDescent="0.3">
      <c r="A145" s="1">
        <v>146</v>
      </c>
      <c r="B145" s="52">
        <v>162</v>
      </c>
      <c r="C145" s="43" t="s">
        <v>128</v>
      </c>
      <c r="D145" s="49">
        <v>343</v>
      </c>
      <c r="E145" s="49">
        <v>10</v>
      </c>
      <c r="F145" s="49">
        <v>331</v>
      </c>
      <c r="G145" s="49">
        <v>2</v>
      </c>
      <c r="H145" s="49"/>
      <c r="I145" s="43">
        <v>1271870</v>
      </c>
      <c r="J145" s="8">
        <f>Table1[[#This Row],[Population]]/Table1[[#This Row],[Cases]]</f>
        <v>3708.0758017492712</v>
      </c>
      <c r="K145" s="8">
        <f>Table1[[#This Row],[Population]]/Table1[[#This Row],[Deaths]]</f>
        <v>127187</v>
      </c>
      <c r="L145" s="9">
        <f>Table1[[#This Row],[Deaths]]+Table1[[#This Row],[Active]]*Table1[[#This Row],[Death Rate]]</f>
        <v>10.058309037900875</v>
      </c>
      <c r="M145" s="10">
        <f>Table1[[#This Row],[Deaths]]/Table1[[#This Row],[Cases]]</f>
        <v>2.9154518950437316E-2</v>
      </c>
      <c r="N145" s="11">
        <f>Table1[[#This Row],[Cases]]/Table1[[#This Row],[Deaths]]</f>
        <v>34.299999999999997</v>
      </c>
      <c r="O145" s="12">
        <f>Table1[[#This Row],[Cases]]/Table1[[#This Row],[Population]]</f>
        <v>2.6968164985415174E-4</v>
      </c>
      <c r="P145" s="12">
        <f>Table1[[#This Row],[Deaths]]/Table1[[#This Row],[Population]]</f>
        <v>7.8624387712580694E-6</v>
      </c>
      <c r="Q145" s="13">
        <f>1-Table1[[#This Row],[Deaths]]/Table1[[#This Row],[Ex(Deaths)]]</f>
        <v>5.7971014492753659E-3</v>
      </c>
      <c r="R145" s="14">
        <f>G145/D145</f>
        <v>5.8309037900874635E-3</v>
      </c>
      <c r="S145" s="12">
        <f>Table1[[#This Row],[Percent Infected]]*Table1[[#This Row],[% Active]]</f>
        <v>1.5724877542516137E-6</v>
      </c>
      <c r="T145" s="8">
        <f>1/Table1[[#This Row],[Percent Actively Infected]]</f>
        <v>635935</v>
      </c>
      <c r="AMC145"/>
    </row>
    <row r="146" spans="1:1017" s="1" customFormat="1" ht="16.5" thickBot="1" x14ac:dyDescent="0.3">
      <c r="A146" s="1">
        <v>147</v>
      </c>
      <c r="B146" s="52">
        <v>66</v>
      </c>
      <c r="C146" s="43" t="s">
        <v>138</v>
      </c>
      <c r="D146" s="48">
        <v>13711</v>
      </c>
      <c r="E146" s="49">
        <v>294</v>
      </c>
      <c r="F146" s="48">
        <v>12519</v>
      </c>
      <c r="G146" s="49">
        <v>898</v>
      </c>
      <c r="H146" s="49">
        <v>15</v>
      </c>
      <c r="I146" s="43">
        <v>51271329</v>
      </c>
      <c r="J146" s="8">
        <f>Table1[[#This Row],[Population]]/Table1[[#This Row],[Cases]]</f>
        <v>3739.43031142878</v>
      </c>
      <c r="K146" s="8">
        <f>Table1[[#This Row],[Population]]/Table1[[#This Row],[Deaths]]</f>
        <v>174392.27551020408</v>
      </c>
      <c r="L146" s="9">
        <f>Table1[[#This Row],[Deaths]]+Table1[[#This Row],[Active]]*Table1[[#This Row],[Death Rate]]</f>
        <v>313.25548829407046</v>
      </c>
      <c r="M146" s="10">
        <f>Table1[[#This Row],[Deaths]]/Table1[[#This Row],[Cases]]</f>
        <v>2.1442637298519435E-2</v>
      </c>
      <c r="N146" s="11">
        <f>Table1[[#This Row],[Cases]]/Table1[[#This Row],[Deaths]]</f>
        <v>46.636054421768705</v>
      </c>
      <c r="O146" s="12">
        <f>Table1[[#This Row],[Cases]]/Table1[[#This Row],[Population]]</f>
        <v>2.6742041346343882E-4</v>
      </c>
      <c r="P146" s="12">
        <f>Table1[[#This Row],[Deaths]]/Table1[[#This Row],[Population]]</f>
        <v>5.7341989321166221E-6</v>
      </c>
      <c r="Q146" s="13">
        <f>1-Table1[[#This Row],[Deaths]]/Table1[[#This Row],[Ex(Deaths)]]</f>
        <v>6.1468957491957021E-2</v>
      </c>
      <c r="R146" s="14">
        <f>G146/D146</f>
        <v>6.5494858143096787E-2</v>
      </c>
      <c r="S146" s="12">
        <f>Table1[[#This Row],[Percent Infected]]*Table1[[#This Row],[% Active]]</f>
        <v>1.7514662044356215E-5</v>
      </c>
      <c r="T146" s="8">
        <f>1/Table1[[#This Row],[Percent Actively Infected]]</f>
        <v>57095.021158129173</v>
      </c>
      <c r="AMC146"/>
    </row>
    <row r="147" spans="1:1017" s="1" customFormat="1" ht="16.5" thickBot="1" x14ac:dyDescent="0.3">
      <c r="A147" s="1">
        <v>148</v>
      </c>
      <c r="B147" s="53">
        <v>212</v>
      </c>
      <c r="C147" s="43" t="s">
        <v>127</v>
      </c>
      <c r="D147" s="50">
        <v>8</v>
      </c>
      <c r="E147" s="50">
        <v>1</v>
      </c>
      <c r="F147" s="50">
        <v>7</v>
      </c>
      <c r="G147" s="50">
        <v>0</v>
      </c>
      <c r="H147" s="50"/>
      <c r="I147" s="43">
        <v>30240</v>
      </c>
      <c r="J147" s="8">
        <f>Table1[[#This Row],[Population]]/Table1[[#This Row],[Cases]]</f>
        <v>3780</v>
      </c>
      <c r="K147" s="8">
        <f>Table1[[#This Row],[Population]]/Table1[[#This Row],[Deaths]]</f>
        <v>30240</v>
      </c>
      <c r="L147" s="9">
        <f>Table1[[#This Row],[Deaths]]+Table1[[#This Row],[Active]]*Table1[[#This Row],[Death Rate]]</f>
        <v>1</v>
      </c>
      <c r="M147" s="10">
        <f>Table1[[#This Row],[Deaths]]/Table1[[#This Row],[Cases]]</f>
        <v>0.125</v>
      </c>
      <c r="N147" s="11">
        <f>Table1[[#This Row],[Cases]]/Table1[[#This Row],[Deaths]]</f>
        <v>8</v>
      </c>
      <c r="O147" s="12">
        <f>Table1[[#This Row],[Cases]]/Table1[[#This Row],[Population]]</f>
        <v>2.6455026455026457E-4</v>
      </c>
      <c r="P147" s="12">
        <f>Table1[[#This Row],[Deaths]]/Table1[[#This Row],[Population]]</f>
        <v>3.3068783068783071E-5</v>
      </c>
      <c r="Q147" s="13">
        <f>1-Table1[[#This Row],[Deaths]]/Table1[[#This Row],[Ex(Deaths)]]</f>
        <v>0</v>
      </c>
      <c r="R147" s="14">
        <f>G147/D147</f>
        <v>0</v>
      </c>
      <c r="S147" s="12">
        <f>Table1[[#This Row],[Percent Infected]]*Table1[[#This Row],[% Active]]</f>
        <v>0</v>
      </c>
      <c r="T147" s="8" t="e">
        <f>1/Table1[[#This Row],[Percent Actively Infected]]</f>
        <v>#DIV/0!</v>
      </c>
      <c r="AMC147"/>
    </row>
    <row r="148" spans="1:1017" s="1" customFormat="1" ht="16.5" thickBot="1" x14ac:dyDescent="0.3">
      <c r="A148" s="1">
        <v>149</v>
      </c>
      <c r="B148" s="52">
        <v>123</v>
      </c>
      <c r="C148" s="43" t="s">
        <v>213</v>
      </c>
      <c r="D148" s="48">
        <v>1791</v>
      </c>
      <c r="E148" s="49">
        <v>48</v>
      </c>
      <c r="F148" s="49">
        <v>385</v>
      </c>
      <c r="G148" s="48">
        <v>1358</v>
      </c>
      <c r="H148" s="49"/>
      <c r="I148" s="43">
        <v>6875246</v>
      </c>
      <c r="J148" s="8">
        <f>Table1[[#This Row],[Population]]/Table1[[#This Row],[Cases]]</f>
        <v>3838.7749860413178</v>
      </c>
      <c r="K148" s="8">
        <f>Table1[[#This Row],[Population]]/Table1[[#This Row],[Deaths]]</f>
        <v>143234.29166666666</v>
      </c>
      <c r="L148" s="9">
        <f>Table1[[#This Row],[Deaths]]+Table1[[#This Row],[Active]]*Table1[[#This Row],[Death Rate]]</f>
        <v>84.395309882747071</v>
      </c>
      <c r="M148" s="10">
        <f>Table1[[#This Row],[Deaths]]/Table1[[#This Row],[Cases]]</f>
        <v>2.6800670016750419E-2</v>
      </c>
      <c r="N148" s="11">
        <f>Table1[[#This Row],[Cases]]/Table1[[#This Row],[Deaths]]</f>
        <v>37.3125</v>
      </c>
      <c r="O148" s="12">
        <f>Table1[[#This Row],[Cases]]/Table1[[#This Row],[Population]]</f>
        <v>2.6049976975369316E-4</v>
      </c>
      <c r="P148" s="12">
        <f>Table1[[#This Row],[Deaths]]/Table1[[#This Row],[Population]]</f>
        <v>6.9815683686081923E-6</v>
      </c>
      <c r="Q148" s="13">
        <f>1-Table1[[#This Row],[Deaths]]/Table1[[#This Row],[Ex(Deaths)]]</f>
        <v>0.43124801524293432</v>
      </c>
      <c r="R148" s="14">
        <f>G148/D148</f>
        <v>0.75823562255723065</v>
      </c>
      <c r="S148" s="12">
        <f>Table1[[#This Row],[Percent Infected]]*Table1[[#This Row],[% Active]]</f>
        <v>1.9752020509520679E-4</v>
      </c>
      <c r="T148" s="8">
        <f>1/Table1[[#This Row],[Percent Actively Infected]]</f>
        <v>5062.7731958762879</v>
      </c>
      <c r="AMC148"/>
    </row>
    <row r="149" spans="1:1017" s="1" customFormat="1" ht="16.5" thickBot="1" x14ac:dyDescent="0.3">
      <c r="A149" s="1">
        <v>150</v>
      </c>
      <c r="B149" s="52">
        <v>147</v>
      </c>
      <c r="C149" s="43" t="s">
        <v>148</v>
      </c>
      <c r="D149" s="49">
        <v>768</v>
      </c>
      <c r="E149" s="49">
        <v>10</v>
      </c>
      <c r="F149" s="49">
        <v>678</v>
      </c>
      <c r="G149" s="49">
        <v>80</v>
      </c>
      <c r="H149" s="49"/>
      <c r="I149" s="43">
        <v>2961773</v>
      </c>
      <c r="J149" s="8">
        <f>Table1[[#This Row],[Population]]/Table1[[#This Row],[Cases]]</f>
        <v>3856.4752604166665</v>
      </c>
      <c r="K149" s="8">
        <f>Table1[[#This Row],[Population]]/Table1[[#This Row],[Deaths]]</f>
        <v>296177.3</v>
      </c>
      <c r="L149" s="9">
        <f>Table1[[#This Row],[Deaths]]+Table1[[#This Row],[Active]]*Table1[[#This Row],[Death Rate]]</f>
        <v>11.041666666666666</v>
      </c>
      <c r="M149" s="10">
        <f>Table1[[#This Row],[Deaths]]/Table1[[#This Row],[Cases]]</f>
        <v>1.3020833333333334E-2</v>
      </c>
      <c r="N149" s="11">
        <f>Table1[[#This Row],[Cases]]/Table1[[#This Row],[Deaths]]</f>
        <v>76.8</v>
      </c>
      <c r="O149" s="12">
        <f>Table1[[#This Row],[Cases]]/Table1[[#This Row],[Population]]</f>
        <v>2.5930413978383893E-4</v>
      </c>
      <c r="P149" s="12">
        <f>Table1[[#This Row],[Deaths]]/Table1[[#This Row],[Population]]</f>
        <v>3.376355986768736E-6</v>
      </c>
      <c r="Q149" s="13">
        <f>1-Table1[[#This Row],[Deaths]]/Table1[[#This Row],[Ex(Deaths)]]</f>
        <v>9.4339622641509413E-2</v>
      </c>
      <c r="R149" s="14">
        <f>G149/D149</f>
        <v>0.10416666666666667</v>
      </c>
      <c r="S149" s="12">
        <f>Table1[[#This Row],[Percent Infected]]*Table1[[#This Row],[% Active]]</f>
        <v>2.7010847894149891E-5</v>
      </c>
      <c r="T149" s="8">
        <f>1/Table1[[#This Row],[Percent Actively Infected]]</f>
        <v>37022.162499999999</v>
      </c>
      <c r="AMC149"/>
    </row>
    <row r="150" spans="1:1017" s="1" customFormat="1" ht="16.5" thickBot="1" x14ac:dyDescent="0.3">
      <c r="A150" s="1">
        <v>151</v>
      </c>
      <c r="B150" s="52">
        <v>143</v>
      </c>
      <c r="C150" s="43" t="s">
        <v>150</v>
      </c>
      <c r="D150" s="48">
        <v>1018</v>
      </c>
      <c r="E150" s="49">
        <v>15</v>
      </c>
      <c r="F150" s="49">
        <v>895</v>
      </c>
      <c r="G150" s="49">
        <v>108</v>
      </c>
      <c r="H150" s="49">
        <v>5</v>
      </c>
      <c r="I150" s="43">
        <v>3988785</v>
      </c>
      <c r="J150" s="8">
        <f>Table1[[#This Row],[Population]]/Table1[[#This Row],[Cases]]</f>
        <v>3918.2563850687625</v>
      </c>
      <c r="K150" s="8">
        <f>Table1[[#This Row],[Population]]/Table1[[#This Row],[Deaths]]</f>
        <v>265919</v>
      </c>
      <c r="L150" s="9">
        <f>Table1[[#This Row],[Deaths]]+Table1[[#This Row],[Active]]*Table1[[#This Row],[Death Rate]]</f>
        <v>16.591355599214147</v>
      </c>
      <c r="M150" s="10">
        <f>Table1[[#This Row],[Deaths]]/Table1[[#This Row],[Cases]]</f>
        <v>1.4734774066797643E-2</v>
      </c>
      <c r="N150" s="11">
        <f>Table1[[#This Row],[Cases]]/Table1[[#This Row],[Deaths]]</f>
        <v>67.86666666666666</v>
      </c>
      <c r="O150" s="12">
        <f>Table1[[#This Row],[Cases]]/Table1[[#This Row],[Population]]</f>
        <v>2.5521556062811109E-4</v>
      </c>
      <c r="P150" s="12">
        <f>Table1[[#This Row],[Deaths]]/Table1[[#This Row],[Population]]</f>
        <v>3.7605436241863122E-6</v>
      </c>
      <c r="Q150" s="13">
        <f>1-Table1[[#This Row],[Deaths]]/Table1[[#This Row],[Ex(Deaths)]]</f>
        <v>9.5914742451154611E-2</v>
      </c>
      <c r="R150" s="14">
        <f>G150/D150</f>
        <v>0.10609037328094302</v>
      </c>
      <c r="S150" s="12">
        <f>Table1[[#This Row],[Percent Infected]]*Table1[[#This Row],[% Active]]</f>
        <v>2.7075914094141452E-5</v>
      </c>
      <c r="T150" s="8">
        <f>1/Table1[[#This Row],[Percent Actively Infected]]</f>
        <v>36933.194444444438</v>
      </c>
      <c r="AMC150"/>
    </row>
    <row r="151" spans="1:1017" s="1" customFormat="1" ht="16.5" thickBot="1" x14ac:dyDescent="0.3">
      <c r="A151" s="1">
        <v>152</v>
      </c>
      <c r="B151" s="54">
        <v>202</v>
      </c>
      <c r="C151" s="43" t="s">
        <v>134</v>
      </c>
      <c r="D151" s="51">
        <v>18</v>
      </c>
      <c r="E151" s="51"/>
      <c r="F151" s="51">
        <v>18</v>
      </c>
      <c r="G151" s="51">
        <v>0</v>
      </c>
      <c r="H151" s="51"/>
      <c r="I151" s="43">
        <v>71995</v>
      </c>
      <c r="J151" s="8">
        <f>Table1[[#This Row],[Population]]/Table1[[#This Row],[Cases]]</f>
        <v>3999.7222222222222</v>
      </c>
      <c r="K151" s="8" t="e">
        <f>Table1[[#This Row],[Population]]/Table1[[#This Row],[Deaths]]</f>
        <v>#DIV/0!</v>
      </c>
      <c r="L151" s="9">
        <f>Table1[[#This Row],[Deaths]]+Table1[[#This Row],[Active]]*Table1[[#This Row],[Death Rate]]</f>
        <v>0</v>
      </c>
      <c r="M151" s="10">
        <f>Table1[[#This Row],[Deaths]]/Table1[[#This Row],[Cases]]</f>
        <v>0</v>
      </c>
      <c r="N151" s="15" t="e">
        <f>Table1[[#This Row],[Cases]]/Table1[[#This Row],[Deaths]]</f>
        <v>#DIV/0!</v>
      </c>
      <c r="O151" s="12">
        <f>Table1[[#This Row],[Cases]]/Table1[[#This Row],[Population]]</f>
        <v>2.5001736231682758E-4</v>
      </c>
      <c r="P151" s="12">
        <f>Table1[[#This Row],[Deaths]]/Table1[[#This Row],[Population]]</f>
        <v>0</v>
      </c>
      <c r="Q151" s="13" t="e">
        <f>1-Table1[[#This Row],[Deaths]]/Table1[[#This Row],[Ex(Deaths)]]</f>
        <v>#DIV/0!</v>
      </c>
      <c r="R151" s="13">
        <f>G151/D151</f>
        <v>0</v>
      </c>
      <c r="S151" s="12">
        <f>Table1[[#This Row],[Percent Infected]]*Table1[[#This Row],[% Active]]</f>
        <v>0</v>
      </c>
      <c r="T151" s="8" t="e">
        <f>1/Table1[[#This Row],[Percent Actively Infected]]</f>
        <v>#DIV/0!</v>
      </c>
      <c r="AMC151"/>
    </row>
    <row r="152" spans="1:1017" s="1" customFormat="1" ht="16.5" thickBot="1" x14ac:dyDescent="0.3">
      <c r="A152" s="1">
        <v>153</v>
      </c>
      <c r="B152" s="52">
        <v>87</v>
      </c>
      <c r="C152" s="43" t="s">
        <v>205</v>
      </c>
      <c r="D152" s="48">
        <v>6849</v>
      </c>
      <c r="E152" s="49">
        <v>55</v>
      </c>
      <c r="F152" s="48">
        <v>3339</v>
      </c>
      <c r="G152" s="48">
        <v>3455</v>
      </c>
      <c r="H152" s="49">
        <v>92</v>
      </c>
      <c r="I152" s="43">
        <v>27716681</v>
      </c>
      <c r="J152" s="8">
        <f>Table1[[#This Row],[Population]]/Table1[[#This Row],[Cases]]</f>
        <v>4046.8215797926705</v>
      </c>
      <c r="K152" s="8">
        <f>Table1[[#This Row],[Population]]/Table1[[#This Row],[Deaths]]</f>
        <v>503939.65454545454</v>
      </c>
      <c r="L152" s="9">
        <f>Table1[[#This Row],[Deaths]]+Table1[[#This Row],[Active]]*Table1[[#This Row],[Death Rate]]</f>
        <v>82.74492626660826</v>
      </c>
      <c r="M152" s="10">
        <f>Table1[[#This Row],[Deaths]]/Table1[[#This Row],[Cases]]</f>
        <v>8.030369396992261E-3</v>
      </c>
      <c r="N152" s="11">
        <f>Table1[[#This Row],[Cases]]/Table1[[#This Row],[Deaths]]</f>
        <v>124.52727272727273</v>
      </c>
      <c r="O152" s="12">
        <f>Table1[[#This Row],[Cases]]/Table1[[#This Row],[Population]]</f>
        <v>2.4710750901235255E-4</v>
      </c>
      <c r="P152" s="12">
        <f>Table1[[#This Row],[Deaths]]/Table1[[#This Row],[Population]]</f>
        <v>1.9843645781397851E-6</v>
      </c>
      <c r="Q152" s="13">
        <f>1-Table1[[#This Row],[Deaths]]/Table1[[#This Row],[Ex(Deaths)]]</f>
        <v>0.33530667701863348</v>
      </c>
      <c r="R152" s="14">
        <f>G152/D152</f>
        <v>0.50445320484742295</v>
      </c>
      <c r="S152" s="12">
        <f>Table1[[#This Row],[Percent Infected]]*Table1[[#This Row],[% Active]]</f>
        <v>1.2465417486314469E-4</v>
      </c>
      <c r="T152" s="8">
        <f>1/Table1[[#This Row],[Percent Actively Infected]]</f>
        <v>8022.1942112879879</v>
      </c>
      <c r="AMC152"/>
    </row>
    <row r="153" spans="1:1017" s="1" customFormat="1" ht="16.5" thickBot="1" x14ac:dyDescent="0.3">
      <c r="A153" s="1">
        <v>154</v>
      </c>
      <c r="B153" s="52">
        <v>74</v>
      </c>
      <c r="C153" s="43" t="s">
        <v>174</v>
      </c>
      <c r="D153" s="48">
        <v>10682</v>
      </c>
      <c r="E153" s="49">
        <v>673</v>
      </c>
      <c r="F153" s="48">
        <v>5637</v>
      </c>
      <c r="G153" s="48">
        <v>4372</v>
      </c>
      <c r="H153" s="49"/>
      <c r="I153" s="43">
        <v>43887442</v>
      </c>
      <c r="J153" s="8">
        <f>Table1[[#This Row],[Population]]/Table1[[#This Row],[Cases]]</f>
        <v>4108.5416588653807</v>
      </c>
      <c r="K153" s="8">
        <f>Table1[[#This Row],[Population]]/Table1[[#This Row],[Deaths]]</f>
        <v>65211.652303120354</v>
      </c>
      <c r="L153" s="9">
        <f>Table1[[#This Row],[Deaths]]+Table1[[#This Row],[Active]]*Table1[[#This Row],[Death Rate]]</f>
        <v>948.44991574611493</v>
      </c>
      <c r="M153" s="10">
        <f>Table1[[#This Row],[Deaths]]/Table1[[#This Row],[Cases]]</f>
        <v>6.3003182924545958E-2</v>
      </c>
      <c r="N153" s="11">
        <f>Table1[[#This Row],[Cases]]/Table1[[#This Row],[Deaths]]</f>
        <v>15.87221396731055</v>
      </c>
      <c r="O153" s="12">
        <f>Table1[[#This Row],[Cases]]/Table1[[#This Row],[Population]]</f>
        <v>2.433953658087432E-4</v>
      </c>
      <c r="P153" s="12">
        <f>Table1[[#This Row],[Deaths]]/Table1[[#This Row],[Population]]</f>
        <v>1.5334682755035027E-5</v>
      </c>
      <c r="Q153" s="13">
        <f>1-Table1[[#This Row],[Deaths]]/Table1[[#This Row],[Ex(Deaths)]]</f>
        <v>0.29042115052477746</v>
      </c>
      <c r="R153" s="14">
        <f>G153/D153</f>
        <v>0.40928665043999252</v>
      </c>
      <c r="S153" s="12">
        <f>Table1[[#This Row],[Percent Infected]]*Table1[[#This Row],[% Active]]</f>
        <v>9.9618474004477183E-5</v>
      </c>
      <c r="T153" s="8">
        <f>1/Table1[[#This Row],[Percent Actively Infected]]</f>
        <v>10038.298719121683</v>
      </c>
      <c r="AMC153"/>
    </row>
    <row r="154" spans="1:1017" s="1" customFormat="1" ht="16.5" thickBot="1" x14ac:dyDescent="0.3">
      <c r="A154" s="1">
        <v>155</v>
      </c>
      <c r="B154" s="52">
        <v>124</v>
      </c>
      <c r="C154" s="43" t="s">
        <v>157</v>
      </c>
      <c r="D154" s="48">
        <v>1778</v>
      </c>
      <c r="E154" s="49">
        <v>12</v>
      </c>
      <c r="F154" s="48">
        <v>1274</v>
      </c>
      <c r="G154" s="49">
        <v>492</v>
      </c>
      <c r="H154" s="49">
        <v>13</v>
      </c>
      <c r="I154" s="43">
        <v>7499722</v>
      </c>
      <c r="J154" s="8">
        <f>Table1[[#This Row],[Population]]/Table1[[#This Row],[Cases]]</f>
        <v>4218.0663667041617</v>
      </c>
      <c r="K154" s="8">
        <f>Table1[[#This Row],[Population]]/Table1[[#This Row],[Deaths]]</f>
        <v>624976.83333333337</v>
      </c>
      <c r="L154" s="9">
        <f>Table1[[#This Row],[Deaths]]+Table1[[#This Row],[Active]]*Table1[[#This Row],[Death Rate]]</f>
        <v>15.320584926884139</v>
      </c>
      <c r="M154" s="10">
        <f>Table1[[#This Row],[Deaths]]/Table1[[#This Row],[Cases]]</f>
        <v>6.7491563554555678E-3</v>
      </c>
      <c r="N154" s="11">
        <f>Table1[[#This Row],[Cases]]/Table1[[#This Row],[Deaths]]</f>
        <v>148.16666666666666</v>
      </c>
      <c r="O154" s="12">
        <f>Table1[[#This Row],[Cases]]/Table1[[#This Row],[Population]]</f>
        <v>2.3707545426350469E-4</v>
      </c>
      <c r="P154" s="12">
        <f>Table1[[#This Row],[Deaths]]/Table1[[#This Row],[Population]]</f>
        <v>1.6000593088650486E-6</v>
      </c>
      <c r="Q154" s="13">
        <f>1-Table1[[#This Row],[Deaths]]/Table1[[#This Row],[Ex(Deaths)]]</f>
        <v>0.21674008810572687</v>
      </c>
      <c r="R154" s="14">
        <f>G154/D154</f>
        <v>0.27671541057367827</v>
      </c>
      <c r="S154" s="12">
        <f>Table1[[#This Row],[Percent Infected]]*Table1[[#This Row],[% Active]]</f>
        <v>6.5602431663466988E-5</v>
      </c>
      <c r="T154" s="8">
        <f>1/Table1[[#This Row],[Percent Actively Infected]]</f>
        <v>15243.337398373986</v>
      </c>
      <c r="AMC154"/>
    </row>
    <row r="155" spans="1:1017" s="1" customFormat="1" ht="16.5" thickBot="1" x14ac:dyDescent="0.3">
      <c r="A155" s="1">
        <v>156</v>
      </c>
      <c r="B155" s="52">
        <v>70</v>
      </c>
      <c r="C155" s="43" t="s">
        <v>203</v>
      </c>
      <c r="D155" s="48">
        <v>12750</v>
      </c>
      <c r="E155" s="49">
        <v>225</v>
      </c>
      <c r="F155" s="48">
        <v>4440</v>
      </c>
      <c r="G155" s="48">
        <v>8085</v>
      </c>
      <c r="H155" s="49">
        <v>44</v>
      </c>
      <c r="I155" s="43">
        <v>53816288</v>
      </c>
      <c r="J155" s="8">
        <f>Table1[[#This Row],[Population]]/Table1[[#This Row],[Cases]]</f>
        <v>4220.8853333333336</v>
      </c>
      <c r="K155" s="8">
        <f>Table1[[#This Row],[Population]]/Table1[[#This Row],[Deaths]]</f>
        <v>239183.50222222222</v>
      </c>
      <c r="L155" s="9">
        <f>Table1[[#This Row],[Deaths]]+Table1[[#This Row],[Active]]*Table1[[#This Row],[Death Rate]]</f>
        <v>367.6764705882353</v>
      </c>
      <c r="M155" s="10">
        <f>Table1[[#This Row],[Deaths]]/Table1[[#This Row],[Cases]]</f>
        <v>1.7647058823529412E-2</v>
      </c>
      <c r="N155" s="11">
        <f>Table1[[#This Row],[Cases]]/Table1[[#This Row],[Deaths]]</f>
        <v>56.666666666666664</v>
      </c>
      <c r="O155" s="12">
        <f>Table1[[#This Row],[Cases]]/Table1[[#This Row],[Population]]</f>
        <v>2.3691712070516644E-4</v>
      </c>
      <c r="P155" s="12">
        <f>Table1[[#This Row],[Deaths]]/Table1[[#This Row],[Population]]</f>
        <v>4.1808903653852905E-6</v>
      </c>
      <c r="Q155" s="13">
        <f>1-Table1[[#This Row],[Deaths]]/Table1[[#This Row],[Ex(Deaths)]]</f>
        <v>0.38804895608351331</v>
      </c>
      <c r="R155" s="14">
        <f>G155/D155</f>
        <v>0.63411764705882356</v>
      </c>
      <c r="S155" s="12">
        <f>Table1[[#This Row],[Percent Infected]]*Table1[[#This Row],[% Active]]</f>
        <v>1.5023332712951144E-4</v>
      </c>
      <c r="T155" s="8">
        <f>1/Table1[[#This Row],[Percent Actively Infected]]</f>
        <v>6656.3126777983916</v>
      </c>
      <c r="AMC155"/>
    </row>
    <row r="156" spans="1:1017" s="1" customFormat="1" ht="16.5" thickBot="1" x14ac:dyDescent="0.3">
      <c r="A156" s="1">
        <v>157</v>
      </c>
      <c r="B156" s="52">
        <v>156</v>
      </c>
      <c r="C156" s="43" t="s">
        <v>211</v>
      </c>
      <c r="D156" s="49">
        <v>522</v>
      </c>
      <c r="E156" s="49">
        <v>1</v>
      </c>
      <c r="F156" s="49">
        <v>48</v>
      </c>
      <c r="G156" s="49">
        <v>473</v>
      </c>
      <c r="H156" s="49">
        <v>1</v>
      </c>
      <c r="I156" s="43">
        <v>2353476</v>
      </c>
      <c r="J156" s="8">
        <f>Table1[[#This Row],[Population]]/Table1[[#This Row],[Cases]]</f>
        <v>4508.5747126436781</v>
      </c>
      <c r="K156" s="8">
        <f>Table1[[#This Row],[Population]]/Table1[[#This Row],[Deaths]]</f>
        <v>2353476</v>
      </c>
      <c r="L156" s="9">
        <f>Table1[[#This Row],[Deaths]]+Table1[[#This Row],[Active]]*Table1[[#This Row],[Death Rate]]</f>
        <v>1.9061302681992336</v>
      </c>
      <c r="M156" s="10">
        <f>Table1[[#This Row],[Deaths]]/Table1[[#This Row],[Cases]]</f>
        <v>1.9157088122605363E-3</v>
      </c>
      <c r="N156" s="11">
        <f>Table1[[#This Row],[Cases]]/Table1[[#This Row],[Deaths]]</f>
        <v>522</v>
      </c>
      <c r="O156" s="12">
        <f>Table1[[#This Row],[Cases]]/Table1[[#This Row],[Population]]</f>
        <v>2.2179958495433988E-4</v>
      </c>
      <c r="P156" s="12">
        <f>Table1[[#This Row],[Deaths]]/Table1[[#This Row],[Population]]</f>
        <v>4.2490341945275839E-7</v>
      </c>
      <c r="Q156" s="13">
        <f>1-Table1[[#This Row],[Deaths]]/Table1[[#This Row],[Ex(Deaths)]]</f>
        <v>0.47537688442211057</v>
      </c>
      <c r="R156" s="14">
        <f>G156/D156</f>
        <v>0.9061302681992337</v>
      </c>
      <c r="S156" s="12">
        <f>Table1[[#This Row],[Percent Infected]]*Table1[[#This Row],[% Active]]</f>
        <v>2.0097931740115473E-4</v>
      </c>
      <c r="T156" s="8">
        <f>1/Table1[[#This Row],[Percent Actively Infected]]</f>
        <v>4975.6363636363631</v>
      </c>
      <c r="AMC156"/>
    </row>
    <row r="157" spans="1:1017" s="1" customFormat="1" ht="16.5" thickBot="1" x14ac:dyDescent="0.3">
      <c r="A157" s="1">
        <v>158</v>
      </c>
      <c r="B157" s="52">
        <v>190</v>
      </c>
      <c r="C157" s="43" t="s">
        <v>141</v>
      </c>
      <c r="D157" s="49">
        <v>62</v>
      </c>
      <c r="E157" s="49"/>
      <c r="F157" s="49">
        <v>60</v>
      </c>
      <c r="G157" s="49">
        <v>2</v>
      </c>
      <c r="H157" s="49"/>
      <c r="I157" s="43">
        <v>280983</v>
      </c>
      <c r="J157" s="8">
        <f>Table1[[#This Row],[Population]]/Table1[[#This Row],[Cases]]</f>
        <v>4531.9838709677415</v>
      </c>
      <c r="K157" s="8" t="e">
        <f>Table1[[#This Row],[Population]]/Table1[[#This Row],[Deaths]]</f>
        <v>#DIV/0!</v>
      </c>
      <c r="L157" s="9">
        <f>Table1[[#This Row],[Deaths]]+Table1[[#This Row],[Active]]*Table1[[#This Row],[Death Rate]]</f>
        <v>0</v>
      </c>
      <c r="M157" s="10">
        <f>Table1[[#This Row],[Deaths]]/Table1[[#This Row],[Cases]]</f>
        <v>0</v>
      </c>
      <c r="N157" s="11" t="e">
        <f>Table1[[#This Row],[Cases]]/Table1[[#This Row],[Deaths]]</f>
        <v>#DIV/0!</v>
      </c>
      <c r="O157" s="12">
        <f>Table1[[#This Row],[Cases]]/Table1[[#This Row],[Population]]</f>
        <v>2.2065391856446832E-4</v>
      </c>
      <c r="P157" s="12">
        <f>Table1[[#This Row],[Deaths]]/Table1[[#This Row],[Population]]</f>
        <v>0</v>
      </c>
      <c r="Q157" s="13" t="e">
        <f>1-Table1[[#This Row],[Deaths]]/Table1[[#This Row],[Ex(Deaths)]]</f>
        <v>#DIV/0!</v>
      </c>
      <c r="R157" s="14">
        <f>G157/D157</f>
        <v>3.2258064516129031E-2</v>
      </c>
      <c r="S157" s="12">
        <f>Table1[[#This Row],[Percent Infected]]*Table1[[#This Row],[% Active]]</f>
        <v>7.1178683407893009E-6</v>
      </c>
      <c r="T157" s="8">
        <f>1/Table1[[#This Row],[Percent Actively Infected]]</f>
        <v>140491.5</v>
      </c>
      <c r="AMC157"/>
    </row>
    <row r="158" spans="1:1017" s="1" customFormat="1" ht="16.5" thickBot="1" x14ac:dyDescent="0.3">
      <c r="A158" s="1">
        <v>159</v>
      </c>
      <c r="B158" s="52">
        <v>113</v>
      </c>
      <c r="C158" s="43" t="s">
        <v>153</v>
      </c>
      <c r="D158" s="48">
        <v>2444</v>
      </c>
      <c r="E158" s="49">
        <v>87</v>
      </c>
      <c r="F158" s="48">
        <v>2300</v>
      </c>
      <c r="G158" s="49">
        <v>57</v>
      </c>
      <c r="H158" s="49">
        <v>1</v>
      </c>
      <c r="I158" s="43">
        <v>11326275</v>
      </c>
      <c r="J158" s="8">
        <f>Table1[[#This Row],[Population]]/Table1[[#This Row],[Cases]]</f>
        <v>4634.3187397708671</v>
      </c>
      <c r="K158" s="8">
        <f>Table1[[#This Row],[Population]]/Table1[[#This Row],[Deaths]]</f>
        <v>130187.06896551725</v>
      </c>
      <c r="L158" s="9">
        <f>Table1[[#This Row],[Deaths]]+Table1[[#This Row],[Active]]*Table1[[#This Row],[Death Rate]]</f>
        <v>89.029050736497538</v>
      </c>
      <c r="M158" s="10">
        <f>Table1[[#This Row],[Deaths]]/Table1[[#This Row],[Cases]]</f>
        <v>3.5597381342062195E-2</v>
      </c>
      <c r="N158" s="11">
        <f>Table1[[#This Row],[Cases]]/Table1[[#This Row],[Deaths]]</f>
        <v>28.091954022988507</v>
      </c>
      <c r="O158" s="12">
        <f>Table1[[#This Row],[Cases]]/Table1[[#This Row],[Population]]</f>
        <v>2.1578144623894441E-4</v>
      </c>
      <c r="P158" s="12">
        <f>Table1[[#This Row],[Deaths]]/Table1[[#This Row],[Population]]</f>
        <v>7.6812544283093956E-6</v>
      </c>
      <c r="Q158" s="13">
        <f>1-Table1[[#This Row],[Deaths]]/Table1[[#This Row],[Ex(Deaths)]]</f>
        <v>2.279088364654136E-2</v>
      </c>
      <c r="R158" s="14">
        <f>G158/D158</f>
        <v>2.3322422258592473E-2</v>
      </c>
      <c r="S158" s="12">
        <f>Table1[[#This Row],[Percent Infected]]*Table1[[#This Row],[% Active]]</f>
        <v>5.032546004754432E-6</v>
      </c>
      <c r="T158" s="8">
        <f>1/Table1[[#This Row],[Percent Actively Infected]]</f>
        <v>198706.5789473684</v>
      </c>
      <c r="AMC158"/>
    </row>
    <row r="159" spans="1:1017" s="1" customFormat="1" ht="16.5" thickBot="1" x14ac:dyDescent="0.3">
      <c r="A159" s="1">
        <v>160</v>
      </c>
      <c r="B159" s="52">
        <v>138</v>
      </c>
      <c r="C159" s="43" t="s">
        <v>185</v>
      </c>
      <c r="D159" s="48">
        <v>1088</v>
      </c>
      <c r="E159" s="49">
        <v>70</v>
      </c>
      <c r="F159" s="49">
        <v>519</v>
      </c>
      <c r="G159" s="49">
        <v>499</v>
      </c>
      <c r="H159" s="49"/>
      <c r="I159" s="43">
        <v>5062105</v>
      </c>
      <c r="J159" s="8">
        <f>Table1[[#This Row],[Population]]/Table1[[#This Row],[Cases]]</f>
        <v>4652.6700367647063</v>
      </c>
      <c r="K159" s="8">
        <f>Table1[[#This Row],[Population]]/Table1[[#This Row],[Deaths]]</f>
        <v>72315.78571428571</v>
      </c>
      <c r="L159" s="9">
        <f>Table1[[#This Row],[Deaths]]+Table1[[#This Row],[Active]]*Table1[[#This Row],[Death Rate]]</f>
        <v>102.1047794117647</v>
      </c>
      <c r="M159" s="10">
        <f>Table1[[#This Row],[Deaths]]/Table1[[#This Row],[Cases]]</f>
        <v>6.4338235294117641E-2</v>
      </c>
      <c r="N159" s="11">
        <f>Table1[[#This Row],[Cases]]/Table1[[#This Row],[Deaths]]</f>
        <v>15.542857142857143</v>
      </c>
      <c r="O159" s="12">
        <f>Table1[[#This Row],[Cases]]/Table1[[#This Row],[Population]]</f>
        <v>2.1493035012114524E-4</v>
      </c>
      <c r="P159" s="12">
        <f>Table1[[#This Row],[Deaths]]/Table1[[#This Row],[Population]]</f>
        <v>1.382823943794133E-5</v>
      </c>
      <c r="Q159" s="13">
        <f>1-Table1[[#This Row],[Deaths]]/Table1[[#This Row],[Ex(Deaths)]]</f>
        <v>0.31442974165091364</v>
      </c>
      <c r="R159" s="14">
        <f>G159/D159</f>
        <v>0.45863970588235292</v>
      </c>
      <c r="S159" s="12">
        <f>Table1[[#This Row],[Percent Infected]]*Table1[[#This Row],[% Active]]</f>
        <v>9.857559256475319E-5</v>
      </c>
      <c r="T159" s="8">
        <f>1/Table1[[#This Row],[Percent Actively Infected]]</f>
        <v>10144.498997995994</v>
      </c>
      <c r="AMC159"/>
    </row>
    <row r="160" spans="1:1017" s="1" customFormat="1" ht="16.5" thickBot="1" x14ac:dyDescent="0.3">
      <c r="A160" s="1">
        <v>161</v>
      </c>
      <c r="B160" s="52">
        <v>125</v>
      </c>
      <c r="C160" s="43" t="s">
        <v>170</v>
      </c>
      <c r="D160" s="48">
        <v>1688</v>
      </c>
      <c r="E160" s="49">
        <v>65</v>
      </c>
      <c r="F160" s="48">
        <v>1219</v>
      </c>
      <c r="G160" s="49">
        <v>404</v>
      </c>
      <c r="H160" s="49"/>
      <c r="I160" s="43">
        <v>7983288</v>
      </c>
      <c r="J160" s="8">
        <f>Table1[[#This Row],[Population]]/Table1[[#This Row],[Cases]]</f>
        <v>4729.4360189573463</v>
      </c>
      <c r="K160" s="8">
        <f>Table1[[#This Row],[Population]]/Table1[[#This Row],[Deaths]]</f>
        <v>122819.81538461539</v>
      </c>
      <c r="L160" s="9">
        <f>Table1[[#This Row],[Deaths]]+Table1[[#This Row],[Active]]*Table1[[#This Row],[Death Rate]]</f>
        <v>80.556872037914687</v>
      </c>
      <c r="M160" s="10">
        <f>Table1[[#This Row],[Deaths]]/Table1[[#This Row],[Cases]]</f>
        <v>3.8507109004739339E-2</v>
      </c>
      <c r="N160" s="11">
        <f>Table1[[#This Row],[Cases]]/Table1[[#This Row],[Deaths]]</f>
        <v>25.969230769230769</v>
      </c>
      <c r="O160" s="12">
        <f>Table1[[#This Row],[Cases]]/Table1[[#This Row],[Population]]</f>
        <v>2.1144170171488239E-4</v>
      </c>
      <c r="P160" s="12">
        <f>Table1[[#This Row],[Deaths]]/Table1[[#This Row],[Population]]</f>
        <v>8.1420086560825571E-6</v>
      </c>
      <c r="Q160" s="13">
        <f>1-Table1[[#This Row],[Deaths]]/Table1[[#This Row],[Ex(Deaths)]]</f>
        <v>0.19311663479923513</v>
      </c>
      <c r="R160" s="14">
        <f>G160/D160</f>
        <v>0.23933649289099526</v>
      </c>
      <c r="S160" s="12">
        <f>Table1[[#This Row],[Percent Infected]]*Table1[[#This Row],[% Active]]</f>
        <v>5.0605715339343893E-5</v>
      </c>
      <c r="T160" s="8">
        <f>1/Table1[[#This Row],[Percent Actively Infected]]</f>
        <v>19760.613861386137</v>
      </c>
      <c r="AMC160"/>
    </row>
    <row r="161" spans="1:1017" s="1" customFormat="1" ht="16.5" thickBot="1" x14ac:dyDescent="0.3">
      <c r="A161" s="1">
        <v>162</v>
      </c>
      <c r="B161" s="54">
        <v>198</v>
      </c>
      <c r="C161" s="43" t="s">
        <v>144</v>
      </c>
      <c r="D161" s="51">
        <v>23</v>
      </c>
      <c r="E161" s="51"/>
      <c r="F161" s="51">
        <v>23</v>
      </c>
      <c r="G161" s="51">
        <v>0</v>
      </c>
      <c r="H161" s="51"/>
      <c r="I161" s="43">
        <v>112547</v>
      </c>
      <c r="J161" s="8">
        <f>Table1[[#This Row],[Population]]/Table1[[#This Row],[Cases]]</f>
        <v>4893.347826086957</v>
      </c>
      <c r="K161" s="8" t="e">
        <f>Table1[[#This Row],[Population]]/Table1[[#This Row],[Deaths]]</f>
        <v>#DIV/0!</v>
      </c>
      <c r="L161" s="9">
        <f>Table1[[#This Row],[Deaths]]+Table1[[#This Row],[Active]]*Table1[[#This Row],[Death Rate]]</f>
        <v>0</v>
      </c>
      <c r="M161" s="10">
        <f>Table1[[#This Row],[Deaths]]/Table1[[#This Row],[Cases]]</f>
        <v>0</v>
      </c>
      <c r="N161" s="11" t="e">
        <f>Table1[[#This Row],[Cases]]/Table1[[#This Row],[Deaths]]</f>
        <v>#DIV/0!</v>
      </c>
      <c r="O161" s="12">
        <f>Table1[[#This Row],[Cases]]/Table1[[#This Row],[Population]]</f>
        <v>2.043590677672439E-4</v>
      </c>
      <c r="P161" s="12">
        <f>Table1[[#This Row],[Deaths]]/Table1[[#This Row],[Population]]</f>
        <v>0</v>
      </c>
      <c r="Q161" s="13" t="e">
        <f>1-Table1[[#This Row],[Deaths]]/Table1[[#This Row],[Ex(Deaths)]]</f>
        <v>#DIV/0!</v>
      </c>
      <c r="R161" s="14">
        <f>G161/D161</f>
        <v>0</v>
      </c>
      <c r="S161" s="12">
        <f>Table1[[#This Row],[Percent Infected]]*Table1[[#This Row],[% Active]]</f>
        <v>0</v>
      </c>
      <c r="T161" s="8" t="e">
        <f>1/Table1[[#This Row],[Percent Actively Infected]]</f>
        <v>#DIV/0!</v>
      </c>
      <c r="AMC161"/>
    </row>
    <row r="162" spans="1:1017" s="1" customFormat="1" ht="16.5" thickBot="1" x14ac:dyDescent="0.3">
      <c r="A162" s="1">
        <v>163</v>
      </c>
      <c r="B162" s="52">
        <v>114</v>
      </c>
      <c r="C162" s="43" t="s">
        <v>182</v>
      </c>
      <c r="D162" s="48">
        <v>2191</v>
      </c>
      <c r="E162" s="49">
        <v>43</v>
      </c>
      <c r="F162" s="48">
        <v>1175</v>
      </c>
      <c r="G162" s="49">
        <v>973</v>
      </c>
      <c r="H162" s="49"/>
      <c r="I162" s="43">
        <v>11199403</v>
      </c>
      <c r="J162" s="8">
        <f>Table1[[#This Row],[Population]]/Table1[[#This Row],[Cases]]</f>
        <v>5111.5486079415796</v>
      </c>
      <c r="K162" s="8">
        <f>Table1[[#This Row],[Population]]/Table1[[#This Row],[Deaths]]</f>
        <v>260451.23255813954</v>
      </c>
      <c r="L162" s="9">
        <f>Table1[[#This Row],[Deaths]]+Table1[[#This Row],[Active]]*Table1[[#This Row],[Death Rate]]</f>
        <v>62.095846645367416</v>
      </c>
      <c r="M162" s="10">
        <f>Table1[[#This Row],[Deaths]]/Table1[[#This Row],[Cases]]</f>
        <v>1.9625741670470105E-2</v>
      </c>
      <c r="N162" s="11">
        <f>Table1[[#This Row],[Cases]]/Table1[[#This Row],[Deaths]]</f>
        <v>50.953488372093027</v>
      </c>
      <c r="O162" s="12">
        <f>Table1[[#This Row],[Cases]]/Table1[[#This Row],[Population]]</f>
        <v>1.9563542806701393E-4</v>
      </c>
      <c r="P162" s="12">
        <f>Table1[[#This Row],[Deaths]]/Table1[[#This Row],[Population]]</f>
        <v>3.8394903728350521E-6</v>
      </c>
      <c r="Q162" s="13">
        <f>1-Table1[[#This Row],[Deaths]]/Table1[[#This Row],[Ex(Deaths)]]</f>
        <v>0.3075221238938054</v>
      </c>
      <c r="R162" s="14">
        <f>G162/D162</f>
        <v>0.44408945686900958</v>
      </c>
      <c r="S162" s="12">
        <f>Table1[[#This Row],[Percent Infected]]*Table1[[#This Row],[% Active]]</f>
        <v>8.6879630994616413E-5</v>
      </c>
      <c r="T162" s="8">
        <f>1/Table1[[#This Row],[Percent Actively Infected]]</f>
        <v>11510.17780061665</v>
      </c>
      <c r="AMC162"/>
    </row>
    <row r="163" spans="1:1017" s="1" customFormat="1" ht="16.5" thickBot="1" x14ac:dyDescent="0.3">
      <c r="A163" s="1">
        <v>164</v>
      </c>
      <c r="B163" s="52">
        <v>103</v>
      </c>
      <c r="C163" s="43" t="s">
        <v>166</v>
      </c>
      <c r="D163" s="48">
        <v>3106</v>
      </c>
      <c r="E163" s="49">
        <v>93</v>
      </c>
      <c r="F163" s="48">
        <v>1444</v>
      </c>
      <c r="G163" s="48">
        <v>1569</v>
      </c>
      <c r="H163" s="49">
        <v>2</v>
      </c>
      <c r="I163" s="43">
        <v>15908689</v>
      </c>
      <c r="J163" s="8">
        <f>Table1[[#This Row],[Population]]/Table1[[#This Row],[Cases]]</f>
        <v>5121.9217643271086</v>
      </c>
      <c r="K163" s="8">
        <f>Table1[[#This Row],[Population]]/Table1[[#This Row],[Deaths]]</f>
        <v>171061.17204301077</v>
      </c>
      <c r="L163" s="9">
        <f>Table1[[#This Row],[Deaths]]+Table1[[#This Row],[Active]]*Table1[[#This Row],[Death Rate]]</f>
        <v>139.97907276239536</v>
      </c>
      <c r="M163" s="10">
        <f>Table1[[#This Row],[Deaths]]/Table1[[#This Row],[Cases]]</f>
        <v>2.994204764971024E-2</v>
      </c>
      <c r="N163" s="11">
        <f>Table1[[#This Row],[Cases]]/Table1[[#This Row],[Deaths]]</f>
        <v>33.397849462365592</v>
      </c>
      <c r="O163" s="12">
        <f>Table1[[#This Row],[Cases]]/Table1[[#This Row],[Population]]</f>
        <v>1.952392180147591E-4</v>
      </c>
      <c r="P163" s="12">
        <f>Table1[[#This Row],[Deaths]]/Table1[[#This Row],[Population]]</f>
        <v>5.8458619688900829E-6</v>
      </c>
      <c r="Q163" s="13">
        <f>1-Table1[[#This Row],[Deaths]]/Table1[[#This Row],[Ex(Deaths)]]</f>
        <v>0.33561497326203205</v>
      </c>
      <c r="R163" s="14">
        <f>G163/D163</f>
        <v>0.50515132002575658</v>
      </c>
      <c r="S163" s="12">
        <f>Table1[[#This Row],[Percent Infected]]*Table1[[#This Row],[% Active]]</f>
        <v>9.8625348700952036E-5</v>
      </c>
      <c r="T163" s="8">
        <f>1/Table1[[#This Row],[Percent Actively Infected]]</f>
        <v>10139.381134480562</v>
      </c>
      <c r="AMC163"/>
    </row>
    <row r="164" spans="1:1017" s="1" customFormat="1" ht="16.5" thickBot="1" x14ac:dyDescent="0.3">
      <c r="A164" s="1">
        <v>165</v>
      </c>
      <c r="B164" s="52">
        <v>56</v>
      </c>
      <c r="C164" s="43" t="s">
        <v>159</v>
      </c>
      <c r="D164" s="48">
        <v>23473</v>
      </c>
      <c r="E164" s="49">
        <v>985</v>
      </c>
      <c r="F164" s="48">
        <v>19096</v>
      </c>
      <c r="G164" s="48">
        <v>3392</v>
      </c>
      <c r="H164" s="49">
        <v>39</v>
      </c>
      <c r="I164" s="43">
        <v>126456923</v>
      </c>
      <c r="J164" s="8">
        <f>Table1[[#This Row],[Population]]/Table1[[#This Row],[Cases]]</f>
        <v>5387.3353640352743</v>
      </c>
      <c r="K164" s="8">
        <f>Table1[[#This Row],[Population]]/Table1[[#This Row],[Deaths]]</f>
        <v>128382.66294416244</v>
      </c>
      <c r="L164" s="9">
        <f>Table1[[#This Row],[Deaths]]+Table1[[#This Row],[Active]]*Table1[[#This Row],[Death Rate]]</f>
        <v>1127.338857410642</v>
      </c>
      <c r="M164" s="10">
        <f>Table1[[#This Row],[Deaths]]/Table1[[#This Row],[Cases]]</f>
        <v>4.1963106547948707E-2</v>
      </c>
      <c r="N164" s="11">
        <f>Table1[[#This Row],[Cases]]/Table1[[#This Row],[Deaths]]</f>
        <v>23.83045685279188</v>
      </c>
      <c r="O164" s="12">
        <f>Table1[[#This Row],[Cases]]/Table1[[#This Row],[Population]]</f>
        <v>1.856205215431345E-4</v>
      </c>
      <c r="P164" s="12">
        <f>Table1[[#This Row],[Deaths]]/Table1[[#This Row],[Population]]</f>
        <v>7.7892137230003615E-6</v>
      </c>
      <c r="Q164" s="13">
        <f>1-Table1[[#This Row],[Deaths]]/Table1[[#This Row],[Ex(Deaths)]]</f>
        <v>0.12626093430113539</v>
      </c>
      <c r="R164" s="14">
        <f>G164/D164</f>
        <v>0.14450645422400205</v>
      </c>
      <c r="S164" s="12">
        <f>Table1[[#This Row],[Percent Infected]]*Table1[[#This Row],[% Active]]</f>
        <v>2.6823363399408351E-5</v>
      </c>
      <c r="T164" s="8">
        <f>1/Table1[[#This Row],[Percent Actively Infected]]</f>
        <v>37280.932488207545</v>
      </c>
      <c r="AMC164"/>
    </row>
    <row r="165" spans="1:1017" s="1" customFormat="1" ht="16.5" thickBot="1" x14ac:dyDescent="0.3">
      <c r="A165" s="1">
        <v>166</v>
      </c>
      <c r="B165" s="52">
        <v>47</v>
      </c>
      <c r="C165" s="43" t="s">
        <v>198</v>
      </c>
      <c r="D165" s="48">
        <v>35454</v>
      </c>
      <c r="E165" s="49">
        <v>772</v>
      </c>
      <c r="F165" s="48">
        <v>14633</v>
      </c>
      <c r="G165" s="48">
        <v>20049</v>
      </c>
      <c r="H165" s="49">
        <v>7</v>
      </c>
      <c r="I165" s="43">
        <v>206326265</v>
      </c>
      <c r="J165" s="8">
        <f>Table1[[#This Row],[Population]]/Table1[[#This Row],[Cases]]</f>
        <v>5819.5482879223782</v>
      </c>
      <c r="K165" s="8">
        <f>Table1[[#This Row],[Population]]/Table1[[#This Row],[Deaths]]</f>
        <v>267262.00129533681</v>
      </c>
      <c r="L165" s="9">
        <f>Table1[[#This Row],[Deaths]]+Table1[[#This Row],[Active]]*Table1[[#This Row],[Death Rate]]</f>
        <v>1208.5608393975292</v>
      </c>
      <c r="M165" s="10">
        <f>Table1[[#This Row],[Deaths]]/Table1[[#This Row],[Cases]]</f>
        <v>2.1774693969650816E-2</v>
      </c>
      <c r="N165" s="15">
        <f>Table1[[#This Row],[Cases]]/Table1[[#This Row],[Deaths]]</f>
        <v>45.924870466321245</v>
      </c>
      <c r="O165" s="12">
        <f>Table1[[#This Row],[Cases]]/Table1[[#This Row],[Population]]</f>
        <v>1.7183464257446816E-4</v>
      </c>
      <c r="P165" s="12">
        <f>Table1[[#This Row],[Deaths]]/Table1[[#This Row],[Population]]</f>
        <v>3.7416467554433749E-6</v>
      </c>
      <c r="Q165" s="13">
        <f>1-Table1[[#This Row],[Deaths]]/Table1[[#This Row],[Ex(Deaths)]]</f>
        <v>0.36122371763688454</v>
      </c>
      <c r="R165" s="16">
        <f>G165/D165</f>
        <v>0.5654933152817736</v>
      </c>
      <c r="S165" s="12">
        <f>Table1[[#This Row],[Percent Infected]]*Table1[[#This Row],[% Active]]</f>
        <v>9.7171341709694593E-5</v>
      </c>
      <c r="T165" s="8">
        <f>1/Table1[[#This Row],[Percent Actively Infected]]</f>
        <v>10291.100054865579</v>
      </c>
      <c r="AMC165"/>
    </row>
    <row r="166" spans="1:1017" s="1" customFormat="1" ht="16.5" thickBot="1" x14ac:dyDescent="0.3">
      <c r="A166" s="1">
        <v>167</v>
      </c>
      <c r="B166" s="52">
        <v>195</v>
      </c>
      <c r="C166" s="43" t="s">
        <v>164</v>
      </c>
      <c r="D166" s="49">
        <v>28</v>
      </c>
      <c r="E166" s="49">
        <v>1</v>
      </c>
      <c r="F166" s="49">
        <v>24</v>
      </c>
      <c r="G166" s="49">
        <v>3</v>
      </c>
      <c r="H166" s="49"/>
      <c r="I166" s="43">
        <v>164125</v>
      </c>
      <c r="J166" s="8">
        <f>Table1[[#This Row],[Population]]/Table1[[#This Row],[Cases]]</f>
        <v>5861.6071428571431</v>
      </c>
      <c r="K166" s="8">
        <f>Table1[[#This Row],[Population]]/Table1[[#This Row],[Deaths]]</f>
        <v>164125</v>
      </c>
      <c r="L166" s="9">
        <f>Table1[[#This Row],[Deaths]]+Table1[[#This Row],[Active]]*Table1[[#This Row],[Death Rate]]</f>
        <v>1.1071428571428572</v>
      </c>
      <c r="M166" s="10">
        <f>Table1[[#This Row],[Deaths]]/Table1[[#This Row],[Cases]]</f>
        <v>3.5714285714285712E-2</v>
      </c>
      <c r="N166" s="11">
        <f>Table1[[#This Row],[Cases]]/Table1[[#This Row],[Deaths]]</f>
        <v>28</v>
      </c>
      <c r="O166" s="12">
        <f>Table1[[#This Row],[Cases]]/Table1[[#This Row],[Population]]</f>
        <v>1.7060167555217059E-4</v>
      </c>
      <c r="P166" s="12">
        <f>Table1[[#This Row],[Deaths]]/Table1[[#This Row],[Population]]</f>
        <v>6.0929169840060931E-6</v>
      </c>
      <c r="Q166" s="13">
        <f>1-Table1[[#This Row],[Deaths]]/Table1[[#This Row],[Ex(Deaths)]]</f>
        <v>9.6774193548387122E-2</v>
      </c>
      <c r="R166" s="14">
        <f>G166/D166</f>
        <v>0.10714285714285714</v>
      </c>
      <c r="S166" s="12">
        <f>Table1[[#This Row],[Percent Infected]]*Table1[[#This Row],[% Active]]</f>
        <v>1.8278750952018275E-5</v>
      </c>
      <c r="T166" s="8">
        <f>1/Table1[[#This Row],[Percent Actively Infected]]</f>
        <v>54708.333333333343</v>
      </c>
      <c r="AMC166"/>
    </row>
    <row r="167" spans="1:1017" s="1" customFormat="1" ht="16.5" thickBot="1" x14ac:dyDescent="0.3">
      <c r="A167" s="1">
        <v>168</v>
      </c>
      <c r="B167" s="52">
        <v>161</v>
      </c>
      <c r="C167" s="43" t="s">
        <v>231</v>
      </c>
      <c r="D167" s="49">
        <v>359</v>
      </c>
      <c r="E167" s="49">
        <v>6</v>
      </c>
      <c r="F167" s="49">
        <v>69</v>
      </c>
      <c r="G167" s="49">
        <v>284</v>
      </c>
      <c r="H167" s="49"/>
      <c r="I167" s="43">
        <v>2143016</v>
      </c>
      <c r="J167" s="8">
        <f>Table1[[#This Row],[Population]]/Table1[[#This Row],[Cases]]</f>
        <v>5969.4038997214484</v>
      </c>
      <c r="K167" s="8">
        <f>Table1[[#This Row],[Population]]/Table1[[#This Row],[Deaths]]</f>
        <v>357169.33333333331</v>
      </c>
      <c r="L167" s="9">
        <f>Table1[[#This Row],[Deaths]]+Table1[[#This Row],[Active]]*Table1[[#This Row],[Death Rate]]</f>
        <v>10.746518105849582</v>
      </c>
      <c r="M167" s="10">
        <f>Table1[[#This Row],[Deaths]]/Table1[[#This Row],[Cases]]</f>
        <v>1.6713091922005572E-2</v>
      </c>
      <c r="N167" s="11">
        <f>Table1[[#This Row],[Cases]]/Table1[[#This Row],[Deaths]]</f>
        <v>59.833333333333336</v>
      </c>
      <c r="O167" s="12">
        <f>Table1[[#This Row],[Cases]]/Table1[[#This Row],[Population]]</f>
        <v>1.6752091444954215E-4</v>
      </c>
      <c r="P167" s="12">
        <f>Table1[[#This Row],[Deaths]]/Table1[[#This Row],[Population]]</f>
        <v>2.7997924420536292E-6</v>
      </c>
      <c r="Q167" s="13">
        <f>1-Table1[[#This Row],[Deaths]]/Table1[[#This Row],[Ex(Deaths)]]</f>
        <v>0.44167962674961114</v>
      </c>
      <c r="R167" s="14">
        <f>G167/D167</f>
        <v>0.79108635097493041</v>
      </c>
      <c r="S167" s="12">
        <f>Table1[[#This Row],[Percent Infected]]*Table1[[#This Row],[% Active]]</f>
        <v>1.325235089238718E-4</v>
      </c>
      <c r="T167" s="8">
        <f>1/Table1[[#This Row],[Percent Actively Infected]]</f>
        <v>7545.8309859154915</v>
      </c>
      <c r="AMC167"/>
    </row>
    <row r="168" spans="1:1017" s="1" customFormat="1" ht="16.5" thickBot="1" x14ac:dyDescent="0.3">
      <c r="A168" s="1">
        <v>169</v>
      </c>
      <c r="B168" s="52">
        <v>105</v>
      </c>
      <c r="C168" s="43" t="s">
        <v>188</v>
      </c>
      <c r="D168" s="48">
        <v>2980</v>
      </c>
      <c r="E168" s="49">
        <v>120</v>
      </c>
      <c r="F168" s="48">
        <v>1462</v>
      </c>
      <c r="G168" s="48">
        <v>1398</v>
      </c>
      <c r="H168" s="49">
        <v>19</v>
      </c>
      <c r="I168" s="43">
        <v>18401885</v>
      </c>
      <c r="J168" s="8">
        <f>Table1[[#This Row],[Population]]/Table1[[#This Row],[Cases]]</f>
        <v>6175.1291946308729</v>
      </c>
      <c r="K168" s="8">
        <f>Table1[[#This Row],[Population]]/Table1[[#This Row],[Deaths]]</f>
        <v>153349.04166666666</v>
      </c>
      <c r="L168" s="9">
        <f>Table1[[#This Row],[Deaths]]+Table1[[#This Row],[Active]]*Table1[[#This Row],[Death Rate]]</f>
        <v>176.29530201342283</v>
      </c>
      <c r="M168" s="10">
        <f>Table1[[#This Row],[Deaths]]/Table1[[#This Row],[Cases]]</f>
        <v>4.0268456375838924E-2</v>
      </c>
      <c r="N168" s="11">
        <f>Table1[[#This Row],[Cases]]/Table1[[#This Row],[Deaths]]</f>
        <v>24.833333333333332</v>
      </c>
      <c r="O168" s="12">
        <f>Table1[[#This Row],[Cases]]/Table1[[#This Row],[Population]]</f>
        <v>1.6193993169721471E-4</v>
      </c>
      <c r="P168" s="12">
        <f>Table1[[#This Row],[Deaths]]/Table1[[#This Row],[Population]]</f>
        <v>6.5210710750556258E-6</v>
      </c>
      <c r="Q168" s="13">
        <f>1-Table1[[#This Row],[Deaths]]/Table1[[#This Row],[Ex(Deaths)]]</f>
        <v>0.31932389218821378</v>
      </c>
      <c r="R168" s="14">
        <f>G168/D168</f>
        <v>0.46912751677852349</v>
      </c>
      <c r="S168" s="12">
        <f>Table1[[#This Row],[Percent Infected]]*Table1[[#This Row],[% Active]]</f>
        <v>7.5970478024398039E-5</v>
      </c>
      <c r="T168" s="8">
        <f>1/Table1[[#This Row],[Percent Actively Infected]]</f>
        <v>13163.007868383405</v>
      </c>
      <c r="AMC168"/>
    </row>
    <row r="169" spans="1:1017" s="1" customFormat="1" ht="16.5" thickBot="1" x14ac:dyDescent="0.3">
      <c r="A169" s="1">
        <v>170</v>
      </c>
      <c r="B169" s="52">
        <v>107</v>
      </c>
      <c r="C169" s="43" t="s">
        <v>223</v>
      </c>
      <c r="D169" s="48">
        <v>2810</v>
      </c>
      <c r="E169" s="49">
        <v>55</v>
      </c>
      <c r="F169" s="48">
        <v>1111</v>
      </c>
      <c r="G169" s="48">
        <v>1644</v>
      </c>
      <c r="H169" s="49">
        <v>4</v>
      </c>
      <c r="I169" s="43">
        <v>19147737</v>
      </c>
      <c r="J169" s="8">
        <f>Table1[[#This Row],[Population]]/Table1[[#This Row],[Cases]]</f>
        <v>6814.14128113879</v>
      </c>
      <c r="K169" s="8">
        <f>Table1[[#This Row],[Population]]/Table1[[#This Row],[Deaths]]</f>
        <v>348140.67272727273</v>
      </c>
      <c r="L169" s="9">
        <f>Table1[[#This Row],[Deaths]]+Table1[[#This Row],[Active]]*Table1[[#This Row],[Death Rate]]</f>
        <v>87.177935943060504</v>
      </c>
      <c r="M169" s="10">
        <f>Table1[[#This Row],[Deaths]]/Table1[[#This Row],[Cases]]</f>
        <v>1.9572953736654804E-2</v>
      </c>
      <c r="N169" s="11">
        <f>Table1[[#This Row],[Cases]]/Table1[[#This Row],[Deaths]]</f>
        <v>51.090909090909093</v>
      </c>
      <c r="O169" s="12">
        <f>Table1[[#This Row],[Cases]]/Table1[[#This Row],[Population]]</f>
        <v>1.4675363464622477E-4</v>
      </c>
      <c r="P169" s="12">
        <f>Table1[[#This Row],[Deaths]]/Table1[[#This Row],[Population]]</f>
        <v>2.8724021016164991E-6</v>
      </c>
      <c r="Q169" s="13">
        <f>1-Table1[[#This Row],[Deaths]]/Table1[[#This Row],[Ex(Deaths)]]</f>
        <v>0.36910642119443204</v>
      </c>
      <c r="R169" s="14">
        <f>G169/D169</f>
        <v>0.58505338078291813</v>
      </c>
      <c r="S169" s="12">
        <f>Table1[[#This Row],[Percent Infected]]*Table1[[#This Row],[% Active]]</f>
        <v>8.5858710091954994E-5</v>
      </c>
      <c r="T169" s="8">
        <f>1/Table1[[#This Row],[Percent Actively Infected]]</f>
        <v>11647.04197080292</v>
      </c>
      <c r="AMC169"/>
    </row>
    <row r="170" spans="1:1017" s="1" customFormat="1" ht="16.5" thickBot="1" x14ac:dyDescent="0.3">
      <c r="A170" s="1">
        <v>171</v>
      </c>
      <c r="B170" s="52">
        <v>127</v>
      </c>
      <c r="C170" s="43" t="s">
        <v>209</v>
      </c>
      <c r="D170" s="48">
        <v>1602</v>
      </c>
      <c r="E170" s="49">
        <v>31</v>
      </c>
      <c r="F170" s="49">
        <v>782</v>
      </c>
      <c r="G170" s="49">
        <v>789</v>
      </c>
      <c r="H170" s="49">
        <v>1</v>
      </c>
      <c r="I170" s="43">
        <v>12134565</v>
      </c>
      <c r="J170" s="8">
        <f>Table1[[#This Row],[Population]]/Table1[[#This Row],[Cases]]</f>
        <v>7574.6348314606739</v>
      </c>
      <c r="K170" s="8">
        <f>Table1[[#This Row],[Population]]/Table1[[#This Row],[Deaths]]</f>
        <v>391437.58064516127</v>
      </c>
      <c r="L170" s="9">
        <f>Table1[[#This Row],[Deaths]]+Table1[[#This Row],[Active]]*Table1[[#This Row],[Death Rate]]</f>
        <v>46.267790262172284</v>
      </c>
      <c r="M170" s="10">
        <f>Table1[[#This Row],[Deaths]]/Table1[[#This Row],[Cases]]</f>
        <v>1.9350811485642945E-2</v>
      </c>
      <c r="N170" s="11">
        <f>Table1[[#This Row],[Cases]]/Table1[[#This Row],[Deaths]]</f>
        <v>51.677419354838712</v>
      </c>
      <c r="O170" s="12">
        <f>Table1[[#This Row],[Cases]]/Table1[[#This Row],[Population]]</f>
        <v>1.3201956559629456E-4</v>
      </c>
      <c r="P170" s="12">
        <f>Table1[[#This Row],[Deaths]]/Table1[[#This Row],[Population]]</f>
        <v>2.5546857262703691E-6</v>
      </c>
      <c r="Q170" s="17">
        <f>1-Table1[[#This Row],[Deaths]]/Table1[[#This Row],[Ex(Deaths)]]</f>
        <v>0.32998745294855703</v>
      </c>
      <c r="R170" s="14">
        <f>G170/D170</f>
        <v>0.49250936329588013</v>
      </c>
      <c r="S170" s="12">
        <f>Table1[[#This Row],[Percent Infected]]*Table1[[#This Row],[% Active]]</f>
        <v>6.5020872194429714E-5</v>
      </c>
      <c r="T170" s="8">
        <f>1/Table1[[#This Row],[Percent Actively Infected]]</f>
        <v>15379.676806083649</v>
      </c>
      <c r="AMC170"/>
    </row>
    <row r="171" spans="1:1017" s="1" customFormat="1" ht="16.5" thickBot="1" x14ac:dyDescent="0.3">
      <c r="A171" s="1">
        <v>172</v>
      </c>
      <c r="B171" s="52">
        <v>109</v>
      </c>
      <c r="C171" s="43" t="s">
        <v>184</v>
      </c>
      <c r="D171" s="48">
        <v>2703</v>
      </c>
      <c r="E171" s="49">
        <v>11</v>
      </c>
      <c r="F171" s="48">
        <v>2023</v>
      </c>
      <c r="G171" s="49">
        <v>669</v>
      </c>
      <c r="H171" s="49">
        <v>1</v>
      </c>
      <c r="I171" s="43">
        <v>21417467</v>
      </c>
      <c r="J171" s="8">
        <f>Table1[[#This Row],[Population]]/Table1[[#This Row],[Cases]]</f>
        <v>7923.5911949685533</v>
      </c>
      <c r="K171" s="8">
        <f>Table1[[#This Row],[Population]]/Table1[[#This Row],[Deaths]]</f>
        <v>1947042.4545454546</v>
      </c>
      <c r="L171" s="9">
        <f>Table1[[#This Row],[Deaths]]+Table1[[#This Row],[Active]]*Table1[[#This Row],[Death Rate]]</f>
        <v>13.72253052164262</v>
      </c>
      <c r="M171" s="10">
        <f>Table1[[#This Row],[Deaths]]/Table1[[#This Row],[Cases]]</f>
        <v>4.0695523492415833E-3</v>
      </c>
      <c r="N171" s="15">
        <f>Table1[[#This Row],[Cases]]/Table1[[#This Row],[Deaths]]</f>
        <v>245.72727272727272</v>
      </c>
      <c r="O171" s="12">
        <f>Table1[[#This Row],[Cases]]/Table1[[#This Row],[Population]]</f>
        <v>1.2620540047989803E-4</v>
      </c>
      <c r="P171" s="12">
        <f>Table1[[#This Row],[Deaths]]/Table1[[#This Row],[Population]]</f>
        <v>5.1359948400994382E-7</v>
      </c>
      <c r="Q171" s="13">
        <f>1-Table1[[#This Row],[Deaths]]/Table1[[#This Row],[Ex(Deaths)]]</f>
        <v>0.19839857651245552</v>
      </c>
      <c r="R171" s="16">
        <f>G171/D171</f>
        <v>0.24750277469478357</v>
      </c>
      <c r="S171" s="12">
        <f>Table1[[#This Row],[Percent Infected]]*Table1[[#This Row],[% Active]]</f>
        <v>3.1236186800241132E-5</v>
      </c>
      <c r="T171" s="8">
        <f>1/Table1[[#This Row],[Percent Actively Infected]]</f>
        <v>32014.1509715994</v>
      </c>
      <c r="AMC171"/>
    </row>
    <row r="172" spans="1:1017" s="1" customFormat="1" ht="16.5" thickBot="1" x14ac:dyDescent="0.3">
      <c r="A172" s="1">
        <v>173</v>
      </c>
      <c r="B172" s="52">
        <v>199</v>
      </c>
      <c r="C172" s="43" t="s">
        <v>168</v>
      </c>
      <c r="D172" s="49">
        <v>23</v>
      </c>
      <c r="E172" s="49"/>
      <c r="F172" s="49">
        <v>19</v>
      </c>
      <c r="G172" s="49">
        <v>4</v>
      </c>
      <c r="H172" s="49"/>
      <c r="I172" s="43">
        <v>183666</v>
      </c>
      <c r="J172" s="8">
        <f>Table1[[#This Row],[Population]]/Table1[[#This Row],[Cases]]</f>
        <v>7985.478260869565</v>
      </c>
      <c r="K172" s="8" t="e">
        <f>Table1[[#This Row],[Population]]/Table1[[#This Row],[Deaths]]</f>
        <v>#DIV/0!</v>
      </c>
      <c r="L172" s="9">
        <f>Table1[[#This Row],[Deaths]]+Table1[[#This Row],[Active]]*Table1[[#This Row],[Death Rate]]</f>
        <v>0</v>
      </c>
      <c r="M172" s="10">
        <f>Table1[[#This Row],[Deaths]]/Table1[[#This Row],[Cases]]</f>
        <v>0</v>
      </c>
      <c r="N172" s="11" t="e">
        <f>Table1[[#This Row],[Cases]]/Table1[[#This Row],[Deaths]]</f>
        <v>#DIV/0!</v>
      </c>
      <c r="O172" s="12">
        <f>Table1[[#This Row],[Cases]]/Table1[[#This Row],[Population]]</f>
        <v>1.2522731479969074E-4</v>
      </c>
      <c r="P172" s="12">
        <f>Table1[[#This Row],[Deaths]]/Table1[[#This Row],[Population]]</f>
        <v>0</v>
      </c>
      <c r="Q172" s="13" t="e">
        <f>1-Table1[[#This Row],[Deaths]]/Table1[[#This Row],[Ex(Deaths)]]</f>
        <v>#DIV/0!</v>
      </c>
      <c r="R172" s="14">
        <f>G172/D172</f>
        <v>0.17391304347826086</v>
      </c>
      <c r="S172" s="12">
        <f>Table1[[#This Row],[Percent Infected]]*Table1[[#This Row],[% Active]]</f>
        <v>2.1778663443424476E-5</v>
      </c>
      <c r="T172" s="8">
        <f>1/Table1[[#This Row],[Percent Actively Infected]]</f>
        <v>45916.5</v>
      </c>
      <c r="AMC172"/>
    </row>
    <row r="173" spans="1:1017" s="1" customFormat="1" ht="16.5" thickBot="1" x14ac:dyDescent="0.3">
      <c r="A173" s="1">
        <v>174</v>
      </c>
      <c r="B173" s="52">
        <v>112</v>
      </c>
      <c r="C173" s="43" t="s">
        <v>187</v>
      </c>
      <c r="D173" s="48">
        <v>2472</v>
      </c>
      <c r="E173" s="49">
        <v>121</v>
      </c>
      <c r="F173" s="48">
        <v>1809</v>
      </c>
      <c r="G173" s="49">
        <v>542</v>
      </c>
      <c r="H173" s="49"/>
      <c r="I173" s="43">
        <v>20270897</v>
      </c>
      <c r="J173" s="8">
        <f>Table1[[#This Row],[Population]]/Table1[[#This Row],[Cases]]</f>
        <v>8200.2010517799354</v>
      </c>
      <c r="K173" s="8">
        <f>Table1[[#This Row],[Population]]/Table1[[#This Row],[Deaths]]</f>
        <v>167528.07438016529</v>
      </c>
      <c r="L173" s="9">
        <f>Table1[[#This Row],[Deaths]]+Table1[[#This Row],[Active]]*Table1[[#This Row],[Death Rate]]</f>
        <v>147.5299352750809</v>
      </c>
      <c r="M173" s="10">
        <f>Table1[[#This Row],[Deaths]]/Table1[[#This Row],[Cases]]</f>
        <v>4.894822006472492E-2</v>
      </c>
      <c r="N173" s="11">
        <f>Table1[[#This Row],[Cases]]/Table1[[#This Row],[Deaths]]</f>
        <v>20.429752066115704</v>
      </c>
      <c r="O173" s="12">
        <f>Table1[[#This Row],[Cases]]/Table1[[#This Row],[Population]]</f>
        <v>1.2194822952334078E-4</v>
      </c>
      <c r="P173" s="12">
        <f>Table1[[#This Row],[Deaths]]/Table1[[#This Row],[Population]]</f>
        <v>5.9691487752120688E-6</v>
      </c>
      <c r="Q173" s="13">
        <f>1-Table1[[#This Row],[Deaths]]/Table1[[#This Row],[Ex(Deaths)]]</f>
        <v>0.17982747179827474</v>
      </c>
      <c r="R173" s="14">
        <f>G173/D173</f>
        <v>0.21925566343042072</v>
      </c>
      <c r="S173" s="12">
        <f>Table1[[#This Row],[Percent Infected]]*Table1[[#This Row],[% Active]]</f>
        <v>2.6737839968305301E-5</v>
      </c>
      <c r="T173" s="8">
        <f>1/Table1[[#This Row],[Percent Actively Infected]]</f>
        <v>37400.178966789666</v>
      </c>
      <c r="AMC173"/>
    </row>
    <row r="174" spans="1:1017" s="1" customFormat="1" ht="16.5" thickBot="1" x14ac:dyDescent="0.3">
      <c r="A174" s="1">
        <v>175</v>
      </c>
      <c r="B174" s="52">
        <v>134</v>
      </c>
      <c r="C174" s="43" t="s">
        <v>179</v>
      </c>
      <c r="D174" s="48">
        <v>1214</v>
      </c>
      <c r="E174" s="49">
        <v>11</v>
      </c>
      <c r="F174" s="48">
        <v>1022</v>
      </c>
      <c r="G174" s="49">
        <v>181</v>
      </c>
      <c r="H174" s="49">
        <v>3</v>
      </c>
      <c r="I174" s="43">
        <v>10207607</v>
      </c>
      <c r="J174" s="8">
        <f>Table1[[#This Row],[Population]]/Table1[[#This Row],[Cases]]</f>
        <v>8408.2429983525544</v>
      </c>
      <c r="K174" s="8">
        <f>Table1[[#This Row],[Population]]/Table1[[#This Row],[Deaths]]</f>
        <v>927964.27272727271</v>
      </c>
      <c r="L174" s="9">
        <f>Table1[[#This Row],[Deaths]]+Table1[[#This Row],[Active]]*Table1[[#This Row],[Death Rate]]</f>
        <v>12.640032948929159</v>
      </c>
      <c r="M174" s="10">
        <f>Table1[[#This Row],[Deaths]]/Table1[[#This Row],[Cases]]</f>
        <v>9.0609555189456337E-3</v>
      </c>
      <c r="N174" s="11">
        <f>Table1[[#This Row],[Cases]]/Table1[[#This Row],[Deaths]]</f>
        <v>110.36363636363636</v>
      </c>
      <c r="O174" s="12">
        <f>Table1[[#This Row],[Cases]]/Table1[[#This Row],[Population]]</f>
        <v>1.1893091103527007E-4</v>
      </c>
      <c r="P174" s="12">
        <f>Table1[[#This Row],[Deaths]]/Table1[[#This Row],[Population]]</f>
        <v>1.0776276947182625E-6</v>
      </c>
      <c r="Q174" s="13">
        <f>1-Table1[[#This Row],[Deaths]]/Table1[[#This Row],[Ex(Deaths)]]</f>
        <v>0.12974910394265227</v>
      </c>
      <c r="R174" s="14">
        <f>G174/D174</f>
        <v>0.14909390444810544</v>
      </c>
      <c r="S174" s="12">
        <f>Table1[[#This Row],[Percent Infected]]*Table1[[#This Row],[% Active]]</f>
        <v>1.7731873885818686E-5</v>
      </c>
      <c r="T174" s="8">
        <f>1/Table1[[#This Row],[Percent Actively Infected]]</f>
        <v>56395.618784530379</v>
      </c>
      <c r="AMC174"/>
    </row>
    <row r="175" spans="1:1017" s="1" customFormat="1" ht="16.5" thickBot="1" x14ac:dyDescent="0.3">
      <c r="A175" s="1">
        <v>176</v>
      </c>
      <c r="B175" s="52">
        <v>130</v>
      </c>
      <c r="C175" s="43" t="s">
        <v>200</v>
      </c>
      <c r="D175" s="48">
        <v>1485</v>
      </c>
      <c r="E175" s="49">
        <v>4</v>
      </c>
      <c r="F175" s="49">
        <v>811</v>
      </c>
      <c r="G175" s="49">
        <v>670</v>
      </c>
      <c r="H175" s="49"/>
      <c r="I175" s="43">
        <v>12963948</v>
      </c>
      <c r="J175" s="8">
        <f>Table1[[#This Row],[Population]]/Table1[[#This Row],[Cases]]</f>
        <v>8729.9313131313138</v>
      </c>
      <c r="K175" s="8">
        <f>Table1[[#This Row],[Population]]/Table1[[#This Row],[Deaths]]</f>
        <v>3240987</v>
      </c>
      <c r="L175" s="9">
        <f>Table1[[#This Row],[Deaths]]+Table1[[#This Row],[Active]]*Table1[[#This Row],[Death Rate]]</f>
        <v>5.8047138047138045</v>
      </c>
      <c r="M175" s="10">
        <f>Table1[[#This Row],[Deaths]]/Table1[[#This Row],[Cases]]</f>
        <v>2.6936026936026937E-3</v>
      </c>
      <c r="N175" s="11">
        <f>Table1[[#This Row],[Cases]]/Table1[[#This Row],[Deaths]]</f>
        <v>371.25</v>
      </c>
      <c r="O175" s="12">
        <f>Table1[[#This Row],[Cases]]/Table1[[#This Row],[Population]]</f>
        <v>1.1454843848494302E-4</v>
      </c>
      <c r="P175" s="12">
        <f>Table1[[#This Row],[Deaths]]/Table1[[#This Row],[Population]]</f>
        <v>3.0854798245102496E-7</v>
      </c>
      <c r="Q175" s="13">
        <f>1-Table1[[#This Row],[Deaths]]/Table1[[#This Row],[Ex(Deaths)]]</f>
        <v>0.31090487238979114</v>
      </c>
      <c r="R175" s="14">
        <f>G175/D175</f>
        <v>0.45117845117845118</v>
      </c>
      <c r="S175" s="12">
        <f>Table1[[#This Row],[Percent Infected]]*Table1[[#This Row],[% Active]]</f>
        <v>5.1681787060546682E-5</v>
      </c>
      <c r="T175" s="8">
        <f>1/Table1[[#This Row],[Percent Actively Infected]]</f>
        <v>19349.176119402982</v>
      </c>
      <c r="AMC175"/>
    </row>
    <row r="176" spans="1:1017" s="1" customFormat="1" ht="16.5" thickBot="1" x14ac:dyDescent="0.3">
      <c r="A176" s="1">
        <v>177</v>
      </c>
      <c r="B176" s="52">
        <v>133</v>
      </c>
      <c r="C176" s="43" t="s">
        <v>172</v>
      </c>
      <c r="D176" s="48">
        <v>1348</v>
      </c>
      <c r="E176" s="49">
        <v>50</v>
      </c>
      <c r="F176" s="48">
        <v>1095</v>
      </c>
      <c r="G176" s="49">
        <v>203</v>
      </c>
      <c r="H176" s="49"/>
      <c r="I176" s="43">
        <v>11824047</v>
      </c>
      <c r="J176" s="8">
        <f>Table1[[#This Row],[Population]]/Table1[[#This Row],[Cases]]</f>
        <v>8771.5482195845689</v>
      </c>
      <c r="K176" s="8">
        <f>Table1[[#This Row],[Population]]/Table1[[#This Row],[Deaths]]</f>
        <v>236480.94</v>
      </c>
      <c r="L176" s="9">
        <f>Table1[[#This Row],[Deaths]]+Table1[[#This Row],[Active]]*Table1[[#This Row],[Death Rate]]</f>
        <v>57.529673590504451</v>
      </c>
      <c r="M176" s="10">
        <f>Table1[[#This Row],[Deaths]]/Table1[[#This Row],[Cases]]</f>
        <v>3.7091988130563795E-2</v>
      </c>
      <c r="N176" s="11">
        <f>Table1[[#This Row],[Cases]]/Table1[[#This Row],[Deaths]]</f>
        <v>26.96</v>
      </c>
      <c r="O176" s="12">
        <f>Table1[[#This Row],[Cases]]/Table1[[#This Row],[Population]]</f>
        <v>1.1400495955403425E-4</v>
      </c>
      <c r="P176" s="12">
        <f>Table1[[#This Row],[Deaths]]/Table1[[#This Row],[Population]]</f>
        <v>4.2286706066036441E-6</v>
      </c>
      <c r="Q176" s="13">
        <f>1-Table1[[#This Row],[Deaths]]/Table1[[#This Row],[Ex(Deaths)]]</f>
        <v>0.13088330109606705</v>
      </c>
      <c r="R176" s="14">
        <f>G176/D176</f>
        <v>0.15059347181008903</v>
      </c>
      <c r="S176" s="12">
        <f>Table1[[#This Row],[Percent Infected]]*Table1[[#This Row],[% Active]]</f>
        <v>1.7168402662810798E-5</v>
      </c>
      <c r="T176" s="8">
        <f>1/Table1[[#This Row],[Percent Actively Infected]]</f>
        <v>58246.536945812797</v>
      </c>
      <c r="AMC176"/>
    </row>
    <row r="177" spans="1:1017" s="1" customFormat="1" ht="16.5" thickBot="1" x14ac:dyDescent="0.3">
      <c r="A177" s="1">
        <v>178</v>
      </c>
      <c r="B177" s="52">
        <v>185</v>
      </c>
      <c r="C177" s="43" t="s">
        <v>199</v>
      </c>
      <c r="D177" s="49">
        <v>87</v>
      </c>
      <c r="E177" s="49"/>
      <c r="F177" s="49">
        <v>78</v>
      </c>
      <c r="G177" s="49">
        <v>9</v>
      </c>
      <c r="H177" s="49"/>
      <c r="I177" s="43">
        <v>771979</v>
      </c>
      <c r="J177" s="8">
        <f>Table1[[#This Row],[Population]]/Table1[[#This Row],[Cases]]</f>
        <v>8873.3218390804595</v>
      </c>
      <c r="K177" s="8" t="e">
        <f>Table1[[#This Row],[Population]]/Table1[[#This Row],[Deaths]]</f>
        <v>#DIV/0!</v>
      </c>
      <c r="L177" s="9">
        <f>Table1[[#This Row],[Deaths]]+Table1[[#This Row],[Active]]*Table1[[#This Row],[Death Rate]]</f>
        <v>0</v>
      </c>
      <c r="M177" s="10">
        <f>Table1[[#This Row],[Deaths]]/Table1[[#This Row],[Cases]]</f>
        <v>0</v>
      </c>
      <c r="N177" s="11" t="e">
        <f>Table1[[#This Row],[Cases]]/Table1[[#This Row],[Deaths]]</f>
        <v>#DIV/0!</v>
      </c>
      <c r="O177" s="12">
        <f>Table1[[#This Row],[Cases]]/Table1[[#This Row],[Population]]</f>
        <v>1.1269736612006285E-4</v>
      </c>
      <c r="P177" s="12">
        <f>Table1[[#This Row],[Deaths]]/Table1[[#This Row],[Population]]</f>
        <v>0</v>
      </c>
      <c r="Q177" s="13" t="e">
        <f>1-Table1[[#This Row],[Deaths]]/Table1[[#This Row],[Ex(Deaths)]]</f>
        <v>#DIV/0!</v>
      </c>
      <c r="R177" s="14">
        <f>G177/D177</f>
        <v>0.10344827586206896</v>
      </c>
      <c r="S177" s="12">
        <f>Table1[[#This Row],[Percent Infected]]*Table1[[#This Row],[% Active]]</f>
        <v>1.1658348219316847E-5</v>
      </c>
      <c r="T177" s="8">
        <f>1/Table1[[#This Row],[Percent Actively Infected]]</f>
        <v>85775.444444444453</v>
      </c>
      <c r="AMC177"/>
    </row>
    <row r="178" spans="1:1017" s="1" customFormat="1" ht="16.5" thickBot="1" x14ac:dyDescent="0.3">
      <c r="A178" s="1">
        <v>179</v>
      </c>
      <c r="B178" s="52">
        <v>193</v>
      </c>
      <c r="C178" s="43" t="s">
        <v>190</v>
      </c>
      <c r="D178" s="49">
        <v>40</v>
      </c>
      <c r="E178" s="49">
        <v>2</v>
      </c>
      <c r="F178" s="49">
        <v>22</v>
      </c>
      <c r="G178" s="49">
        <v>16</v>
      </c>
      <c r="H178" s="49"/>
      <c r="I178" s="43">
        <v>397917</v>
      </c>
      <c r="J178" s="8">
        <f>Table1[[#This Row],[Population]]/Table1[[#This Row],[Cases]]</f>
        <v>9947.9249999999993</v>
      </c>
      <c r="K178" s="8">
        <f>Table1[[#This Row],[Population]]/Table1[[#This Row],[Deaths]]</f>
        <v>198958.5</v>
      </c>
      <c r="L178" s="9">
        <f>Table1[[#This Row],[Deaths]]+Table1[[#This Row],[Active]]*Table1[[#This Row],[Death Rate]]</f>
        <v>2.8</v>
      </c>
      <c r="M178" s="10">
        <f>Table1[[#This Row],[Deaths]]/Table1[[#This Row],[Cases]]</f>
        <v>0.05</v>
      </c>
      <c r="N178" s="11">
        <f>Table1[[#This Row],[Cases]]/Table1[[#This Row],[Deaths]]</f>
        <v>20</v>
      </c>
      <c r="O178" s="12">
        <f>Table1[[#This Row],[Cases]]/Table1[[#This Row],[Population]]</f>
        <v>1.0052347600127664E-4</v>
      </c>
      <c r="P178" s="12">
        <f>Table1[[#This Row],[Deaths]]/Table1[[#This Row],[Population]]</f>
        <v>5.0261738000638325E-6</v>
      </c>
      <c r="Q178" s="13">
        <f>1-Table1[[#This Row],[Deaths]]/Table1[[#This Row],[Ex(Deaths)]]</f>
        <v>0.2857142857142857</v>
      </c>
      <c r="R178" s="14">
        <f>G178/D178</f>
        <v>0.4</v>
      </c>
      <c r="S178" s="12">
        <f>Table1[[#This Row],[Percent Infected]]*Table1[[#This Row],[% Active]]</f>
        <v>4.020939040051066E-5</v>
      </c>
      <c r="T178" s="8">
        <f>1/Table1[[#This Row],[Percent Actively Infected]]</f>
        <v>24869.8125</v>
      </c>
      <c r="AMC178"/>
    </row>
    <row r="179" spans="1:1017" s="1" customFormat="1" ht="16.5" thickBot="1" x14ac:dyDescent="0.3">
      <c r="A179" s="1">
        <v>180</v>
      </c>
      <c r="B179" s="52">
        <v>178</v>
      </c>
      <c r="C179" s="43" t="s">
        <v>178</v>
      </c>
      <c r="D179" s="49">
        <v>136</v>
      </c>
      <c r="E179" s="49">
        <v>8</v>
      </c>
      <c r="F179" s="49">
        <v>124</v>
      </c>
      <c r="G179" s="49">
        <v>4</v>
      </c>
      <c r="H179" s="49"/>
      <c r="I179" s="43">
        <v>1399703</v>
      </c>
      <c r="J179" s="8">
        <f>Table1[[#This Row],[Population]]/Table1[[#This Row],[Cases]]</f>
        <v>10291.933823529413</v>
      </c>
      <c r="K179" s="8">
        <f>Table1[[#This Row],[Population]]/Table1[[#This Row],[Deaths]]</f>
        <v>174962.875</v>
      </c>
      <c r="L179" s="9">
        <f>Table1[[#This Row],[Deaths]]+Table1[[#This Row],[Active]]*Table1[[#This Row],[Death Rate]]</f>
        <v>8.235294117647058</v>
      </c>
      <c r="M179" s="10">
        <f>Table1[[#This Row],[Deaths]]/Table1[[#This Row],[Cases]]</f>
        <v>5.8823529411764705E-2</v>
      </c>
      <c r="N179" s="11">
        <f>Table1[[#This Row],[Cases]]/Table1[[#This Row],[Deaths]]</f>
        <v>17</v>
      </c>
      <c r="O179" s="12">
        <f>Table1[[#This Row],[Cases]]/Table1[[#This Row],[Population]]</f>
        <v>9.7163469678924745E-5</v>
      </c>
      <c r="P179" s="12">
        <f>Table1[[#This Row],[Deaths]]/Table1[[#This Row],[Population]]</f>
        <v>5.7154982164073382E-6</v>
      </c>
      <c r="Q179" s="13">
        <f>1-Table1[[#This Row],[Deaths]]/Table1[[#This Row],[Ex(Deaths)]]</f>
        <v>2.857142857142847E-2</v>
      </c>
      <c r="R179" s="14">
        <f>G179/D179</f>
        <v>2.9411764705882353E-2</v>
      </c>
      <c r="S179" s="12">
        <f>Table1[[#This Row],[Percent Infected]]*Table1[[#This Row],[% Active]]</f>
        <v>2.8577491082036691E-6</v>
      </c>
      <c r="T179" s="8">
        <f>1/Table1[[#This Row],[Percent Actively Infected]]</f>
        <v>349925.75</v>
      </c>
      <c r="AMC179"/>
    </row>
    <row r="180" spans="1:1017" s="1" customFormat="1" ht="16.5" thickBot="1" x14ac:dyDescent="0.3">
      <c r="A180" s="1">
        <v>181</v>
      </c>
      <c r="B180" s="52">
        <v>132</v>
      </c>
      <c r="C180" s="43" t="s">
        <v>224</v>
      </c>
      <c r="D180" s="48">
        <v>1420</v>
      </c>
      <c r="E180" s="49">
        <v>24</v>
      </c>
      <c r="F180" s="49">
        <v>438</v>
      </c>
      <c r="G180" s="49">
        <v>958</v>
      </c>
      <c r="H180" s="49"/>
      <c r="I180" s="43">
        <v>14871975</v>
      </c>
      <c r="J180" s="8">
        <f>Table1[[#This Row],[Population]]/Table1[[#This Row],[Cases]]</f>
        <v>10473.221830985916</v>
      </c>
      <c r="K180" s="8">
        <f>Table1[[#This Row],[Population]]/Table1[[#This Row],[Deaths]]</f>
        <v>619665.625</v>
      </c>
      <c r="L180" s="9">
        <f>Table1[[#This Row],[Deaths]]+Table1[[#This Row],[Active]]*Table1[[#This Row],[Death Rate]]</f>
        <v>40.191549295774649</v>
      </c>
      <c r="M180" s="10">
        <f>Table1[[#This Row],[Deaths]]/Table1[[#This Row],[Cases]]</f>
        <v>1.6901408450704224E-2</v>
      </c>
      <c r="N180" s="11">
        <f>Table1[[#This Row],[Cases]]/Table1[[#This Row],[Deaths]]</f>
        <v>59.166666666666664</v>
      </c>
      <c r="O180" s="12">
        <f>Table1[[#This Row],[Cases]]/Table1[[#This Row],[Population]]</f>
        <v>9.5481602140939584E-5</v>
      </c>
      <c r="P180" s="12">
        <f>Table1[[#This Row],[Deaths]]/Table1[[#This Row],[Population]]</f>
        <v>1.613773557311655E-6</v>
      </c>
      <c r="Q180" s="13">
        <f>1-Table1[[#This Row],[Deaths]]/Table1[[#This Row],[Ex(Deaths)]]</f>
        <v>0.4028595458368377</v>
      </c>
      <c r="R180" s="14">
        <f>G180/D180</f>
        <v>0.67464788732394365</v>
      </c>
      <c r="S180" s="12">
        <f>Table1[[#This Row],[Percent Infected]]*Table1[[#This Row],[% Active]]</f>
        <v>6.441646116269023E-5</v>
      </c>
      <c r="T180" s="8">
        <f>1/Table1[[#This Row],[Percent Actively Infected]]</f>
        <v>15523.982254697285</v>
      </c>
      <c r="AMC180"/>
    </row>
    <row r="181" spans="1:1017" s="1" customFormat="1" ht="16.5" thickBot="1" x14ac:dyDescent="0.3">
      <c r="A181" s="1">
        <v>182</v>
      </c>
      <c r="B181" s="52">
        <v>82</v>
      </c>
      <c r="C181" s="43" t="s">
        <v>201</v>
      </c>
      <c r="D181" s="48">
        <v>8324</v>
      </c>
      <c r="E181" s="49">
        <v>193</v>
      </c>
      <c r="F181" s="48">
        <v>4313</v>
      </c>
      <c r="G181" s="48">
        <v>3818</v>
      </c>
      <c r="H181" s="49"/>
      <c r="I181" s="43">
        <v>89652723</v>
      </c>
      <c r="J181" s="8">
        <f>Table1[[#This Row],[Population]]/Table1[[#This Row],[Cases]]</f>
        <v>10770.38959634791</v>
      </c>
      <c r="K181" s="8">
        <f>Table1[[#This Row],[Population]]/Table1[[#This Row],[Deaths]]</f>
        <v>464521.88082901557</v>
      </c>
      <c r="L181" s="9">
        <f>Table1[[#This Row],[Deaths]]+Table1[[#This Row],[Active]]*Table1[[#This Row],[Death Rate]]</f>
        <v>281.52402691013936</v>
      </c>
      <c r="M181" s="10">
        <f>Table1[[#This Row],[Deaths]]/Table1[[#This Row],[Cases]]</f>
        <v>2.3185968284478616E-2</v>
      </c>
      <c r="N181" s="11">
        <f>Table1[[#This Row],[Cases]]/Table1[[#This Row],[Deaths]]</f>
        <v>43.129533678756474</v>
      </c>
      <c r="O181" s="12">
        <f>Table1[[#This Row],[Cases]]/Table1[[#This Row],[Population]]</f>
        <v>9.2847152004518592E-5</v>
      </c>
      <c r="P181" s="12">
        <f>Table1[[#This Row],[Deaths]]/Table1[[#This Row],[Population]]</f>
        <v>2.1527511216809332E-6</v>
      </c>
      <c r="Q181" s="13">
        <f>1-Table1[[#This Row],[Deaths]]/Table1[[#This Row],[Ex(Deaths)]]</f>
        <v>0.31444572558062922</v>
      </c>
      <c r="R181" s="14">
        <f>G181/D181</f>
        <v>0.45867371456030753</v>
      </c>
      <c r="S181" s="12">
        <f>Table1[[#This Row],[Percent Infected]]*Table1[[#This Row],[% Active]]</f>
        <v>4.2586548096258045E-5</v>
      </c>
      <c r="T181" s="8">
        <f>1/Table1[[#This Row],[Percent Actively Infected]]</f>
        <v>23481.59324253536</v>
      </c>
      <c r="AMC181"/>
    </row>
    <row r="182" spans="1:1017" s="1" customFormat="1" ht="16.5" thickBot="1" x14ac:dyDescent="0.3">
      <c r="A182" s="1">
        <v>183</v>
      </c>
      <c r="B182" s="52">
        <v>148</v>
      </c>
      <c r="C182" s="43" t="s">
        <v>189</v>
      </c>
      <c r="D182" s="49">
        <v>766</v>
      </c>
      <c r="E182" s="49">
        <v>15</v>
      </c>
      <c r="F182" s="49">
        <v>546</v>
      </c>
      <c r="G182" s="49">
        <v>205</v>
      </c>
      <c r="H182" s="49">
        <v>2</v>
      </c>
      <c r="I182" s="43">
        <v>8285951</v>
      </c>
      <c r="J182" s="8">
        <f>Table1[[#This Row],[Population]]/Table1[[#This Row],[Cases]]</f>
        <v>10817.168407310704</v>
      </c>
      <c r="K182" s="8">
        <f>Table1[[#This Row],[Population]]/Table1[[#This Row],[Deaths]]</f>
        <v>552396.73333333328</v>
      </c>
      <c r="L182" s="9">
        <f>Table1[[#This Row],[Deaths]]+Table1[[#This Row],[Active]]*Table1[[#This Row],[Death Rate]]</f>
        <v>19.014360313315926</v>
      </c>
      <c r="M182" s="10">
        <f>Table1[[#This Row],[Deaths]]/Table1[[#This Row],[Cases]]</f>
        <v>1.95822454308094E-2</v>
      </c>
      <c r="N182" s="11">
        <f>Table1[[#This Row],[Cases]]/Table1[[#This Row],[Deaths]]</f>
        <v>51.06666666666667</v>
      </c>
      <c r="O182" s="12">
        <f>Table1[[#This Row],[Cases]]/Table1[[#This Row],[Population]]</f>
        <v>9.2445634785916553E-5</v>
      </c>
      <c r="P182" s="12">
        <f>Table1[[#This Row],[Deaths]]/Table1[[#This Row],[Population]]</f>
        <v>1.8102931093847888E-6</v>
      </c>
      <c r="Q182" s="13">
        <f>1-Table1[[#This Row],[Deaths]]/Table1[[#This Row],[Ex(Deaths)]]</f>
        <v>0.21112255406797109</v>
      </c>
      <c r="R182" s="14">
        <f>G182/D182</f>
        <v>0.26762402088772846</v>
      </c>
      <c r="S182" s="12">
        <f>Table1[[#This Row],[Percent Infected]]*Table1[[#This Row],[% Active]]</f>
        <v>2.4740672494925449E-5</v>
      </c>
      <c r="T182" s="8">
        <f>1/Table1[[#This Row],[Percent Actively Infected]]</f>
        <v>40419.2731707317</v>
      </c>
      <c r="AMC182"/>
    </row>
    <row r="183" spans="1:1017" s="1" customFormat="1" ht="16.5" thickBot="1" x14ac:dyDescent="0.3">
      <c r="A183" s="1">
        <v>184</v>
      </c>
      <c r="B183" s="52">
        <v>168</v>
      </c>
      <c r="C183" s="43" t="s">
        <v>192</v>
      </c>
      <c r="D183" s="49">
        <v>287</v>
      </c>
      <c r="E183" s="49"/>
      <c r="F183" s="49">
        <v>211</v>
      </c>
      <c r="G183" s="49">
        <v>76</v>
      </c>
      <c r="H183" s="49">
        <v>1</v>
      </c>
      <c r="I183" s="43">
        <v>3280457</v>
      </c>
      <c r="J183" s="8">
        <f>Table1[[#This Row],[Population]]/Table1[[#This Row],[Cases]]</f>
        <v>11430.163763066203</v>
      </c>
      <c r="K183" s="8" t="e">
        <f>Table1[[#This Row],[Population]]/Table1[[#This Row],[Deaths]]</f>
        <v>#DIV/0!</v>
      </c>
      <c r="L183" s="9">
        <f>Table1[[#This Row],[Deaths]]+Table1[[#This Row],[Active]]*Table1[[#This Row],[Death Rate]]</f>
        <v>0</v>
      </c>
      <c r="M183" s="10">
        <f>Table1[[#This Row],[Deaths]]/Table1[[#This Row],[Cases]]</f>
        <v>0</v>
      </c>
      <c r="N183" s="11" t="e">
        <f>Table1[[#This Row],[Cases]]/Table1[[#This Row],[Deaths]]</f>
        <v>#DIV/0!</v>
      </c>
      <c r="O183" s="12">
        <f>Table1[[#This Row],[Cases]]/Table1[[#This Row],[Population]]</f>
        <v>8.7487810387394191E-5</v>
      </c>
      <c r="P183" s="12">
        <f>Table1[[#This Row],[Deaths]]/Table1[[#This Row],[Population]]</f>
        <v>0</v>
      </c>
      <c r="Q183" s="13" t="e">
        <f>1-Table1[[#This Row],[Deaths]]/Table1[[#This Row],[Ex(Deaths)]]</f>
        <v>#DIV/0!</v>
      </c>
      <c r="R183" s="14">
        <f>G183/D183</f>
        <v>0.26480836236933797</v>
      </c>
      <c r="S183" s="12">
        <f>Table1[[#This Row],[Percent Infected]]*Table1[[#This Row],[% Active]]</f>
        <v>2.3167503795965012E-5</v>
      </c>
      <c r="T183" s="8">
        <f>1/Table1[[#This Row],[Percent Actively Infected]]</f>
        <v>43163.907894736847</v>
      </c>
      <c r="AMC183"/>
    </row>
    <row r="184" spans="1:1017" s="1" customFormat="1" ht="16.5" thickBot="1" x14ac:dyDescent="0.3">
      <c r="A184" s="1">
        <v>185</v>
      </c>
      <c r="B184" s="52">
        <v>200</v>
      </c>
      <c r="C184" s="43" t="s">
        <v>181</v>
      </c>
      <c r="D184" s="49">
        <v>22</v>
      </c>
      <c r="E184" s="49"/>
      <c r="F184" s="49">
        <v>21</v>
      </c>
      <c r="G184" s="49">
        <v>1</v>
      </c>
      <c r="H184" s="49"/>
      <c r="I184" s="43">
        <v>285620</v>
      </c>
      <c r="J184" s="8">
        <f>Table1[[#This Row],[Population]]/Table1[[#This Row],[Cases]]</f>
        <v>12982.727272727272</v>
      </c>
      <c r="K184" s="8" t="e">
        <f>Table1[[#This Row],[Population]]/Table1[[#This Row],[Deaths]]</f>
        <v>#DIV/0!</v>
      </c>
      <c r="L184" s="9">
        <f>Table1[[#This Row],[Deaths]]+Table1[[#This Row],[Active]]*Table1[[#This Row],[Death Rate]]</f>
        <v>0</v>
      </c>
      <c r="M184" s="10">
        <f>Table1[[#This Row],[Deaths]]/Table1[[#This Row],[Cases]]</f>
        <v>0</v>
      </c>
      <c r="N184" s="11" t="e">
        <f>Table1[[#This Row],[Cases]]/Table1[[#This Row],[Deaths]]</f>
        <v>#DIV/0!</v>
      </c>
      <c r="O184" s="12">
        <f>Table1[[#This Row],[Cases]]/Table1[[#This Row],[Population]]</f>
        <v>7.7025418388068062E-5</v>
      </c>
      <c r="P184" s="12">
        <f>Table1[[#This Row],[Deaths]]/Table1[[#This Row],[Population]]</f>
        <v>0</v>
      </c>
      <c r="Q184" s="13" t="e">
        <f>1-Table1[[#This Row],[Deaths]]/Table1[[#This Row],[Ex(Deaths)]]</f>
        <v>#DIV/0!</v>
      </c>
      <c r="R184" s="14">
        <f>G184/D184</f>
        <v>4.5454545454545456E-2</v>
      </c>
      <c r="S184" s="12">
        <f>Table1[[#This Row],[Percent Infected]]*Table1[[#This Row],[% Active]]</f>
        <v>3.5011553812758213E-6</v>
      </c>
      <c r="T184" s="8">
        <f>1/Table1[[#This Row],[Percent Actively Infected]]</f>
        <v>285620</v>
      </c>
      <c r="AMC184"/>
    </row>
    <row r="185" spans="1:1017" s="1" customFormat="1" ht="16.5" thickBot="1" x14ac:dyDescent="0.3">
      <c r="A185" s="1">
        <v>186</v>
      </c>
      <c r="B185" s="52">
        <v>77</v>
      </c>
      <c r="C185" s="43" t="s">
        <v>221</v>
      </c>
      <c r="D185" s="48">
        <v>8803</v>
      </c>
      <c r="E185" s="49">
        <v>150</v>
      </c>
      <c r="F185" s="48">
        <v>2430</v>
      </c>
      <c r="G185" s="48">
        <v>6223</v>
      </c>
      <c r="H185" s="49">
        <v>35</v>
      </c>
      <c r="I185" s="43">
        <v>115067656</v>
      </c>
      <c r="J185" s="8">
        <f>Table1[[#This Row],[Population]]/Table1[[#This Row],[Cases]]</f>
        <v>13071.413836192207</v>
      </c>
      <c r="K185" s="8">
        <f>Table1[[#This Row],[Population]]/Table1[[#This Row],[Deaths]]</f>
        <v>767117.70666666667</v>
      </c>
      <c r="L185" s="9">
        <f>Table1[[#This Row],[Deaths]]+Table1[[#This Row],[Active]]*Table1[[#This Row],[Death Rate]]</f>
        <v>256.03771441554017</v>
      </c>
      <c r="M185" s="10">
        <f>Table1[[#This Row],[Deaths]]/Table1[[#This Row],[Cases]]</f>
        <v>1.7039645575372034E-2</v>
      </c>
      <c r="N185" s="11">
        <f>Table1[[#This Row],[Cases]]/Table1[[#This Row],[Deaths]]</f>
        <v>58.686666666666667</v>
      </c>
      <c r="O185" s="12">
        <f>Table1[[#This Row],[Cases]]/Table1[[#This Row],[Population]]</f>
        <v>7.6502818480981308E-5</v>
      </c>
      <c r="P185" s="12">
        <f>Table1[[#This Row],[Deaths]]/Table1[[#This Row],[Population]]</f>
        <v>1.303580912432943E-6</v>
      </c>
      <c r="Q185" s="13">
        <f>1-Table1[[#This Row],[Deaths]]/Table1[[#This Row],[Ex(Deaths)]]</f>
        <v>0.41414880873153204</v>
      </c>
      <c r="R185" s="14">
        <f>G185/D185</f>
        <v>0.70691809610360101</v>
      </c>
      <c r="S185" s="12">
        <f>Table1[[#This Row],[Percent Infected]]*Table1[[#This Row],[% Active]]</f>
        <v>5.4081226787134685E-5</v>
      </c>
      <c r="T185" s="8">
        <f>1/Table1[[#This Row],[Percent Actively Infected]]</f>
        <v>18490.704804756551</v>
      </c>
      <c r="AMC185"/>
    </row>
    <row r="186" spans="1:1017" s="1" customFormat="1" ht="16.5" thickBot="1" x14ac:dyDescent="0.3">
      <c r="A186" s="1">
        <v>187</v>
      </c>
      <c r="B186" s="54">
        <v>192</v>
      </c>
      <c r="C186" s="43" t="s">
        <v>180</v>
      </c>
      <c r="D186" s="51">
        <v>46</v>
      </c>
      <c r="E186" s="51"/>
      <c r="F186" s="51">
        <v>46</v>
      </c>
      <c r="G186" s="51">
        <v>0</v>
      </c>
      <c r="H186" s="51"/>
      <c r="I186" s="43">
        <v>649709</v>
      </c>
      <c r="J186" s="8">
        <f>Table1[[#This Row],[Population]]/Table1[[#This Row],[Cases]]</f>
        <v>14124.108695652174</v>
      </c>
      <c r="K186" s="8" t="e">
        <f>Table1[[#This Row],[Population]]/Table1[[#This Row],[Deaths]]</f>
        <v>#DIV/0!</v>
      </c>
      <c r="L186" s="9">
        <f>Table1[[#This Row],[Deaths]]+Table1[[#This Row],[Active]]*Table1[[#This Row],[Death Rate]]</f>
        <v>0</v>
      </c>
      <c r="M186" s="10">
        <f>Table1[[#This Row],[Deaths]]/Table1[[#This Row],[Cases]]</f>
        <v>0</v>
      </c>
      <c r="N186" s="11" t="e">
        <f>Table1[[#This Row],[Cases]]/Table1[[#This Row],[Deaths]]</f>
        <v>#DIV/0!</v>
      </c>
      <c r="O186" s="12">
        <f>Table1[[#This Row],[Cases]]/Table1[[#This Row],[Population]]</f>
        <v>7.0800927799984301E-5</v>
      </c>
      <c r="P186" s="12">
        <f>Table1[[#This Row],[Deaths]]/Table1[[#This Row],[Population]]</f>
        <v>0</v>
      </c>
      <c r="Q186" s="13" t="e">
        <f>1-Table1[[#This Row],[Deaths]]/Table1[[#This Row],[Ex(Deaths)]]</f>
        <v>#DIV/0!</v>
      </c>
      <c r="R186" s="14">
        <f>G186/D186</f>
        <v>0</v>
      </c>
      <c r="S186" s="12">
        <f>Table1[[#This Row],[Percent Infected]]*Table1[[#This Row],[% Active]]</f>
        <v>0</v>
      </c>
      <c r="T186" s="8" t="e">
        <f>1/Table1[[#This Row],[Percent Actively Infected]]</f>
        <v>#DIV/0!</v>
      </c>
      <c r="AMC186"/>
    </row>
    <row r="187" spans="1:1017" s="1" customFormat="1" ht="16.5" thickBot="1" x14ac:dyDescent="0.3">
      <c r="A187" s="1">
        <v>188</v>
      </c>
      <c r="B187" s="52">
        <v>170</v>
      </c>
      <c r="C187" s="43" t="s">
        <v>212</v>
      </c>
      <c r="D187" s="49">
        <v>251</v>
      </c>
      <c r="E187" s="49"/>
      <c r="F187" s="49">
        <v>155</v>
      </c>
      <c r="G187" s="49">
        <v>96</v>
      </c>
      <c r="H187" s="49"/>
      <c r="I187" s="43">
        <v>3548492</v>
      </c>
      <c r="J187" s="8">
        <f>Table1[[#This Row],[Population]]/Table1[[#This Row],[Cases]]</f>
        <v>14137.418326693227</v>
      </c>
      <c r="K187" s="8" t="e">
        <f>Table1[[#This Row],[Population]]/Table1[[#This Row],[Deaths]]</f>
        <v>#DIV/0!</v>
      </c>
      <c r="L187" s="9">
        <f>Table1[[#This Row],[Deaths]]+Table1[[#This Row],[Active]]*Table1[[#This Row],[Death Rate]]</f>
        <v>0</v>
      </c>
      <c r="M187" s="10">
        <f>Table1[[#This Row],[Deaths]]/Table1[[#This Row],[Cases]]</f>
        <v>0</v>
      </c>
      <c r="N187" s="11" t="e">
        <f>Table1[[#This Row],[Cases]]/Table1[[#This Row],[Deaths]]</f>
        <v>#DIV/0!</v>
      </c>
      <c r="O187" s="12">
        <f>Table1[[#This Row],[Cases]]/Table1[[#This Row],[Population]]</f>
        <v>7.0734272474053768E-5</v>
      </c>
      <c r="P187" s="12">
        <f>Table1[[#This Row],[Deaths]]/Table1[[#This Row],[Population]]</f>
        <v>0</v>
      </c>
      <c r="Q187" s="13" t="e">
        <f>1-Table1[[#This Row],[Deaths]]/Table1[[#This Row],[Ex(Deaths)]]</f>
        <v>#DIV/0!</v>
      </c>
      <c r="R187" s="14">
        <f>G187/D187</f>
        <v>0.38247011952191234</v>
      </c>
      <c r="S187" s="12">
        <f>Table1[[#This Row],[Percent Infected]]*Table1[[#This Row],[% Active]]</f>
        <v>2.705374564744686E-5</v>
      </c>
      <c r="T187" s="8">
        <f>1/Table1[[#This Row],[Percent Actively Infected]]</f>
        <v>36963.458333333336</v>
      </c>
      <c r="AMC187"/>
    </row>
    <row r="188" spans="1:1017" ht="16.5" thickBot="1" x14ac:dyDescent="0.3">
      <c r="A188" s="1">
        <v>189</v>
      </c>
      <c r="B188" s="52">
        <v>26</v>
      </c>
      <c r="C188" s="43" t="s">
        <v>183</v>
      </c>
      <c r="D188" s="48">
        <v>83644</v>
      </c>
      <c r="E188" s="48">
        <v>4634</v>
      </c>
      <c r="F188" s="48">
        <v>78758</v>
      </c>
      <c r="G188" s="49">
        <v>252</v>
      </c>
      <c r="H188" s="49">
        <v>3</v>
      </c>
      <c r="I188" s="43">
        <v>1439323776</v>
      </c>
      <c r="J188" s="8">
        <f>Table1[[#This Row],[Population]]/Table1[[#This Row],[Cases]]</f>
        <v>17207.734876380851</v>
      </c>
      <c r="K188" s="8">
        <f>Table1[[#This Row],[Population]]/Table1[[#This Row],[Deaths]]</f>
        <v>310600.72852826933</v>
      </c>
      <c r="L188" s="9">
        <f>Table1[[#This Row],[Deaths]]+Table1[[#This Row],[Active]]*Table1[[#This Row],[Death Rate]]</f>
        <v>4647.9611687628521</v>
      </c>
      <c r="M188" s="10">
        <f>Table1[[#This Row],[Deaths]]/Table1[[#This Row],[Cases]]</f>
        <v>5.5401463344651139E-2</v>
      </c>
      <c r="N188" s="11">
        <f>Table1[[#This Row],[Cases]]/Table1[[#This Row],[Deaths]]</f>
        <v>18.050064738886491</v>
      </c>
      <c r="O188" s="12">
        <f>Table1[[#This Row],[Cases]]/Table1[[#This Row],[Population]]</f>
        <v>5.8113401164297864E-5</v>
      </c>
      <c r="P188" s="12">
        <f>Table1[[#This Row],[Deaths]]/Table1[[#This Row],[Population]]</f>
        <v>3.2195674644368549E-6</v>
      </c>
      <c r="Q188" s="13">
        <f>1-Table1[[#This Row],[Deaths]]/Table1[[#This Row],[Ex(Deaths)]]</f>
        <v>3.0037188900543521E-3</v>
      </c>
      <c r="R188" s="14">
        <f>G188/D188</f>
        <v>3.0127683994070108E-3</v>
      </c>
      <c r="S188" s="12">
        <f>Table1[[#This Row],[Percent Infected]]*Table1[[#This Row],[% Active]]</f>
        <v>1.750822186098592E-7</v>
      </c>
      <c r="T188" s="8">
        <f>1/Table1[[#This Row],[Percent Actively Infected]]</f>
        <v>5711602.2857142854</v>
      </c>
    </row>
    <row r="189" spans="1:1017" ht="16.5" thickBot="1" x14ac:dyDescent="0.3">
      <c r="A189" s="1">
        <v>190</v>
      </c>
      <c r="B189" s="52">
        <v>145</v>
      </c>
      <c r="C189" s="43" t="s">
        <v>194</v>
      </c>
      <c r="D189" s="49">
        <v>887</v>
      </c>
      <c r="E189" s="49">
        <v>75</v>
      </c>
      <c r="F189" s="49">
        <v>800</v>
      </c>
      <c r="G189" s="49">
        <v>12</v>
      </c>
      <c r="H189" s="49"/>
      <c r="I189" s="43">
        <v>16442105</v>
      </c>
      <c r="J189" s="8">
        <f>Table1[[#This Row],[Population]]/Table1[[#This Row],[Cases]]</f>
        <v>18536.758737316799</v>
      </c>
      <c r="K189" s="8">
        <f>Table1[[#This Row],[Population]]/Table1[[#This Row],[Deaths]]</f>
        <v>219228.06666666668</v>
      </c>
      <c r="L189" s="9">
        <f>Table1[[#This Row],[Deaths]]+Table1[[#This Row],[Active]]*Table1[[#This Row],[Death Rate]]</f>
        <v>76.014656144306656</v>
      </c>
      <c r="M189" s="10">
        <f>Table1[[#This Row],[Deaths]]/Table1[[#This Row],[Cases]]</f>
        <v>8.4554678692220969E-2</v>
      </c>
      <c r="N189" s="15">
        <f>Table1[[#This Row],[Cases]]/Table1[[#This Row],[Deaths]]</f>
        <v>11.826666666666666</v>
      </c>
      <c r="O189" s="12">
        <f>Table1[[#This Row],[Cases]]/Table1[[#This Row],[Population]]</f>
        <v>5.3946863859584887E-5</v>
      </c>
      <c r="P189" s="12">
        <f>Table1[[#This Row],[Deaths]]/Table1[[#This Row],[Population]]</f>
        <v>4.5614597401001883E-6</v>
      </c>
      <c r="Q189" s="13">
        <f>1-Table1[[#This Row],[Deaths]]/Table1[[#This Row],[Ex(Deaths)]]</f>
        <v>1.3348164627363768E-2</v>
      </c>
      <c r="R189" s="16">
        <f>G189/D189</f>
        <v>1.3528748590755355E-2</v>
      </c>
      <c r="S189" s="12">
        <f>Table1[[#This Row],[Percent Infected]]*Table1[[#This Row],[% Active]]</f>
        <v>7.2983355841603003E-7</v>
      </c>
      <c r="T189" s="8">
        <f>1/Table1[[#This Row],[Percent Actively Infected]]</f>
        <v>1370175.4166666667</v>
      </c>
    </row>
    <row r="190" spans="1:1017" ht="16.5" thickBot="1" x14ac:dyDescent="0.3">
      <c r="A190" s="1">
        <v>191</v>
      </c>
      <c r="B190" s="52">
        <v>128</v>
      </c>
      <c r="C190" s="43" t="s">
        <v>217</v>
      </c>
      <c r="D190" s="48">
        <v>1576</v>
      </c>
      <c r="E190" s="49">
        <v>440</v>
      </c>
      <c r="F190" s="49">
        <v>695</v>
      </c>
      <c r="G190" s="49">
        <v>441</v>
      </c>
      <c r="H190" s="49"/>
      <c r="I190" s="43">
        <v>29850918</v>
      </c>
      <c r="J190" s="8">
        <f>Table1[[#This Row],[Population]]/Table1[[#This Row],[Cases]]</f>
        <v>18940.937817258884</v>
      </c>
      <c r="K190" s="8">
        <f>Table1[[#This Row],[Population]]/Table1[[#This Row],[Deaths]]</f>
        <v>67842.995454545453</v>
      </c>
      <c r="L190" s="9">
        <f>Table1[[#This Row],[Deaths]]+Table1[[#This Row],[Active]]*Table1[[#This Row],[Death Rate]]</f>
        <v>563.12182741116749</v>
      </c>
      <c r="M190" s="10">
        <f>Table1[[#This Row],[Deaths]]/Table1[[#This Row],[Cases]]</f>
        <v>0.27918781725888325</v>
      </c>
      <c r="N190" s="11">
        <f>Table1[[#This Row],[Cases]]/Table1[[#This Row],[Deaths]]</f>
        <v>3.581818181818182</v>
      </c>
      <c r="O190" s="12">
        <f>Table1[[#This Row],[Cases]]/Table1[[#This Row],[Population]]</f>
        <v>5.2795696266359379E-5</v>
      </c>
      <c r="P190" s="12">
        <f>Table1[[#This Row],[Deaths]]/Table1[[#This Row],[Population]]</f>
        <v>1.4739915201267848E-5</v>
      </c>
      <c r="Q190" s="13">
        <f>1-Table1[[#This Row],[Deaths]]/Table1[[#This Row],[Ex(Deaths)]]</f>
        <v>0.21864154685175996</v>
      </c>
      <c r="R190" s="14">
        <f>G190/D190</f>
        <v>0.27982233502538073</v>
      </c>
      <c r="S190" s="12">
        <f>Table1[[#This Row],[Percent Infected]]*Table1[[#This Row],[% Active]]</f>
        <v>1.4773415008543456E-5</v>
      </c>
      <c r="T190" s="8">
        <f>1/Table1[[#This Row],[Percent Actively Infected]]</f>
        <v>67689.15646258503</v>
      </c>
    </row>
    <row r="191" spans="1:1017" ht="16.5" thickBot="1" x14ac:dyDescent="0.3">
      <c r="A191" s="1">
        <v>192</v>
      </c>
      <c r="B191" s="52">
        <v>140</v>
      </c>
      <c r="C191" s="43" t="s">
        <v>197</v>
      </c>
      <c r="D191" s="48">
        <v>1047</v>
      </c>
      <c r="E191" s="49">
        <v>53</v>
      </c>
      <c r="F191" s="49">
        <v>887</v>
      </c>
      <c r="G191" s="49">
        <v>107</v>
      </c>
      <c r="H191" s="49"/>
      <c r="I191" s="43">
        <v>20923414</v>
      </c>
      <c r="J191" s="8">
        <f>Table1[[#This Row],[Population]]/Table1[[#This Row],[Cases]]</f>
        <v>19984.158548233048</v>
      </c>
      <c r="K191" s="8">
        <f>Table1[[#This Row],[Population]]/Table1[[#This Row],[Deaths]]</f>
        <v>394781.39622641512</v>
      </c>
      <c r="L191" s="9">
        <f>Table1[[#This Row],[Deaths]]+Table1[[#This Row],[Active]]*Table1[[#This Row],[Death Rate]]</f>
        <v>58.416427889207256</v>
      </c>
      <c r="M191" s="10">
        <f>Table1[[#This Row],[Deaths]]/Table1[[#This Row],[Cases]]</f>
        <v>5.0620821394460364E-2</v>
      </c>
      <c r="N191" s="11">
        <f>Table1[[#This Row],[Cases]]/Table1[[#This Row],[Deaths]]</f>
        <v>19.754716981132077</v>
      </c>
      <c r="O191" s="12">
        <f>Table1[[#This Row],[Cases]]/Table1[[#This Row],[Population]]</f>
        <v>5.0039635023232823E-5</v>
      </c>
      <c r="P191" s="12">
        <f>Table1[[#This Row],[Deaths]]/Table1[[#This Row],[Population]]</f>
        <v>2.5330474271550523E-6</v>
      </c>
      <c r="Q191" s="13">
        <f>1-Table1[[#This Row],[Deaths]]/Table1[[#This Row],[Ex(Deaths)]]</f>
        <v>9.2720970537261693E-2</v>
      </c>
      <c r="R191" s="14">
        <f>G191/D191</f>
        <v>0.10219675262655205</v>
      </c>
      <c r="S191" s="12">
        <f>Table1[[#This Row],[Percent Infected]]*Table1[[#This Row],[% Active]]</f>
        <v>5.1138882019922747E-6</v>
      </c>
      <c r="T191" s="8">
        <f>1/Table1[[#This Row],[Percent Actively Infected]]</f>
        <v>195545.92523364487</v>
      </c>
    </row>
    <row r="192" spans="1:1017" ht="16.5" thickBot="1" x14ac:dyDescent="0.3">
      <c r="A192" s="1">
        <v>193</v>
      </c>
      <c r="B192" s="52">
        <v>101</v>
      </c>
      <c r="C192" s="43" t="s">
        <v>191</v>
      </c>
      <c r="D192" s="48">
        <v>3246</v>
      </c>
      <c r="E192" s="49">
        <v>58</v>
      </c>
      <c r="F192" s="48">
        <v>3096</v>
      </c>
      <c r="G192" s="49">
        <v>92</v>
      </c>
      <c r="H192" s="49">
        <v>1</v>
      </c>
      <c r="I192" s="43">
        <v>69808350</v>
      </c>
      <c r="J192" s="15">
        <f>Table1[[#This Row],[Population]]/Table1[[#This Row],[Cases]]</f>
        <v>21505.961182994455</v>
      </c>
      <c r="K192" s="8">
        <f>Table1[[#This Row],[Population]]/Table1[[#This Row],[Deaths]]</f>
        <v>1203592.2413793104</v>
      </c>
      <c r="L192" s="9">
        <f>Table1[[#This Row],[Deaths]]+Table1[[#This Row],[Active]]*Table1[[#This Row],[Death Rate]]</f>
        <v>59.643869377695623</v>
      </c>
      <c r="M192" s="10">
        <f>Table1[[#This Row],[Deaths]]/Table1[[#This Row],[Cases]]</f>
        <v>1.7868145409735057E-2</v>
      </c>
      <c r="N192" s="15">
        <f>Table1[[#This Row],[Cases]]/Table1[[#This Row],[Deaths]]</f>
        <v>55.96551724137931</v>
      </c>
      <c r="O192" s="12">
        <f>Table1[[#This Row],[Cases]]/Table1[[#This Row],[Population]]</f>
        <v>4.649873546645924E-5</v>
      </c>
      <c r="P192" s="12">
        <f>Table1[[#This Row],[Deaths]]/Table1[[#This Row],[Population]]</f>
        <v>8.3084616668349843E-7</v>
      </c>
      <c r="Q192" s="13">
        <f>1-Table1[[#This Row],[Deaths]]/Table1[[#This Row],[Ex(Deaths)]]</f>
        <v>2.7561414020371489E-2</v>
      </c>
      <c r="R192" s="16">
        <f>G192/D192</f>
        <v>2.8342575477510783E-2</v>
      </c>
      <c r="S192" s="12">
        <f>Table1[[#This Row],[Percent Infected]]*Table1[[#This Row],[% Active]]</f>
        <v>1.3178939195669287E-6</v>
      </c>
      <c r="T192" s="8">
        <f>1/Table1[[#This Row],[Percent Actively Infected]]</f>
        <v>758786.41304347827</v>
      </c>
    </row>
    <row r="193" spans="1:20" ht="16.5" thickBot="1" x14ac:dyDescent="0.3">
      <c r="A193" s="1">
        <v>194</v>
      </c>
      <c r="B193" s="52">
        <v>131</v>
      </c>
      <c r="C193" s="43" t="s">
        <v>219</v>
      </c>
      <c r="D193" s="48">
        <v>1435</v>
      </c>
      <c r="E193" s="49">
        <v>10</v>
      </c>
      <c r="F193" s="49">
        <v>408</v>
      </c>
      <c r="G193" s="48">
        <v>1017</v>
      </c>
      <c r="H193" s="49"/>
      <c r="I193" s="43">
        <v>31285926</v>
      </c>
      <c r="J193" s="15">
        <f>Table1[[#This Row],[Population]]/Table1[[#This Row],[Cases]]</f>
        <v>21802.039024390244</v>
      </c>
      <c r="K193" s="8">
        <f>Table1[[#This Row],[Population]]/Table1[[#This Row],[Deaths]]</f>
        <v>3128592.6</v>
      </c>
      <c r="L193" s="9">
        <f>Table1[[#This Row],[Deaths]]+Table1[[#This Row],[Active]]*Table1[[#This Row],[Death Rate]]</f>
        <v>17.087108013937282</v>
      </c>
      <c r="M193" s="10">
        <f>Table1[[#This Row],[Deaths]]/Table1[[#This Row],[Cases]]</f>
        <v>6.9686411149825784E-3</v>
      </c>
      <c r="N193" s="15">
        <f>Table1[[#This Row],[Cases]]/Table1[[#This Row],[Deaths]]</f>
        <v>143.5</v>
      </c>
      <c r="O193" s="12">
        <f>Table1[[#This Row],[Cases]]/Table1[[#This Row],[Population]]</f>
        <v>4.5867269519208092E-5</v>
      </c>
      <c r="P193" s="12">
        <f>Table1[[#This Row],[Deaths]]/Table1[[#This Row],[Population]]</f>
        <v>3.1963254020354071E-7</v>
      </c>
      <c r="Q193" s="13">
        <f>1-Table1[[#This Row],[Deaths]]/Table1[[#This Row],[Ex(Deaths)]]</f>
        <v>0.41476345840130502</v>
      </c>
      <c r="R193" s="16">
        <f>G193/D193</f>
        <v>0.70871080139372822</v>
      </c>
      <c r="S193" s="12">
        <f>Table1[[#This Row],[Percent Infected]]*Table1[[#This Row],[% Active]]</f>
        <v>3.2506629338700087E-5</v>
      </c>
      <c r="T193" s="8">
        <f>1/Table1[[#This Row],[Percent Actively Infected]]</f>
        <v>30762.955752212394</v>
      </c>
    </row>
    <row r="194" spans="1:20" ht="16.5" thickBot="1" x14ac:dyDescent="0.3">
      <c r="A194" s="1">
        <v>195</v>
      </c>
      <c r="B194" s="52">
        <v>137</v>
      </c>
      <c r="C194" s="43" t="s">
        <v>196</v>
      </c>
      <c r="D194" s="48">
        <v>1102</v>
      </c>
      <c r="E194" s="49">
        <v>69</v>
      </c>
      <c r="F194" s="48">
        <v>1013</v>
      </c>
      <c r="G194" s="49">
        <v>20</v>
      </c>
      <c r="H194" s="49"/>
      <c r="I194" s="43">
        <v>24233258</v>
      </c>
      <c r="J194" s="15">
        <f>Table1[[#This Row],[Population]]/Table1[[#This Row],[Cases]]</f>
        <v>21990.25226860254</v>
      </c>
      <c r="K194" s="8">
        <f>Table1[[#This Row],[Population]]/Table1[[#This Row],[Deaths]]</f>
        <v>351206.63768115942</v>
      </c>
      <c r="L194" s="9">
        <f>Table1[[#This Row],[Deaths]]+Table1[[#This Row],[Active]]*Table1[[#This Row],[Death Rate]]</f>
        <v>70.252268602540838</v>
      </c>
      <c r="M194" s="10">
        <f>Table1[[#This Row],[Deaths]]/Table1[[#This Row],[Cases]]</f>
        <v>6.2613430127041736E-2</v>
      </c>
      <c r="N194" s="15">
        <f>Table1[[#This Row],[Cases]]/Table1[[#This Row],[Deaths]]</f>
        <v>15.971014492753623</v>
      </c>
      <c r="O194" s="12">
        <f>Table1[[#This Row],[Cases]]/Table1[[#This Row],[Population]]</f>
        <v>4.5474694322983729E-5</v>
      </c>
      <c r="P194" s="12">
        <f>Table1[[#This Row],[Deaths]]/Table1[[#This Row],[Population]]</f>
        <v>2.8473265955407232E-6</v>
      </c>
      <c r="Q194" s="13">
        <f>1-Table1[[#This Row],[Deaths]]/Table1[[#This Row],[Ex(Deaths)]]</f>
        <v>1.7825311942958999E-2</v>
      </c>
      <c r="R194" s="16">
        <f>G194/D194</f>
        <v>1.8148820326678767E-2</v>
      </c>
      <c r="S194" s="12">
        <f>Table1[[#This Row],[Percent Infected]]*Table1[[#This Row],[% Active]]</f>
        <v>8.253120566784706E-7</v>
      </c>
      <c r="T194" s="8">
        <f>1/Table1[[#This Row],[Percent Actively Infected]]</f>
        <v>1211662.8999999999</v>
      </c>
    </row>
    <row r="195" spans="1:20" ht="16.5" thickBot="1" x14ac:dyDescent="0.3">
      <c r="A195" s="1">
        <v>196</v>
      </c>
      <c r="B195" s="52">
        <v>184</v>
      </c>
      <c r="C195" s="43" t="s">
        <v>214</v>
      </c>
      <c r="D195" s="49">
        <v>93</v>
      </c>
      <c r="E195" s="49">
        <v>4</v>
      </c>
      <c r="F195" s="49">
        <v>49</v>
      </c>
      <c r="G195" s="49">
        <v>40</v>
      </c>
      <c r="H195" s="49"/>
      <c r="I195" s="43">
        <v>2419029</v>
      </c>
      <c r="J195" s="15">
        <f>Table1[[#This Row],[Population]]/Table1[[#This Row],[Cases]]</f>
        <v>26011.064516129034</v>
      </c>
      <c r="K195" s="8">
        <f>Table1[[#This Row],[Population]]/Table1[[#This Row],[Deaths]]</f>
        <v>604757.25</v>
      </c>
      <c r="L195" s="9">
        <f>Table1[[#This Row],[Deaths]]+Table1[[#This Row],[Active]]*Table1[[#This Row],[Death Rate]]</f>
        <v>5.720430107526882</v>
      </c>
      <c r="M195" s="10">
        <f>Table1[[#This Row],[Deaths]]/Table1[[#This Row],[Cases]]</f>
        <v>4.3010752688172046E-2</v>
      </c>
      <c r="N195" s="15">
        <f>Table1[[#This Row],[Cases]]/Table1[[#This Row],[Deaths]]</f>
        <v>23.25</v>
      </c>
      <c r="O195" s="12">
        <f>Table1[[#This Row],[Cases]]/Table1[[#This Row],[Population]]</f>
        <v>3.8445177796545636E-5</v>
      </c>
      <c r="P195" s="12">
        <f>Table1[[#This Row],[Deaths]]/Table1[[#This Row],[Population]]</f>
        <v>1.6535560342600276E-6</v>
      </c>
      <c r="Q195" s="13">
        <f>1-Table1[[#This Row],[Deaths]]/Table1[[#This Row],[Ex(Deaths)]]</f>
        <v>0.3007518796992481</v>
      </c>
      <c r="R195" s="16">
        <f>G195/D195</f>
        <v>0.43010752688172044</v>
      </c>
      <c r="S195" s="12">
        <f>Table1[[#This Row],[Percent Infected]]*Table1[[#This Row],[% Active]]</f>
        <v>1.6535560342600275E-5</v>
      </c>
      <c r="T195" s="8">
        <f>1/Table1[[#This Row],[Percent Actively Infected]]</f>
        <v>60475.724999999999</v>
      </c>
    </row>
    <row r="196" spans="1:20" ht="16.5" thickBot="1" x14ac:dyDescent="0.3">
      <c r="A196" s="1">
        <v>197</v>
      </c>
      <c r="B196" s="52">
        <v>196</v>
      </c>
      <c r="C196" s="43" t="s">
        <v>204</v>
      </c>
      <c r="D196" s="49">
        <v>26</v>
      </c>
      <c r="E196" s="49"/>
      <c r="F196" s="49">
        <v>18</v>
      </c>
      <c r="G196" s="49">
        <v>8</v>
      </c>
      <c r="H196" s="49"/>
      <c r="I196" s="43">
        <v>896740</v>
      </c>
      <c r="J196" s="15">
        <f>Table1[[#This Row],[Population]]/Table1[[#This Row],[Cases]]</f>
        <v>34490</v>
      </c>
      <c r="K196" s="8" t="e">
        <f>Table1[[#This Row],[Population]]/Table1[[#This Row],[Deaths]]</f>
        <v>#DIV/0!</v>
      </c>
      <c r="L196" s="9">
        <f>Table1[[#This Row],[Deaths]]+Table1[[#This Row],[Active]]*Table1[[#This Row],[Death Rate]]</f>
        <v>0</v>
      </c>
      <c r="M196" s="10">
        <f>Table1[[#This Row],[Deaths]]/Table1[[#This Row],[Cases]]</f>
        <v>0</v>
      </c>
      <c r="N196" s="15" t="e">
        <f>Table1[[#This Row],[Cases]]/Table1[[#This Row],[Deaths]]</f>
        <v>#DIV/0!</v>
      </c>
      <c r="O196" s="12">
        <f>Table1[[#This Row],[Cases]]/Table1[[#This Row],[Population]]</f>
        <v>2.8993911278631488E-5</v>
      </c>
      <c r="P196" s="12">
        <f>Table1[[#This Row],[Deaths]]/Table1[[#This Row],[Population]]</f>
        <v>0</v>
      </c>
      <c r="Q196" s="13" t="e">
        <f>1-Table1[[#This Row],[Deaths]]/Table1[[#This Row],[Ex(Deaths)]]</f>
        <v>#DIV/0!</v>
      </c>
      <c r="R196" s="16">
        <f>G196/D196</f>
        <v>0.30769230769230771</v>
      </c>
      <c r="S196" s="12">
        <f>Table1[[#This Row],[Percent Infected]]*Table1[[#This Row],[% Active]]</f>
        <v>8.9212034703481512E-6</v>
      </c>
      <c r="T196" s="8">
        <f>1/Table1[[#This Row],[Percent Actively Infected]]</f>
        <v>112092.49999999999</v>
      </c>
    </row>
    <row r="197" spans="1:20" ht="16.5" thickBot="1" x14ac:dyDescent="0.3">
      <c r="A197" s="1">
        <v>198</v>
      </c>
      <c r="B197" s="52">
        <v>158</v>
      </c>
      <c r="C197" s="43" t="s">
        <v>220</v>
      </c>
      <c r="D197" s="49">
        <v>496</v>
      </c>
      <c r="E197" s="49">
        <v>25</v>
      </c>
      <c r="F197" s="49">
        <v>144</v>
      </c>
      <c r="G197" s="49">
        <v>327</v>
      </c>
      <c r="H197" s="49"/>
      <c r="I197" s="43">
        <v>17516302</v>
      </c>
      <c r="J197" s="15">
        <f>Table1[[#This Row],[Population]]/Table1[[#This Row],[Cases]]</f>
        <v>35315.125</v>
      </c>
      <c r="K197" s="8">
        <f>Table1[[#This Row],[Population]]/Table1[[#This Row],[Deaths]]</f>
        <v>700652.08</v>
      </c>
      <c r="L197" s="9">
        <f>Table1[[#This Row],[Deaths]]+Table1[[#This Row],[Active]]*Table1[[#This Row],[Death Rate]]</f>
        <v>41.48185483870968</v>
      </c>
      <c r="M197" s="10">
        <f>Table1[[#This Row],[Deaths]]/Table1[[#This Row],[Cases]]</f>
        <v>5.040322580645161E-2</v>
      </c>
      <c r="N197" s="15">
        <f>Table1[[#This Row],[Cases]]/Table1[[#This Row],[Deaths]]</f>
        <v>19.84</v>
      </c>
      <c r="O197" s="12">
        <f>Table1[[#This Row],[Cases]]/Table1[[#This Row],[Population]]</f>
        <v>2.8316479128985101E-5</v>
      </c>
      <c r="P197" s="12">
        <f>Table1[[#This Row],[Deaths]]/Table1[[#This Row],[Population]]</f>
        <v>1.4272418915819105E-6</v>
      </c>
      <c r="Q197" s="13">
        <f>1-Table1[[#This Row],[Deaths]]/Table1[[#This Row],[Ex(Deaths)]]</f>
        <v>0.39732685297691372</v>
      </c>
      <c r="R197" s="16">
        <f>G197/D197</f>
        <v>0.65927419354838712</v>
      </c>
      <c r="S197" s="12">
        <f>Table1[[#This Row],[Percent Infected]]*Table1[[#This Row],[% Active]]</f>
        <v>1.8668323941891389E-5</v>
      </c>
      <c r="T197" s="8">
        <f>1/Table1[[#This Row],[Percent Actively Infected]]</f>
        <v>53566.672782874615</v>
      </c>
    </row>
    <row r="198" spans="1:20" ht="16.5" thickBot="1" x14ac:dyDescent="0.3">
      <c r="A198" s="1">
        <v>199</v>
      </c>
      <c r="B198" s="52">
        <v>167</v>
      </c>
      <c r="C198" s="43" t="s">
        <v>226</v>
      </c>
      <c r="D198" s="49">
        <v>310</v>
      </c>
      <c r="E198" s="49">
        <v>1</v>
      </c>
      <c r="F198" s="49">
        <v>207</v>
      </c>
      <c r="G198" s="49">
        <v>102</v>
      </c>
      <c r="H198" s="49"/>
      <c r="I198" s="43">
        <v>11902780</v>
      </c>
      <c r="J198" s="15">
        <f>Table1[[#This Row],[Population]]/Table1[[#This Row],[Cases]]</f>
        <v>38396.06451612903</v>
      </c>
      <c r="K198" s="8">
        <f>Table1[[#This Row],[Population]]/Table1[[#This Row],[Deaths]]</f>
        <v>11902780</v>
      </c>
      <c r="L198" s="9">
        <f>Table1[[#This Row],[Deaths]]+Table1[[#This Row],[Active]]*Table1[[#This Row],[Death Rate]]</f>
        <v>1.3290322580645162</v>
      </c>
      <c r="M198" s="10">
        <f>Table1[[#This Row],[Deaths]]/Table1[[#This Row],[Cases]]</f>
        <v>3.2258064516129032E-3</v>
      </c>
      <c r="N198" s="15">
        <f>Table1[[#This Row],[Cases]]/Table1[[#This Row],[Deaths]]</f>
        <v>310</v>
      </c>
      <c r="O198" s="12">
        <f>Table1[[#This Row],[Cases]]/Table1[[#This Row],[Population]]</f>
        <v>2.6044335861034144E-5</v>
      </c>
      <c r="P198" s="12">
        <f>Table1[[#This Row],[Deaths]]/Table1[[#This Row],[Population]]</f>
        <v>8.4013986648497241E-8</v>
      </c>
      <c r="Q198" s="13">
        <f>1-Table1[[#This Row],[Deaths]]/Table1[[#This Row],[Ex(Deaths)]]</f>
        <v>0.24757281553398058</v>
      </c>
      <c r="R198" s="16">
        <f>G198/D198</f>
        <v>0.32903225806451614</v>
      </c>
      <c r="S198" s="12">
        <f>Table1[[#This Row],[Percent Infected]]*Table1[[#This Row],[% Active]]</f>
        <v>8.5694266381467187E-6</v>
      </c>
      <c r="T198" s="8">
        <f>1/Table1[[#This Row],[Percent Actively Infected]]</f>
        <v>116693.92156862745</v>
      </c>
    </row>
    <row r="199" spans="1:20" ht="16.5" thickBot="1" x14ac:dyDescent="0.3">
      <c r="A199" s="1">
        <v>200</v>
      </c>
      <c r="B199" s="52">
        <v>139</v>
      </c>
      <c r="C199" s="43" t="s">
        <v>222</v>
      </c>
      <c r="D199" s="48">
        <v>1062</v>
      </c>
      <c r="E199" s="49"/>
      <c r="F199" s="48">
        <v>1023</v>
      </c>
      <c r="G199" s="49">
        <v>39</v>
      </c>
      <c r="H199" s="49"/>
      <c r="I199" s="43">
        <v>45788534</v>
      </c>
      <c r="J199" s="15">
        <f>Table1[[#This Row],[Population]]/Table1[[#This Row],[Cases]]</f>
        <v>43115.380414312618</v>
      </c>
      <c r="K199" s="8" t="e">
        <f>Table1[[#This Row],[Population]]/Table1[[#This Row],[Deaths]]</f>
        <v>#DIV/0!</v>
      </c>
      <c r="L199" s="9">
        <f>Table1[[#This Row],[Deaths]]+Table1[[#This Row],[Active]]*Table1[[#This Row],[Death Rate]]</f>
        <v>0</v>
      </c>
      <c r="M199" s="10">
        <f>Table1[[#This Row],[Deaths]]/Table1[[#This Row],[Cases]]</f>
        <v>0</v>
      </c>
      <c r="N199" s="15" t="e">
        <f>Table1[[#This Row],[Cases]]/Table1[[#This Row],[Deaths]]</f>
        <v>#DIV/0!</v>
      </c>
      <c r="O199" s="12">
        <f>Table1[[#This Row],[Cases]]/Table1[[#This Row],[Population]]</f>
        <v>2.3193579423180483E-5</v>
      </c>
      <c r="P199" s="12">
        <f>Table1[[#This Row],[Deaths]]/Table1[[#This Row],[Population]]</f>
        <v>0</v>
      </c>
      <c r="Q199" s="13" t="e">
        <f>1-Table1[[#This Row],[Deaths]]/Table1[[#This Row],[Ex(Deaths)]]</f>
        <v>#DIV/0!</v>
      </c>
      <c r="R199" s="16">
        <f>G199/D199</f>
        <v>3.6723163841807911E-2</v>
      </c>
      <c r="S199" s="12">
        <f>Table1[[#This Row],[Percent Infected]]*Table1[[#This Row],[% Active]]</f>
        <v>8.5174161723544151E-7</v>
      </c>
      <c r="T199" s="8">
        <f>1/Table1[[#This Row],[Percent Actively Infected]]</f>
        <v>1174064.9743589745</v>
      </c>
    </row>
    <row r="200" spans="1:20" ht="16.5" thickBot="1" x14ac:dyDescent="0.3">
      <c r="A200" s="1">
        <v>201</v>
      </c>
      <c r="B200" s="52">
        <v>153</v>
      </c>
      <c r="C200" s="43" t="s">
        <v>229</v>
      </c>
      <c r="D200" s="49">
        <v>638</v>
      </c>
      <c r="E200" s="49">
        <v>29</v>
      </c>
      <c r="F200" s="49">
        <v>199</v>
      </c>
      <c r="G200" s="49">
        <v>410</v>
      </c>
      <c r="H200" s="49">
        <v>6</v>
      </c>
      <c r="I200" s="43">
        <v>32900171</v>
      </c>
      <c r="J200" s="15">
        <f>Table1[[#This Row],[Population]]/Table1[[#This Row],[Cases]]</f>
        <v>51567.66614420063</v>
      </c>
      <c r="K200" s="8">
        <f>Table1[[#This Row],[Population]]/Table1[[#This Row],[Deaths]]</f>
        <v>1134488.6551724137</v>
      </c>
      <c r="L200" s="9">
        <f>Table1[[#This Row],[Deaths]]+Table1[[#This Row],[Active]]*Table1[[#This Row],[Death Rate]]</f>
        <v>47.63636363636364</v>
      </c>
      <c r="M200" s="10">
        <f>Table1[[#This Row],[Deaths]]/Table1[[#This Row],[Cases]]</f>
        <v>4.5454545454545456E-2</v>
      </c>
      <c r="N200" s="15">
        <f>Table1[[#This Row],[Cases]]/Table1[[#This Row],[Deaths]]</f>
        <v>22</v>
      </c>
      <c r="O200" s="12">
        <f>Table1[[#This Row],[Cases]]/Table1[[#This Row],[Population]]</f>
        <v>1.9391996473209819E-5</v>
      </c>
      <c r="P200" s="12">
        <f>Table1[[#This Row],[Deaths]]/Table1[[#This Row],[Population]]</f>
        <v>8.8145438514590086E-7</v>
      </c>
      <c r="Q200" s="13">
        <f>1-Table1[[#This Row],[Deaths]]/Table1[[#This Row],[Ex(Deaths)]]</f>
        <v>0.3912213740458016</v>
      </c>
      <c r="R200" s="16">
        <f>G200/D200</f>
        <v>0.64263322884012541</v>
      </c>
      <c r="S200" s="12">
        <f>Table1[[#This Row],[Percent Infected]]*Table1[[#This Row],[% Active]]</f>
        <v>1.2461941307235151E-5</v>
      </c>
      <c r="T200" s="8">
        <f>1/Table1[[#This Row],[Percent Actively Infected]]</f>
        <v>80244.319512195128</v>
      </c>
    </row>
    <row r="201" spans="1:20" ht="16.5" thickBot="1" x14ac:dyDescent="0.3">
      <c r="A201" s="1">
        <v>202</v>
      </c>
      <c r="B201" s="52">
        <v>159</v>
      </c>
      <c r="C201" s="43" t="s">
        <v>207</v>
      </c>
      <c r="D201" s="49">
        <v>454</v>
      </c>
      <c r="E201" s="49">
        <v>7</v>
      </c>
      <c r="F201" s="49">
        <v>440</v>
      </c>
      <c r="G201" s="49">
        <v>7</v>
      </c>
      <c r="H201" s="49"/>
      <c r="I201" s="43">
        <v>23818850</v>
      </c>
      <c r="J201" s="15">
        <f>Table1[[#This Row],[Population]]/Table1[[#This Row],[Cases]]</f>
        <v>52464.427312775333</v>
      </c>
      <c r="K201" s="8">
        <f>Table1[[#This Row],[Population]]/Table1[[#This Row],[Deaths]]</f>
        <v>3402692.8571428573</v>
      </c>
      <c r="L201" s="9">
        <f>Table1[[#This Row],[Deaths]]+Table1[[#This Row],[Active]]*Table1[[#This Row],[Death Rate]]</f>
        <v>7.107929515418502</v>
      </c>
      <c r="M201" s="10">
        <f>Table1[[#This Row],[Deaths]]/Table1[[#This Row],[Cases]]</f>
        <v>1.5418502202643172E-2</v>
      </c>
      <c r="N201" s="15">
        <f>Table1[[#This Row],[Cases]]/Table1[[#This Row],[Deaths]]</f>
        <v>64.857142857142861</v>
      </c>
      <c r="O201" s="12">
        <f>Table1[[#This Row],[Cases]]/Table1[[#This Row],[Population]]</f>
        <v>1.9060533988836571E-5</v>
      </c>
      <c r="P201" s="12">
        <f>Table1[[#This Row],[Deaths]]/Table1[[#This Row],[Population]]</f>
        <v>2.9388488529043174E-7</v>
      </c>
      <c r="Q201" s="13">
        <f>1-Table1[[#This Row],[Deaths]]/Table1[[#This Row],[Ex(Deaths)]]</f>
        <v>1.5184381778741818E-2</v>
      </c>
      <c r="R201" s="16">
        <f>G201/D201</f>
        <v>1.5418502202643172E-2</v>
      </c>
      <c r="S201" s="12">
        <f>Table1[[#This Row],[Percent Infected]]*Table1[[#This Row],[% Active]]</f>
        <v>2.9388488529043174E-7</v>
      </c>
      <c r="T201" s="8">
        <f>1/Table1[[#This Row],[Percent Actively Infected]]</f>
        <v>3402692.8571428573</v>
      </c>
    </row>
    <row r="202" spans="1:20" ht="16.5" thickBot="1" x14ac:dyDescent="0.3">
      <c r="A202" s="1">
        <v>203</v>
      </c>
      <c r="B202" s="54">
        <v>197</v>
      </c>
      <c r="C202" s="43" t="s">
        <v>208</v>
      </c>
      <c r="D202" s="51">
        <v>24</v>
      </c>
      <c r="E202" s="51"/>
      <c r="F202" s="51">
        <v>24</v>
      </c>
      <c r="G202" s="51">
        <v>0</v>
      </c>
      <c r="H202" s="51"/>
      <c r="I202" s="43">
        <v>1319438</v>
      </c>
      <c r="J202" s="15">
        <f>Table1[[#This Row],[Population]]/Table1[[#This Row],[Cases]]</f>
        <v>54976.583333333336</v>
      </c>
      <c r="K202" s="8" t="e">
        <f>Table1[[#This Row],[Population]]/Table1[[#This Row],[Deaths]]</f>
        <v>#DIV/0!</v>
      </c>
      <c r="L202" s="9">
        <f>Table1[[#This Row],[Deaths]]+Table1[[#This Row],[Active]]*Table1[[#This Row],[Death Rate]]</f>
        <v>0</v>
      </c>
      <c r="M202" s="10">
        <f>Table1[[#This Row],[Deaths]]/Table1[[#This Row],[Cases]]</f>
        <v>0</v>
      </c>
      <c r="N202" s="15" t="e">
        <f>Table1[[#This Row],[Cases]]/Table1[[#This Row],[Deaths]]</f>
        <v>#DIV/0!</v>
      </c>
      <c r="O202" s="12">
        <f>Table1[[#This Row],[Cases]]/Table1[[#This Row],[Population]]</f>
        <v>1.8189562525863284E-5</v>
      </c>
      <c r="P202" s="12">
        <f>Table1[[#This Row],[Deaths]]/Table1[[#This Row],[Population]]</f>
        <v>0</v>
      </c>
      <c r="Q202" s="13" t="e">
        <f>1-Table1[[#This Row],[Deaths]]/Table1[[#This Row],[Ex(Deaths)]]</f>
        <v>#DIV/0!</v>
      </c>
      <c r="R202" s="16">
        <f>G202/D202</f>
        <v>0</v>
      </c>
      <c r="S202" s="12">
        <f>Table1[[#This Row],[Percent Infected]]*Table1[[#This Row],[% Active]]</f>
        <v>0</v>
      </c>
      <c r="T202" s="8" t="e">
        <f>1/Table1[[#This Row],[Percent Actively Infected]]</f>
        <v>#DIV/0!</v>
      </c>
    </row>
    <row r="203" spans="1:20" ht="16.5" thickBot="1" x14ac:dyDescent="0.3">
      <c r="A203" s="1">
        <v>204</v>
      </c>
      <c r="B203" s="52">
        <v>175</v>
      </c>
      <c r="C203" s="43" t="s">
        <v>218</v>
      </c>
      <c r="D203" s="49">
        <v>171</v>
      </c>
      <c r="E203" s="49"/>
      <c r="F203" s="49">
        <v>133</v>
      </c>
      <c r="G203" s="49">
        <v>38</v>
      </c>
      <c r="H203" s="49">
        <v>1</v>
      </c>
      <c r="I203" s="43">
        <v>16728728</v>
      </c>
      <c r="J203" s="15">
        <f>Table1[[#This Row],[Population]]/Table1[[#This Row],[Cases]]</f>
        <v>97828.818713450295</v>
      </c>
      <c r="K203" s="8" t="e">
        <f>Table1[[#This Row],[Population]]/Table1[[#This Row],[Deaths]]</f>
        <v>#DIV/0!</v>
      </c>
      <c r="L203" s="9">
        <f>Table1[[#This Row],[Deaths]]+Table1[[#This Row],[Active]]*Table1[[#This Row],[Death Rate]]</f>
        <v>0</v>
      </c>
      <c r="M203" s="10">
        <f>Table1[[#This Row],[Deaths]]/Table1[[#This Row],[Cases]]</f>
        <v>0</v>
      </c>
      <c r="N203" s="15" t="e">
        <f>Table1[[#This Row],[Cases]]/Table1[[#This Row],[Deaths]]</f>
        <v>#DIV/0!</v>
      </c>
      <c r="O203" s="12">
        <f>Table1[[#This Row],[Cases]]/Table1[[#This Row],[Population]]</f>
        <v>1.0221936778456795E-5</v>
      </c>
      <c r="P203" s="12">
        <f>Table1[[#This Row],[Deaths]]/Table1[[#This Row],[Population]]</f>
        <v>0</v>
      </c>
      <c r="Q203" s="13" t="e">
        <f>1-Table1[[#This Row],[Deaths]]/Table1[[#This Row],[Ex(Deaths)]]</f>
        <v>#DIV/0!</v>
      </c>
      <c r="R203" s="16">
        <f>G203/D203</f>
        <v>0.22222222222222221</v>
      </c>
      <c r="S203" s="12">
        <f>Table1[[#This Row],[Percent Infected]]*Table1[[#This Row],[% Active]]</f>
        <v>2.2715415063237319E-6</v>
      </c>
      <c r="T203" s="8">
        <f>1/Table1[[#This Row],[Percent Actively Infected]]</f>
        <v>440229.68421052641</v>
      </c>
    </row>
    <row r="204" spans="1:20" ht="16.5" thickBot="1" x14ac:dyDescent="0.3">
      <c r="A204" s="1">
        <v>205</v>
      </c>
      <c r="B204" s="52">
        <v>157</v>
      </c>
      <c r="C204" s="43" t="s">
        <v>215</v>
      </c>
      <c r="D204" s="49">
        <v>509</v>
      </c>
      <c r="E204" s="49">
        <v>21</v>
      </c>
      <c r="F204" s="49">
        <v>183</v>
      </c>
      <c r="G204" s="49">
        <v>305</v>
      </c>
      <c r="H204" s="49">
        <v>7</v>
      </c>
      <c r="I204" s="43">
        <v>59793037</v>
      </c>
      <c r="J204" s="15">
        <f>Table1[[#This Row],[Population]]/Table1[[#This Row],[Cases]]</f>
        <v>117471.58546168958</v>
      </c>
      <c r="K204" s="8">
        <f>Table1[[#This Row],[Population]]/Table1[[#This Row],[Deaths]]</f>
        <v>2847287.4761904762</v>
      </c>
      <c r="L204" s="9">
        <f>Table1[[#This Row],[Deaths]]+Table1[[#This Row],[Active]]*Table1[[#This Row],[Death Rate]]</f>
        <v>33.583497053045186</v>
      </c>
      <c r="M204" s="10">
        <f>Table1[[#This Row],[Deaths]]/Table1[[#This Row],[Cases]]</f>
        <v>4.1257367387033402E-2</v>
      </c>
      <c r="N204" s="15">
        <f>Table1[[#This Row],[Cases]]/Table1[[#This Row],[Deaths]]</f>
        <v>24.238095238095237</v>
      </c>
      <c r="O204" s="12">
        <f>Table1[[#This Row],[Cases]]/Table1[[#This Row],[Population]]</f>
        <v>8.5126968881008668E-6</v>
      </c>
      <c r="P204" s="12">
        <f>Table1[[#This Row],[Deaths]]/Table1[[#This Row],[Population]]</f>
        <v>3.5121146296683341E-7</v>
      </c>
      <c r="Q204" s="13">
        <f>1-Table1[[#This Row],[Deaths]]/Table1[[#This Row],[Ex(Deaths)]]</f>
        <v>0.37469287469287471</v>
      </c>
      <c r="R204" s="16">
        <f>G204/D204</f>
        <v>0.59921414538310414</v>
      </c>
      <c r="S204" s="12">
        <f>Table1[[#This Row],[Percent Infected]]*Table1[[#This Row],[% Active]]</f>
        <v>5.1009283907087713E-6</v>
      </c>
      <c r="T204" s="8">
        <f>1/Table1[[#This Row],[Percent Actively Infected]]</f>
        <v>196042.74426229508</v>
      </c>
    </row>
    <row r="205" spans="1:20" ht="16.5" thickBot="1" x14ac:dyDescent="0.3">
      <c r="A205" s="1">
        <v>206</v>
      </c>
      <c r="B205" s="52">
        <v>163</v>
      </c>
      <c r="C205" s="43" t="s">
        <v>225</v>
      </c>
      <c r="D205" s="49">
        <v>339</v>
      </c>
      <c r="E205" s="49">
        <v>6</v>
      </c>
      <c r="F205" s="49">
        <v>271</v>
      </c>
      <c r="G205" s="49">
        <v>62</v>
      </c>
      <c r="H205" s="49"/>
      <c r="I205" s="43">
        <v>54426490</v>
      </c>
      <c r="J205" s="15">
        <f>Table1[[#This Row],[Population]]/Table1[[#This Row],[Cases]]</f>
        <v>160550.11799410029</v>
      </c>
      <c r="K205" s="8">
        <f>Table1[[#This Row],[Population]]/Table1[[#This Row],[Deaths]]</f>
        <v>9071081.666666666</v>
      </c>
      <c r="L205" s="9">
        <f>Table1[[#This Row],[Deaths]]+Table1[[#This Row],[Active]]*Table1[[#This Row],[Death Rate]]</f>
        <v>7.0973451327433628</v>
      </c>
      <c r="M205" s="10">
        <f>Table1[[#This Row],[Deaths]]/Table1[[#This Row],[Cases]]</f>
        <v>1.7699115044247787E-2</v>
      </c>
      <c r="N205" s="15">
        <f>Table1[[#This Row],[Cases]]/Table1[[#This Row],[Deaths]]</f>
        <v>56.5</v>
      </c>
      <c r="O205" s="12">
        <f>Table1[[#This Row],[Cases]]/Table1[[#This Row],[Population]]</f>
        <v>6.2285846469246868E-6</v>
      </c>
      <c r="P205" s="12">
        <f>Table1[[#This Row],[Deaths]]/Table1[[#This Row],[Population]]</f>
        <v>1.1024043622875552E-7</v>
      </c>
      <c r="Q205" s="13">
        <f>1-Table1[[#This Row],[Deaths]]/Table1[[#This Row],[Ex(Deaths)]]</f>
        <v>0.15461346633416462</v>
      </c>
      <c r="R205" s="16">
        <f>G205/D205</f>
        <v>0.18289085545722714</v>
      </c>
      <c r="S205" s="12">
        <f>Table1[[#This Row],[Percent Infected]]*Table1[[#This Row],[% Active]]</f>
        <v>1.139151174363807E-6</v>
      </c>
      <c r="T205" s="8">
        <f>1/Table1[[#This Row],[Percent Actively Infected]]</f>
        <v>877846.61290322582</v>
      </c>
    </row>
    <row r="206" spans="1:20" ht="16.5" thickBot="1" x14ac:dyDescent="0.3">
      <c r="A206" s="1">
        <v>207</v>
      </c>
      <c r="B206" s="52">
        <v>160</v>
      </c>
      <c r="C206" s="43" t="s">
        <v>227</v>
      </c>
      <c r="D206" s="49">
        <v>382</v>
      </c>
      <c r="E206" s="49"/>
      <c r="F206" s="49">
        <v>356</v>
      </c>
      <c r="G206" s="49">
        <v>26</v>
      </c>
      <c r="H206" s="49">
        <v>1</v>
      </c>
      <c r="I206" s="43">
        <v>97377661</v>
      </c>
      <c r="J206" s="15">
        <f>Table1[[#This Row],[Population]]/Table1[[#This Row],[Cases]]</f>
        <v>254915.34293193716</v>
      </c>
      <c r="K206" s="8" t="e">
        <f>Table1[[#This Row],[Population]]/Table1[[#This Row],[Deaths]]</f>
        <v>#DIV/0!</v>
      </c>
      <c r="L206" s="9">
        <f>Table1[[#This Row],[Deaths]]+Table1[[#This Row],[Active]]*Table1[[#This Row],[Death Rate]]</f>
        <v>0</v>
      </c>
      <c r="M206" s="10">
        <f>Table1[[#This Row],[Deaths]]/Table1[[#This Row],[Cases]]</f>
        <v>0</v>
      </c>
      <c r="N206" s="15" t="e">
        <f>Table1[[#This Row],[Cases]]/Table1[[#This Row],[Deaths]]</f>
        <v>#DIV/0!</v>
      </c>
      <c r="O206" s="12">
        <f>Table1[[#This Row],[Cases]]/Table1[[#This Row],[Population]]</f>
        <v>3.922870975510492E-6</v>
      </c>
      <c r="P206" s="12">
        <f>Table1[[#This Row],[Deaths]]/Table1[[#This Row],[Population]]</f>
        <v>0</v>
      </c>
      <c r="Q206" s="13" t="e">
        <f>1-Table1[[#This Row],[Deaths]]/Table1[[#This Row],[Ex(Deaths)]]</f>
        <v>#DIV/0!</v>
      </c>
      <c r="R206" s="16">
        <f>G206/D206</f>
        <v>6.8062827225130892E-2</v>
      </c>
      <c r="S206" s="12">
        <f>Table1[[#This Row],[Percent Infected]]*Table1[[#This Row],[% Active]]</f>
        <v>2.6700168943265128E-7</v>
      </c>
      <c r="T206" s="8">
        <f>1/Table1[[#This Row],[Percent Actively Infected]]</f>
        <v>3745294.653846154</v>
      </c>
    </row>
    <row r="207" spans="1:20" ht="16.5" thickBot="1" x14ac:dyDescent="0.3">
      <c r="A207" s="1">
        <v>208</v>
      </c>
      <c r="B207" s="54">
        <v>201</v>
      </c>
      <c r="C207" s="43" t="s">
        <v>228</v>
      </c>
      <c r="D207" s="51">
        <v>19</v>
      </c>
      <c r="E207" s="51"/>
      <c r="F207" s="51">
        <v>19</v>
      </c>
      <c r="G207" s="51">
        <v>0</v>
      </c>
      <c r="H207" s="51"/>
      <c r="I207" s="43">
        <v>7279979</v>
      </c>
      <c r="J207" s="15">
        <f>Table1[[#This Row],[Population]]/Table1[[#This Row],[Cases]]</f>
        <v>383156.78947368421</v>
      </c>
      <c r="K207" s="8" t="e">
        <f>Table1[[#This Row],[Population]]/Table1[[#This Row],[Deaths]]</f>
        <v>#DIV/0!</v>
      </c>
      <c r="L207" s="9">
        <f>Table1[[#This Row],[Deaths]]+Table1[[#This Row],[Active]]*Table1[[#This Row],[Death Rate]]</f>
        <v>0</v>
      </c>
      <c r="M207" s="10">
        <f>Table1[[#This Row],[Deaths]]/Table1[[#This Row],[Cases]]</f>
        <v>0</v>
      </c>
      <c r="N207" s="15" t="e">
        <f>Table1[[#This Row],[Cases]]/Table1[[#This Row],[Deaths]]</f>
        <v>#DIV/0!</v>
      </c>
      <c r="O207" s="12">
        <f>Table1[[#This Row],[Cases]]/Table1[[#This Row],[Population]]</f>
        <v>2.6098976384409898E-6</v>
      </c>
      <c r="P207" s="12">
        <f>Table1[[#This Row],[Deaths]]/Table1[[#This Row],[Population]]</f>
        <v>0</v>
      </c>
      <c r="Q207" s="13" t="e">
        <f>1-Table1[[#This Row],[Deaths]]/Table1[[#This Row],[Ex(Deaths)]]</f>
        <v>#DIV/0!</v>
      </c>
      <c r="R207" s="16">
        <f>G207/D207</f>
        <v>0</v>
      </c>
      <c r="S207" s="12">
        <f>Table1[[#This Row],[Percent Infected]]*Table1[[#This Row],[% Active]]</f>
        <v>0</v>
      </c>
      <c r="T207" s="8" t="e">
        <f>1/Table1[[#This Row],[Percent Actively Infected]]</f>
        <v>#DIV/0!</v>
      </c>
    </row>
    <row r="208" spans="1:20" ht="16.5" thickBot="1" x14ac:dyDescent="0.3">
      <c r="A208" s="1">
        <v>209</v>
      </c>
      <c r="B208" s="52">
        <v>204</v>
      </c>
      <c r="C208" s="43" t="s">
        <v>230</v>
      </c>
      <c r="D208" s="49">
        <v>16</v>
      </c>
      <c r="E208" s="49"/>
      <c r="F208" s="49">
        <v>8</v>
      </c>
      <c r="G208" s="49">
        <v>8</v>
      </c>
      <c r="H208" s="49"/>
      <c r="I208" s="43">
        <v>8953733</v>
      </c>
      <c r="J208" s="15">
        <f>Table1[[#This Row],[Population]]/Table1[[#This Row],[Cases]]</f>
        <v>559608.3125</v>
      </c>
      <c r="K208" s="8" t="e">
        <f>Table1[[#This Row],[Population]]/Table1[[#This Row],[Deaths]]</f>
        <v>#DIV/0!</v>
      </c>
      <c r="L208" s="9">
        <f>Table1[[#This Row],[Deaths]]+Table1[[#This Row],[Active]]*Table1[[#This Row],[Death Rate]]</f>
        <v>0</v>
      </c>
      <c r="M208" s="10">
        <f>Table1[[#This Row],[Deaths]]/Table1[[#This Row],[Cases]]</f>
        <v>0</v>
      </c>
      <c r="N208" s="15" t="e">
        <f>Table1[[#This Row],[Cases]]/Table1[[#This Row],[Deaths]]</f>
        <v>#DIV/0!</v>
      </c>
      <c r="O208" s="12">
        <f>Table1[[#This Row],[Cases]]/Table1[[#This Row],[Population]]</f>
        <v>1.7869641634388695E-6</v>
      </c>
      <c r="P208" s="12">
        <f>Table1[[#This Row],[Deaths]]/Table1[[#This Row],[Population]]</f>
        <v>0</v>
      </c>
      <c r="Q208" s="13" t="e">
        <f>1-Table1[[#This Row],[Deaths]]/Table1[[#This Row],[Ex(Deaths)]]</f>
        <v>#DIV/0!</v>
      </c>
      <c r="R208" s="16">
        <f>G208/D208</f>
        <v>0.5</v>
      </c>
      <c r="S208" s="12">
        <f>Table1[[#This Row],[Percent Infected]]*Table1[[#This Row],[% Active]]</f>
        <v>8.9348208171943475E-7</v>
      </c>
      <c r="T208" s="8">
        <f>1/Table1[[#This Row],[Percent Actively Infected]]</f>
        <v>1119216.625</v>
      </c>
    </row>
    <row r="209" spans="1:20" ht="16.5" thickBot="1" x14ac:dyDescent="0.3">
      <c r="A209" s="1">
        <v>210</v>
      </c>
      <c r="B209" s="54">
        <v>206</v>
      </c>
      <c r="C209" s="43" t="s">
        <v>142</v>
      </c>
      <c r="D209" s="51">
        <v>13</v>
      </c>
      <c r="E209" s="51"/>
      <c r="F209" s="51">
        <v>13</v>
      </c>
      <c r="G209" s="51">
        <v>0</v>
      </c>
      <c r="H209" s="51"/>
      <c r="I209" s="43">
        <v>56775</v>
      </c>
      <c r="J209" s="15">
        <f>Table1[[#This Row],[Population]]/Table1[[#This Row],[Cases]]</f>
        <v>4367.3076923076924</v>
      </c>
      <c r="K209" s="8" t="e">
        <f>Table1[[#This Row],[Population]]/Table1[[#This Row],[Deaths]]</f>
        <v>#DIV/0!</v>
      </c>
      <c r="L209" s="9">
        <f>Table1[[#This Row],[Deaths]]+Table1[[#This Row],[Active]]*Table1[[#This Row],[Death Rate]]</f>
        <v>0</v>
      </c>
      <c r="M209" s="10">
        <f>Table1[[#This Row],[Deaths]]/Table1[[#This Row],[Cases]]</f>
        <v>0</v>
      </c>
      <c r="N209" s="15" t="e">
        <f>Table1[[#This Row],[Cases]]/Table1[[#This Row],[Deaths]]</f>
        <v>#DIV/0!</v>
      </c>
      <c r="O209" s="12">
        <f>Table1[[#This Row],[Cases]]/Table1[[#This Row],[Population]]</f>
        <v>2.289740202553941E-4</v>
      </c>
      <c r="P209" s="12">
        <f>Table1[[#This Row],[Deaths]]/Table1[[#This Row],[Population]]</f>
        <v>0</v>
      </c>
      <c r="Q209" s="13" t="e">
        <f>1-Table1[[#This Row],[Deaths]]/Table1[[#This Row],[Ex(Deaths)]]</f>
        <v>#DIV/0!</v>
      </c>
      <c r="R209" s="16">
        <f t="shared" ref="R209:R214" si="0">G209/D209</f>
        <v>0</v>
      </c>
      <c r="S209" s="12">
        <f>Table1[[#This Row],[Percent Infected]]*Table1[[#This Row],[% Active]]</f>
        <v>0</v>
      </c>
      <c r="T209" s="8" t="e">
        <f>1/Table1[[#This Row],[Percent Actively Infected]]</f>
        <v>#DIV/0!</v>
      </c>
    </row>
    <row r="210" spans="1:20" ht="16.5" thickBot="1" x14ac:dyDescent="0.3">
      <c r="A210" s="1">
        <v>211</v>
      </c>
      <c r="B210" s="52">
        <v>207</v>
      </c>
      <c r="C210" s="43" t="s">
        <v>60</v>
      </c>
      <c r="D210" s="49">
        <v>12</v>
      </c>
      <c r="E210" s="49">
        <v>1</v>
      </c>
      <c r="F210" s="49">
        <v>10</v>
      </c>
      <c r="G210" s="49">
        <v>1</v>
      </c>
      <c r="H210" s="49"/>
      <c r="I210" s="43">
        <v>4992</v>
      </c>
      <c r="J210" s="15">
        <f>Table1[[#This Row],[Population]]/Table1[[#This Row],[Cases]]</f>
        <v>416</v>
      </c>
      <c r="K210" s="8">
        <f>Table1[[#This Row],[Population]]/Table1[[#This Row],[Deaths]]</f>
        <v>4992</v>
      </c>
      <c r="L210" s="9">
        <f>Table1[[#This Row],[Deaths]]+Table1[[#This Row],[Active]]*Table1[[#This Row],[Death Rate]]</f>
        <v>1.0833333333333333</v>
      </c>
      <c r="M210" s="10">
        <f>Table1[[#This Row],[Deaths]]/Table1[[#This Row],[Cases]]</f>
        <v>8.3333333333333329E-2</v>
      </c>
      <c r="N210" s="15">
        <f>Table1[[#This Row],[Cases]]/Table1[[#This Row],[Deaths]]</f>
        <v>12</v>
      </c>
      <c r="O210" s="12">
        <f>Table1[[#This Row],[Cases]]/Table1[[#This Row],[Population]]</f>
        <v>2.403846153846154E-3</v>
      </c>
      <c r="P210" s="12">
        <f>Table1[[#This Row],[Deaths]]/Table1[[#This Row],[Population]]</f>
        <v>2.0032051282051281E-4</v>
      </c>
      <c r="Q210" s="13">
        <f>1-Table1[[#This Row],[Deaths]]/Table1[[#This Row],[Ex(Deaths)]]</f>
        <v>7.6923076923076872E-2</v>
      </c>
      <c r="R210" s="16">
        <f t="shared" si="0"/>
        <v>8.3333333333333329E-2</v>
      </c>
      <c r="S210" s="12">
        <f>Table1[[#This Row],[Percent Infected]]*Table1[[#This Row],[% Active]]</f>
        <v>2.0032051282051281E-4</v>
      </c>
      <c r="T210" s="8">
        <f>1/Table1[[#This Row],[Percent Actively Infected]]</f>
        <v>4992</v>
      </c>
    </row>
    <row r="211" spans="1:20" ht="16.5" thickBot="1" x14ac:dyDescent="0.3">
      <c r="A211" s="1">
        <v>212</v>
      </c>
      <c r="B211" s="54">
        <v>208</v>
      </c>
      <c r="C211" s="43" t="s">
        <v>24</v>
      </c>
      <c r="D211" s="51">
        <v>12</v>
      </c>
      <c r="E211" s="51"/>
      <c r="F211" s="51">
        <v>12</v>
      </c>
      <c r="G211" s="51">
        <v>0</v>
      </c>
      <c r="H211" s="51"/>
      <c r="I211" s="43">
        <v>801</v>
      </c>
      <c r="J211" s="15">
        <f>Table1[[#This Row],[Population]]/Table1[[#This Row],[Cases]]</f>
        <v>66.75</v>
      </c>
      <c r="K211" s="8" t="e">
        <f>Table1[[#This Row],[Population]]/Table1[[#This Row],[Deaths]]</f>
        <v>#DIV/0!</v>
      </c>
      <c r="L211" s="9">
        <f>Table1[[#This Row],[Deaths]]+Table1[[#This Row],[Active]]*Table1[[#This Row],[Death Rate]]</f>
        <v>0</v>
      </c>
      <c r="M211" s="10">
        <f>Table1[[#This Row],[Deaths]]/Table1[[#This Row],[Cases]]</f>
        <v>0</v>
      </c>
      <c r="N211" s="15" t="e">
        <f>Table1[[#This Row],[Cases]]/Table1[[#This Row],[Deaths]]</f>
        <v>#DIV/0!</v>
      </c>
      <c r="O211" s="12">
        <f>Table1[[#This Row],[Cases]]/Table1[[#This Row],[Population]]</f>
        <v>1.4981273408239701E-2</v>
      </c>
      <c r="P211" s="12">
        <f>Table1[[#This Row],[Deaths]]/Table1[[#This Row],[Population]]</f>
        <v>0</v>
      </c>
      <c r="Q211" s="13" t="e">
        <f>1-Table1[[#This Row],[Deaths]]/Table1[[#This Row],[Ex(Deaths)]]</f>
        <v>#DIV/0!</v>
      </c>
      <c r="R211" s="16">
        <f t="shared" si="0"/>
        <v>0</v>
      </c>
      <c r="S211" s="12">
        <f>Table1[[#This Row],[Percent Infected]]*Table1[[#This Row],[% Active]]</f>
        <v>0</v>
      </c>
      <c r="T211" s="8" t="e">
        <f>1/Table1[[#This Row],[Percent Actively Infected]]</f>
        <v>#DIV/0!</v>
      </c>
    </row>
    <row r="212" spans="1:20" ht="16.5" thickBot="1" x14ac:dyDescent="0.3">
      <c r="A212" s="1">
        <v>213</v>
      </c>
      <c r="B212" s="52">
        <v>209</v>
      </c>
      <c r="C212" s="43" t="s">
        <v>210</v>
      </c>
      <c r="D212" s="49">
        <v>10</v>
      </c>
      <c r="E212" s="49">
        <v>1</v>
      </c>
      <c r="F212" s="49">
        <v>8</v>
      </c>
      <c r="G212" s="49">
        <v>1</v>
      </c>
      <c r="H212" s="49"/>
      <c r="I212" s="43">
        <v>597877</v>
      </c>
      <c r="J212" s="15">
        <f>Table1[[#This Row],[Population]]/Table1[[#This Row],[Cases]]</f>
        <v>59787.7</v>
      </c>
      <c r="K212" s="8">
        <f>Table1[[#This Row],[Population]]/Table1[[#This Row],[Deaths]]</f>
        <v>597877</v>
      </c>
      <c r="L212" s="9">
        <f>Table1[[#This Row],[Deaths]]+Table1[[#This Row],[Active]]*Table1[[#This Row],[Death Rate]]</f>
        <v>1.1000000000000001</v>
      </c>
      <c r="M212" s="10">
        <f>Table1[[#This Row],[Deaths]]/Table1[[#This Row],[Cases]]</f>
        <v>0.1</v>
      </c>
      <c r="N212" s="15">
        <f>Table1[[#This Row],[Cases]]/Table1[[#This Row],[Deaths]]</f>
        <v>10</v>
      </c>
      <c r="O212" s="12">
        <f>Table1[[#This Row],[Cases]]/Table1[[#This Row],[Population]]</f>
        <v>1.6725848293210812E-5</v>
      </c>
      <c r="P212" s="12">
        <f>Table1[[#This Row],[Deaths]]/Table1[[#This Row],[Population]]</f>
        <v>1.6725848293210812E-6</v>
      </c>
      <c r="Q212" s="13">
        <f>1-Table1[[#This Row],[Deaths]]/Table1[[#This Row],[Ex(Deaths)]]</f>
        <v>9.0909090909090939E-2</v>
      </c>
      <c r="R212" s="16">
        <f t="shared" si="0"/>
        <v>0.1</v>
      </c>
      <c r="S212" s="12">
        <f>Table1[[#This Row],[Percent Infected]]*Table1[[#This Row],[% Active]]</f>
        <v>1.6725848293210812E-6</v>
      </c>
      <c r="T212" s="8">
        <f>1/Table1[[#This Row],[Percent Actively Infected]]</f>
        <v>597877</v>
      </c>
    </row>
    <row r="213" spans="1:20" ht="16.5" thickBot="1" x14ac:dyDescent="0.3">
      <c r="A213" s="1">
        <v>214</v>
      </c>
      <c r="B213" s="52">
        <v>214</v>
      </c>
      <c r="C213" s="43" t="s">
        <v>235</v>
      </c>
      <c r="D213" s="49">
        <v>4</v>
      </c>
      <c r="E213" s="49"/>
      <c r="F213" s="49">
        <v>1</v>
      </c>
      <c r="G213" s="49">
        <v>3</v>
      </c>
      <c r="H213" s="49"/>
      <c r="I213" s="43">
        <v>5793</v>
      </c>
      <c r="J213" s="15">
        <f>Table1[[#This Row],[Population]]/Table1[[#This Row],[Cases]]</f>
        <v>1448.25</v>
      </c>
      <c r="K213" s="8" t="e">
        <f>Table1[[#This Row],[Population]]/Table1[[#This Row],[Deaths]]</f>
        <v>#DIV/0!</v>
      </c>
      <c r="L213" s="9">
        <f>Table1[[#This Row],[Deaths]]+Table1[[#This Row],[Active]]*Table1[[#This Row],[Death Rate]]</f>
        <v>0</v>
      </c>
      <c r="M213" s="10">
        <f>Table1[[#This Row],[Deaths]]/Table1[[#This Row],[Cases]]</f>
        <v>0</v>
      </c>
      <c r="N213" s="15" t="e">
        <f>Table1[[#This Row],[Cases]]/Table1[[#This Row],[Deaths]]</f>
        <v>#DIV/0!</v>
      </c>
      <c r="O213" s="12">
        <f>Table1[[#This Row],[Cases]]/Table1[[#This Row],[Population]]</f>
        <v>6.9048852062834453E-4</v>
      </c>
      <c r="P213" s="12">
        <f>Table1[[#This Row],[Deaths]]/Table1[[#This Row],[Population]]</f>
        <v>0</v>
      </c>
      <c r="Q213" s="13" t="e">
        <f>1-Table1[[#This Row],[Deaths]]/Table1[[#This Row],[Ex(Deaths)]]</f>
        <v>#DIV/0!</v>
      </c>
      <c r="R213" s="16">
        <f t="shared" si="0"/>
        <v>0.75</v>
      </c>
      <c r="S213" s="12">
        <f>Table1[[#This Row],[Percent Infected]]*Table1[[#This Row],[% Active]]</f>
        <v>5.1786639047125837E-4</v>
      </c>
      <c r="T213" s="8">
        <f>1/Table1[[#This Row],[Percent Actively Infected]]</f>
        <v>1931.0000000000002</v>
      </c>
    </row>
    <row r="214" spans="1:20" ht="16.5" thickBot="1" x14ac:dyDescent="0.3">
      <c r="A214" s="1">
        <v>215</v>
      </c>
      <c r="B214" s="76">
        <v>215</v>
      </c>
      <c r="C214" s="44" t="s">
        <v>234</v>
      </c>
      <c r="D214" s="77">
        <v>3</v>
      </c>
      <c r="E214" s="77"/>
      <c r="F214" s="77">
        <v>3</v>
      </c>
      <c r="G214" s="77">
        <v>0</v>
      </c>
      <c r="H214" s="77"/>
      <c r="I214" s="43">
        <v>15009</v>
      </c>
      <c r="J214" s="15">
        <f>Table1[[#This Row],[Population]]/Table1[[#This Row],[Cases]]</f>
        <v>5003</v>
      </c>
      <c r="K214" s="8" t="e">
        <f>Table1[[#This Row],[Population]]/Table1[[#This Row],[Deaths]]</f>
        <v>#DIV/0!</v>
      </c>
      <c r="L214" s="9">
        <f>Table1[[#This Row],[Deaths]]+Table1[[#This Row],[Active]]*Table1[[#This Row],[Death Rate]]</f>
        <v>0</v>
      </c>
      <c r="M214" s="10">
        <f>Table1[[#This Row],[Deaths]]/Table1[[#This Row],[Cases]]</f>
        <v>0</v>
      </c>
      <c r="N214" s="15" t="e">
        <f>Table1[[#This Row],[Cases]]/Table1[[#This Row],[Deaths]]</f>
        <v>#DIV/0!</v>
      </c>
      <c r="O214" s="12">
        <f>Table1[[#This Row],[Cases]]/Table1[[#This Row],[Population]]</f>
        <v>1.998800719568259E-4</v>
      </c>
      <c r="P214" s="12">
        <f>Table1[[#This Row],[Deaths]]/Table1[[#This Row],[Population]]</f>
        <v>0</v>
      </c>
      <c r="Q214" s="13" t="e">
        <f>1-Table1[[#This Row],[Deaths]]/Table1[[#This Row],[Ex(Deaths)]]</f>
        <v>#DIV/0!</v>
      </c>
      <c r="R214" s="16">
        <f t="shared" si="0"/>
        <v>0</v>
      </c>
      <c r="S214" s="12">
        <f>Table1[[#This Row],[Percent Infected]]*Table1[[#This Row],[% Active]]</f>
        <v>0</v>
      </c>
      <c r="T214" s="8" t="e">
        <f>1/Table1[[#This Row],[Percent Actively Infected]]</f>
        <v>#DIV/0!</v>
      </c>
    </row>
    <row r="215" spans="1:20" x14ac:dyDescent="0.25">
      <c r="B215" s="1">
        <f>AVERAGE(Table1[Rank])</f>
        <v>107.31924882629107</v>
      </c>
      <c r="C215" s="1" t="e">
        <f>AVERAGE(Table1[Country])</f>
        <v>#DIV/0!</v>
      </c>
      <c r="D215" s="1">
        <f>AVERAGE(Table1[Cases])</f>
        <v>66955.19248826291</v>
      </c>
      <c r="E215" s="1">
        <f>AVERAGE(Table1[Deaths])</f>
        <v>3247.9081081081081</v>
      </c>
      <c r="F215" s="1">
        <f>AVERAGE(Table1[Recovered])</f>
        <v>39745.315789473687</v>
      </c>
      <c r="G215" s="1">
        <f>AVERAGE(Table1[Active])</f>
        <v>22531.133971291867</v>
      </c>
      <c r="H215" s="1">
        <f>AVERAGE(Table1[Serious, Critical])</f>
        <v>467.328125</v>
      </c>
      <c r="I215" s="1">
        <f>AVERAGE(Table1[Population])</f>
        <v>36439963.206572771</v>
      </c>
      <c r="J215" s="1">
        <f>AVERAGE(Table1[1/'# ])</f>
        <v>12009.493867385032</v>
      </c>
      <c r="K215" s="1" t="e">
        <f>AVERAGE(Table1[1/'# Deaths])</f>
        <v>#DIV/0!</v>
      </c>
      <c r="L215" s="1" t="e">
        <f>AVERAGE(Table1[Ex(Deaths)])</f>
        <v>#VALUE!</v>
      </c>
      <c r="M215" s="1">
        <f>AVERAGE(Table1[Death Rate])</f>
        <v>3.1651753546924788E-2</v>
      </c>
      <c r="N215" s="1" t="e">
        <f>AVERAGE(Table1[Cases per Death])</f>
        <v>#DIV/0!</v>
      </c>
      <c r="O215" s="1">
        <f>AVERAGE(Table1[Percent Infected])</f>
        <v>2.5272453343959719E-3</v>
      </c>
      <c r="P215" s="1">
        <f>AVERAGE(Table1[Percent Dead])</f>
        <v>7.5029243129998938E-5</v>
      </c>
      <c r="Q215" s="1" t="e">
        <f>AVERAGE(Table1[Percent Ex(Death)])</f>
        <v>#VALUE!</v>
      </c>
      <c r="R215" s="1" t="e">
        <f>AVERAGE(Table1[% Active])</f>
        <v>#VALUE!</v>
      </c>
      <c r="S215" s="1"/>
      <c r="T215" s="1"/>
    </row>
  </sheetData>
  <phoneticPr fontId="9" type="noConversion"/>
  <conditionalFormatting sqref="N192:N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2:R21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:M214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4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1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1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1" r:id="rId1" display="https://www.worldometers.info/coronavirus/country/us/" xr:uid="{8A6FEE67-664D-4B38-B35F-254DC064CFDC}"/>
    <hyperlink ref="I11" r:id="rId2" display="https://www.worldometers.info/world-population/us-population/" xr:uid="{F9FA6C0B-2A7F-4FAD-AF83-B6C9EAB1368C}"/>
    <hyperlink ref="C15" r:id="rId3" display="https://www.worldometers.info/coronavirus/country/brazil/" xr:uid="{793AF9C3-26E3-4847-BF45-DA604BEE8C1E}"/>
    <hyperlink ref="I15" r:id="rId4" display="https://www.worldometers.info/world-population/brazil-population/" xr:uid="{96A3113A-E022-4D95-B31C-A9488C774FB5}"/>
    <hyperlink ref="C105" r:id="rId5" display="https://www.worldometers.info/coronavirus/country/india/" xr:uid="{E755F9C6-72B5-40DC-942C-3B65018EE048}"/>
    <hyperlink ref="I105" r:id="rId6" display="https://www.worldometers.info/world-population/india-population/" xr:uid="{D8A2F7F5-3B92-4542-ABC9-D443E20C1051}"/>
    <hyperlink ref="C28" r:id="rId7" display="https://www.worldometers.info/coronavirus/country/russia/" xr:uid="{E1501D44-5304-467D-B2D9-A20E2BD689CF}"/>
    <hyperlink ref="I28" r:id="rId8" display="https://www.worldometers.info/world-population/russia-population/" xr:uid="{1C2DC186-51E7-46C9-B703-1F71476BC5A4}"/>
    <hyperlink ref="C13" r:id="rId9" display="https://www.worldometers.info/coronavirus/country/peru/" xr:uid="{930A2A57-00C0-4AEC-883E-31206754A31B}"/>
    <hyperlink ref="I13" r:id="rId10" display="https://www.worldometers.info/world-population/peru-population/" xr:uid="{E21D10B2-01F5-4CC3-B556-CFA0340EE4A7}"/>
    <hyperlink ref="C23" r:id="rId11" display="https://www.worldometers.info/coronavirus/country/south-africa/" xr:uid="{7A88937D-DB35-43CF-BB67-CE7EAA3A06B8}"/>
    <hyperlink ref="I23" r:id="rId12" display="https://www.worldometers.info/world-population/south-africa-population/" xr:uid="{DF06A401-56D5-4CC0-B173-C1B6C1AF45C1}"/>
    <hyperlink ref="C61" r:id="rId13" display="https://www.worldometers.info/coronavirus/country/mexico/" xr:uid="{ED1BEB83-2900-4A33-A1D9-4EB75AF2A2AD}"/>
    <hyperlink ref="I61" r:id="rId14" display="https://www.worldometers.info/world-population/mexico-population/" xr:uid="{3AEAAADD-026B-4E45-95B3-033692339F1E}"/>
    <hyperlink ref="C6" r:id="rId15" display="https://www.worldometers.info/coronavirus/country/chile/" xr:uid="{746CD384-3AFF-4DE6-BF4E-476AA52F6E03}"/>
    <hyperlink ref="I6" r:id="rId16" display="https://www.worldometers.info/world-population/chile-population/" xr:uid="{1FE8E0A9-74E7-45F2-89A3-876774123993}"/>
    <hyperlink ref="C21" r:id="rId17" display="https://www.worldometers.info/coronavirus/country/spain/" xr:uid="{526E71D1-3E28-46DD-B049-F70C9940A665}"/>
    <hyperlink ref="I21" r:id="rId18" display="https://www.worldometers.info/world-population/spain-population/" xr:uid="{A403DA9B-FAB3-4D04-84B3-F8298FCAA73F}"/>
    <hyperlink ref="C36" r:id="rId19" display="https://www.worldometers.info/coronavirus/country/uk/" xr:uid="{D4C123B8-AE95-45D1-8012-408D72FF3E00}"/>
    <hyperlink ref="I36" r:id="rId20" display="https://www.worldometers.info/world-population/uk-population/" xr:uid="{1CDEFAA8-1A31-464A-A299-13BF2CF33A1B}"/>
    <hyperlink ref="C50" r:id="rId21" display="https://www.worldometers.info/coronavirus/country/iran/" xr:uid="{E2073D88-A6E8-428A-997B-9CED652398DE}"/>
    <hyperlink ref="I50" r:id="rId22" display="https://www.worldometers.info/world-population/iran-population/" xr:uid="{ED017196-8469-4BD0-8E09-EA8189CEB811}"/>
    <hyperlink ref="C92" r:id="rId23" display="https://www.worldometers.info/coronavirus/country/pakistan/" xr:uid="{9CAF42C2-DD20-4BF0-B920-A942B0AA8D8D}"/>
    <hyperlink ref="I92" r:id="rId24" display="https://www.worldometers.info/world-population/pakistan-population/" xr:uid="{5BC633F2-982D-4165-817E-4A692FAD9925}"/>
    <hyperlink ref="C19" r:id="rId25" display="https://www.worldometers.info/coronavirus/country/saudi-arabia/" xr:uid="{BEA1DFD8-06E9-4BD0-AEC8-ADA9560F2FC0}"/>
    <hyperlink ref="I19" r:id="rId26" display="https://www.worldometers.info/world-population/saudi-arabia-population/" xr:uid="{70B49D3F-712D-48C9-96FC-3F870D351D19}"/>
    <hyperlink ref="C39" r:id="rId27" display="https://www.worldometers.info/coronavirus/country/italy/" xr:uid="{3DD6F75B-3C0C-47A8-9009-1F6DAA766F1F}"/>
    <hyperlink ref="I39" r:id="rId28" display="https://www.worldometers.info/world-population/italy-population/" xr:uid="{9C3D01EC-9F36-4A62-B4E6-41A7C35DDF57}"/>
    <hyperlink ref="C60" r:id="rId29" display="https://www.worldometers.info/coronavirus/country/turkey/" xr:uid="{1BE059BE-69C1-4CC5-AF68-190EC542429F}"/>
    <hyperlink ref="I60" r:id="rId30" display="https://www.worldometers.info/world-population/turkey-population/" xr:uid="{E54152DE-C9AA-479B-96FE-8EE4F041C4C6}"/>
    <hyperlink ref="C64" r:id="rId31" display="https://www.worldometers.info/coronavirus/country/germany/" xr:uid="{CBDEEE4C-3A7D-4D2F-B715-FC67B0F49386}"/>
    <hyperlink ref="I64" r:id="rId32" display="https://www.worldometers.info/world-population/germany-population/" xr:uid="{A7E7D45E-550C-46B9-BFF5-994B55B76F41}"/>
    <hyperlink ref="C89" r:id="rId33" display="https://www.worldometers.info/coronavirus/country/bangladesh/" xr:uid="{2BEC8488-B27C-40BC-90DB-D3B359E81B95}"/>
    <hyperlink ref="I89" r:id="rId34" display="https://www.worldometers.info/world-population/bangladesh-population/" xr:uid="{203255B2-A27C-409F-96E4-68061505B18F}"/>
    <hyperlink ref="C45" r:id="rId35" display="https://www.worldometers.info/coronavirus/country/colombia/" xr:uid="{00443554-31EB-4810-A3D6-9B984D578F45}"/>
    <hyperlink ref="I45" r:id="rId36" display="https://www.worldometers.info/world-population/colombia-population/" xr:uid="{37896031-47C9-4A8B-B96E-F750426FF1D6}"/>
    <hyperlink ref="C57" r:id="rId37" display="https://www.worldometers.info/coronavirus/country/france/" xr:uid="{E65A22B0-6170-4D04-9F07-E81A678FA8D1}"/>
    <hyperlink ref="I57" r:id="rId38" display="https://www.worldometers.info/world-population/france-population/" xr:uid="{2F3C3595-3610-4461-B837-ABDEB1F88D34}"/>
    <hyperlink ref="C59" r:id="rId39" display="https://www.worldometers.info/coronavirus/country/argentina/" xr:uid="{2CD8A9A3-0D9C-4B6D-BE5F-64581CD6F49B}"/>
    <hyperlink ref="I59" r:id="rId40" display="https://www.worldometers.info/world-population/argentina-population/" xr:uid="{80A4E295-06A5-4D9F-9CB9-AB90EEB33831}"/>
    <hyperlink ref="C54" r:id="rId41" display="https://www.worldometers.info/coronavirus/country/canada/" xr:uid="{5A4A6CE9-23D9-4CA3-827A-82D623C99005}"/>
    <hyperlink ref="I54" r:id="rId42" display="https://www.worldometers.info/world-population/canada-population/" xr:uid="{E4153B35-4818-4F4C-B680-6ED322DE59A4}"/>
    <hyperlink ref="C2" r:id="rId43" display="https://www.worldometers.info/coronavirus/country/qatar/" xr:uid="{45666B3C-DE26-4A63-B8BC-0934E0502F55}"/>
    <hyperlink ref="C68" r:id="rId44" display="https://www.worldometers.info/coronavirus/country/iraq/" xr:uid="{2ADE6DB3-5A9D-46F5-8FC7-A8947595EE16}"/>
    <hyperlink ref="I68" r:id="rId45" display="https://www.worldometers.info/world-population/iraq-population/" xr:uid="{37D58152-2322-44C8-B1AF-EDC544564453}"/>
    <hyperlink ref="C103" r:id="rId46" display="https://www.worldometers.info/coronavirus/country/egypt/" xr:uid="{4B462253-C1BE-4CA1-BB92-844F2454A2AE}"/>
    <hyperlink ref="I103" r:id="rId47" display="https://www.worldometers.info/world-population/egypt-population/" xr:uid="{9B02997C-706C-4B29-90B6-2E414E4AC47D}"/>
    <hyperlink ref="C141" r:id="rId48" display="https://www.worldometers.info/coronavirus/country/indonesia/" xr:uid="{7A0A39F9-490B-49DC-9256-96E4CFE9CCC1}"/>
    <hyperlink ref="I141" r:id="rId49" display="https://www.worldometers.info/world-population/indonesia-population/" xr:uid="{29C2329B-2419-485D-847E-44CB75B060BE}"/>
    <hyperlink ref="C188" r:id="rId50" display="https://www.worldometers.info/coronavirus/country/china/" xr:uid="{D87672B5-EB9D-4A01-BB65-740C3AB968C5}"/>
    <hyperlink ref="C18" r:id="rId51" display="https://www.worldometers.info/coronavirus/country/sweden/" xr:uid="{0ADD9179-790B-450A-8C45-A646769E6D75}"/>
    <hyperlink ref="I18" r:id="rId52" display="https://www.worldometers.info/world-population/sweden-population/" xr:uid="{BD0E8DD8-12C3-4F8C-8901-0582B159AB86}"/>
    <hyperlink ref="C38" r:id="rId53" display="https://www.worldometers.info/coronavirus/country/ecuador/" xr:uid="{E3271403-A5E8-4CBC-ADFD-2668764AAC2F}"/>
    <hyperlink ref="I38" r:id="rId54" display="https://www.worldometers.info/world-population/ecuador-population/" xr:uid="{540417D7-6D97-4290-992C-5E637270BC0E}"/>
    <hyperlink ref="C44" r:id="rId55" display="https://www.worldometers.info/coronavirus/country/kazakhstan/" xr:uid="{34A41CA7-39B1-45C3-817D-1F5D70307610}"/>
    <hyperlink ref="I44" r:id="rId56" display="https://www.worldometers.info/world-population/kazakhstan-population/" xr:uid="{73DA6234-5FF9-48C1-B566-82DB9B15CA1E}"/>
    <hyperlink ref="C20" r:id="rId57" display="https://www.worldometers.info/coronavirus/country/belarus/" xr:uid="{655534D5-520A-4BD8-BA5F-14A7511C037F}"/>
    <hyperlink ref="I20" r:id="rId58" display="https://www.worldometers.info/world-population/belarus-population/" xr:uid="{8AF93180-AD46-4F51-85B3-927A065B14ED}"/>
    <hyperlink ref="C8" r:id="rId59" display="https://www.worldometers.info/coronavirus/country/oman/" xr:uid="{3346B95A-1479-44A4-9EED-F62B44301105}"/>
    <hyperlink ref="I8" r:id="rId60" display="https://www.worldometers.info/world-population/oman-population/" xr:uid="{C1FC6CAC-0C30-4541-918E-9A4DE023DFDE}"/>
    <hyperlink ref="C115" r:id="rId61" display="https://www.worldometers.info/coronavirus/country/philippines/" xr:uid="{459CB6E7-BBC0-449F-B28C-B505F8258165}"/>
    <hyperlink ref="I115" r:id="rId62" display="https://www.worldometers.info/world-population/philippines-population/" xr:uid="{ED2CE30E-F118-4873-AFE6-DC9F317D8007}"/>
    <hyperlink ref="C25" r:id="rId63" display="https://www.worldometers.info/coronavirus/country/belgium/" xr:uid="{0BF1F61F-8837-4989-ADC0-58DDA510440C}"/>
    <hyperlink ref="I25" r:id="rId64" display="https://www.worldometers.info/world-population/belgium-population/" xr:uid="{0A840D38-2308-460B-B79A-EAE3104D9A2B}"/>
    <hyperlink ref="C7" r:id="rId65" display="https://www.worldometers.info/coronavirus/country/kuwait/" xr:uid="{2BF8B57C-2867-4DDC-B4EA-772A631B4F46}"/>
    <hyperlink ref="I7" r:id="rId66" display="https://www.worldometers.info/world-population/kuwait-population/" xr:uid="{1D191459-6062-4ED0-B6A9-E41C9CCB948D}"/>
    <hyperlink ref="C85" r:id="rId67" display="https://www.worldometers.info/coronavirus/country/ukraine/" xr:uid="{7102A370-2EB9-4940-9AB1-9A22C1465F9F}"/>
    <hyperlink ref="I85" r:id="rId68" display="https://www.worldometers.info/world-population/ukraine-population/" xr:uid="{2D8C8869-67F8-4D74-B2B2-B33D24BBFEE7}"/>
    <hyperlink ref="C22" r:id="rId69" display="https://www.worldometers.info/coronavirus/country/united-arab-emirates/" xr:uid="{327A3316-5A83-4DC9-8E54-AF1B2A45FAEE}"/>
    <hyperlink ref="I22" r:id="rId70" display="https://www.worldometers.info/world-population/united-arab-emirates-population/" xr:uid="{18EDA048-30A0-438F-907C-A9DF3AE3CA7C}"/>
    <hyperlink ref="C33" r:id="rId71" display="https://www.worldometers.info/coronavirus/country/bolivia/" xr:uid="{5CCA9A7D-B55D-4FF3-9E8D-E28D21117E93}"/>
    <hyperlink ref="I33" r:id="rId72" display="https://www.worldometers.info/world-population/bolivia-population/" xr:uid="{4386E2BA-8283-412D-9F24-6D3B7A002ED1}"/>
    <hyperlink ref="C53" r:id="rId73" display="https://www.worldometers.info/coronavirus/country/netherlands/" xr:uid="{22FD1B3D-71F3-4CDD-8655-06184C3FD573}"/>
    <hyperlink ref="I53" r:id="rId74" display="https://www.worldometers.info/world-population/netherlands-population/" xr:uid="{E06BCC10-CA6E-47C9-9E46-1D56C98B0F37}"/>
    <hyperlink ref="C34" r:id="rId75" display="https://www.worldometers.info/coronavirus/country/dominican-republic/" xr:uid="{D7464144-60C7-4345-BF52-5D7D6F7096F1}"/>
    <hyperlink ref="I34" r:id="rId76" display="https://www.worldometers.info/world-population/dominican-republic-population/" xr:uid="{9D3F5C4A-90EB-453B-B8A5-7EB21755EE7E}"/>
    <hyperlink ref="C9" r:id="rId77" display="https://www.worldometers.info/coronavirus/country/panama/" xr:uid="{C088D0CF-2FFB-4253-B008-FF8E5F07FD32}"/>
    <hyperlink ref="I9" r:id="rId78" display="https://www.worldometers.info/world-population/panama-population/" xr:uid="{3DF4DE7A-0CF4-42D8-BFC5-D132885166F5}"/>
    <hyperlink ref="C35" r:id="rId79" display="https://www.worldometers.info/coronavirus/country/portugal/" xr:uid="{7AB66551-5C3F-45AA-8AA1-1AF1D4D6DC84}"/>
    <hyperlink ref="I35" r:id="rId80" display="https://www.worldometers.info/world-population/portugal-population/" xr:uid="{89851D4B-63EF-473E-BBCE-080DA9F9BE42}"/>
    <hyperlink ref="C17" r:id="rId81" display="https://www.worldometers.info/coronavirus/country/singapore/" xr:uid="{A9F0D149-B77B-43F4-BF5C-71538CB177C8}"/>
    <hyperlink ref="I17" r:id="rId82" display="https://www.worldometers.info/world-population/singapore-population/" xr:uid="{32E6AA0A-0DEC-4863-B752-EE5FA9E722BA}"/>
    <hyperlink ref="C30" r:id="rId83" display="https://www.worldometers.info/coronavirus/country/israel/" xr:uid="{72917840-CC22-4D09-BE1D-ECA43ECB9BF5}"/>
    <hyperlink ref="C94" r:id="rId84" display="https://www.worldometers.info/coronavirus/country/poland/" xr:uid="{C6162A8C-E20B-40E6-A076-AB625654D4EA}"/>
    <hyperlink ref="I94" r:id="rId85" display="https://www.worldometers.info/world-population/poland-population/" xr:uid="{72E6DA63-75D2-409A-B891-8748E9CE518E}"/>
    <hyperlink ref="C74" r:id="rId86" display="https://www.worldometers.info/coronavirus/country/romania/" xr:uid="{7A33AB59-428E-43F2-B49D-5C0E5F1A9AB8}"/>
    <hyperlink ref="I74" r:id="rId87" display="https://www.worldometers.info/world-population/romania-population/" xr:uid="{1532B4B7-6D71-4969-8FEE-3214A4168C1B}"/>
    <hyperlink ref="C4" r:id="rId88" display="https://www.worldometers.info/coronavirus/country/bahrain/" xr:uid="{0A361856-4DC0-47A1-A565-58DB8C38F106}"/>
    <hyperlink ref="I4" r:id="rId89" display="https://www.worldometers.info/world-population/bahrain-population/" xr:uid="{CC023443-52E9-49FE-93EF-682DB20461B1}"/>
    <hyperlink ref="C165" r:id="rId90" display="https://www.worldometers.info/coronavirus/country/nigeria/" xr:uid="{37E461E2-1FE9-4A1A-BC78-FF11885E1A04}"/>
    <hyperlink ref="I165" r:id="rId91" display="https://www.worldometers.info/world-population/nigeria-population/" xr:uid="{225664DC-439E-4682-86D9-2D222B9FC01D}"/>
    <hyperlink ref="C100" r:id="rId92" display="https://www.worldometers.info/coronavirus/country/afghanistan/" xr:uid="{2C68E56D-4339-4C79-8BF5-165E139E32B4}"/>
    <hyperlink ref="I100" r:id="rId93" display="https://www.worldometers.info/world-population/afghanistan-population/" xr:uid="{BACD2FCE-A6EE-4872-B720-4B74B4CFCD3A}"/>
    <hyperlink ref="C10" r:id="rId94" display="https://www.worldometers.info/coronavirus/country/armenia/" xr:uid="{7910E0BA-D34B-41D4-A131-59574F1FC8A5}"/>
    <hyperlink ref="I10" r:id="rId95" display="https://www.worldometers.info/world-population/armenia-population/" xr:uid="{CDC618D5-4FFC-4040-8C9A-60941877830E}"/>
    <hyperlink ref="C75" r:id="rId96" display="https://www.worldometers.info/coronavirus/country/guatemala/" xr:uid="{3D3F1013-B614-42DE-A482-A717505AD7BA}"/>
    <hyperlink ref="I75" r:id="rId97" display="https://www.worldometers.info/world-population/guatemala-population/" xr:uid="{34D8525A-6F74-4ABE-9D22-EC37DC4227E1}"/>
    <hyperlink ref="C41" r:id="rId98" display="https://www.worldometers.info/coronavirus/country/switzerland/" xr:uid="{A0E45A82-0946-48D7-93BE-60628183F5F3}"/>
    <hyperlink ref="I41" r:id="rId99" display="https://www.worldometers.info/world-population/switzerland-population/" xr:uid="{D4BFB69B-E09B-4DB3-9750-15AD1E195A22}"/>
    <hyperlink ref="C51" r:id="rId100" display="https://www.worldometers.info/coronavirus/country/honduras/" xr:uid="{699FF39B-4A4E-4125-94E0-5161DAD46D39}"/>
    <hyperlink ref="I51" r:id="rId101" display="https://www.worldometers.info/world-population/honduras-population/" xr:uid="{75E1953A-0B27-4B22-B719-51D55462FE13}"/>
    <hyperlink ref="C58" r:id="rId102" display="https://www.worldometers.info/coronavirus/country/azerbaijan/" xr:uid="{97F0B7D6-4D97-4EC6-ADCC-CFBCDD37EF04}"/>
    <hyperlink ref="I58" r:id="rId103" display="https://www.worldometers.info/world-population/azerbaijan-population/" xr:uid="{01941847-9FC0-4266-B71D-0C65B07FA354}"/>
    <hyperlink ref="C102" r:id="rId104" display="https://www.worldometers.info/coronavirus/country/ghana/" xr:uid="{361822E8-F85F-450A-BDCB-12FF3F47634E}"/>
    <hyperlink ref="I102" r:id="rId105" display="https://www.worldometers.info/world-population/ghana-population/" xr:uid="{B943A005-85FA-4670-935E-AE3A433009BB}"/>
    <hyperlink ref="C29" r:id="rId106" display="https://www.worldometers.info/coronavirus/country/ireland/" xr:uid="{3B9F08B6-3B4A-4EA4-A7A6-B369D5182861}"/>
    <hyperlink ref="I29" r:id="rId107" display="https://www.worldometers.info/world-population/ireland-population/" xr:uid="{6E39056D-AB96-41D6-81FE-74B4A10775FB}"/>
    <hyperlink ref="C164" r:id="rId108" display="https://www.worldometers.info/coronavirus/country/japan/" xr:uid="{5C2A7126-FEDF-4EF6-90E8-3F614D65AFF1}"/>
    <hyperlink ref="I164" r:id="rId109" display="https://www.worldometers.info/world-population/japan-population/" xr:uid="{CE2B8EE4-4330-472F-A6BE-C0E4E8912DC3}"/>
    <hyperlink ref="C118" r:id="rId110" display="https://www.worldometers.info/coronavirus/country/algeria/" xr:uid="{14F0E0D5-7AB9-43F7-B7C5-D6BD82530321}"/>
    <hyperlink ref="I118" r:id="rId111" display="https://www.worldometers.info/world-population/algeria-population/" xr:uid="{331F557E-8AF4-4972-AFA0-DB8674F8EBD0}"/>
    <hyperlink ref="C65" r:id="rId112" display="https://www.worldometers.info/coronavirus/country/serbia/" xr:uid="{E726D7B6-94BE-4357-8788-F8B932790F59}"/>
    <hyperlink ref="I65" r:id="rId113" display="https://www.worldometers.info/world-population/serbia-population/" xr:uid="{B0A85ACD-9DEC-461E-86B2-977BAA727EDC}"/>
    <hyperlink ref="C31" r:id="rId114" display="https://www.worldometers.info/coronavirus/country/moldova/" xr:uid="{78953C1E-1822-4124-961B-553FE4861AED}"/>
    <hyperlink ref="I31" r:id="rId115" display="https://www.worldometers.info/world-population/moldova-population/" xr:uid="{A4F13F9F-13D9-4F0B-A5F0-C79224BC95EB}"/>
    <hyperlink ref="C70" r:id="rId116" display="https://www.worldometers.info/coronavirus/country/austria/" xr:uid="{F6E0E930-C104-4941-8ED0-6E3D8CF90B5F}"/>
    <hyperlink ref="I70" r:id="rId117" display="https://www.worldometers.info/world-population/austria-population/" xr:uid="{6D6AAF18-162E-44A9-B93D-C3ABA5B8E5FF}"/>
    <hyperlink ref="C114" r:id="rId118" display="https://www.worldometers.info/coronavirus/country/nepal/" xr:uid="{CEE1960F-10CF-45BC-86CF-9D94BA867A9C}"/>
    <hyperlink ref="I114" r:id="rId119" display="https://www.worldometers.info/world-population/nepal-population/" xr:uid="{E50BA030-F9B3-45B1-B022-2677FF6CFCEB}"/>
    <hyperlink ref="C126" r:id="rId120" display="https://www.worldometers.info/coronavirus/country/morocco/" xr:uid="{AAC0D328-5513-4B1B-BD8E-A4E96158B051}"/>
    <hyperlink ref="I126" r:id="rId121" display="https://www.worldometers.info/world-population/morocco-population/" xr:uid="{8975F7ED-51DA-4BD2-8F9D-189455152FB4}"/>
    <hyperlink ref="C112" r:id="rId122" display="https://www.worldometers.info/coronavirus/country/cameroon/" xr:uid="{A3EE57F7-6DA8-4440-9B0B-EFD3C2A8F491}"/>
    <hyperlink ref="I112" r:id="rId123" display="https://www.worldometers.info/world-population/cameroon-population/" xr:uid="{65C776A5-93D5-467B-A94B-59CF14804B6B}"/>
    <hyperlink ref="C124" r:id="rId124" display="https://www.worldometers.info/coronavirus/country/uzbekistan/" xr:uid="{09433C8D-6E69-47E7-8ED0-08321CC5ED2A}"/>
    <hyperlink ref="I124" r:id="rId125" display="https://www.worldometers.info/world-population/uzbekistan-population/" xr:uid="{9728B33B-3735-4E5D-BCC4-923981513D00}"/>
    <hyperlink ref="C87" r:id="rId126" display="https://www.worldometers.info/coronavirus/country/czech-republic/" xr:uid="{CAB62987-E943-48E2-B9F5-A37D89FCAABF}"/>
    <hyperlink ref="I87" r:id="rId127" display="https://www.worldometers.info/world-population/czech-republic-population/" xr:uid="{C897EA6E-8755-405D-9C55-DDB4283911F9}"/>
    <hyperlink ref="C146" r:id="rId128" display="https://www.worldometers.info/coronavirus/country/south-korea/" xr:uid="{F5D01C03-7A90-4112-AA2C-6ACDC863ADE9}"/>
    <hyperlink ref="I146" r:id="rId129" display="https://www.worldometers.info/world-population/south-korea-population/" xr:uid="{8CD56DF9-8F58-4835-A116-BF76E3AA8183}"/>
    <hyperlink ref="C116" r:id="rId130" display="https://www.worldometers.info/coronavirus/country/cote-d-ivoire/" xr:uid="{F35A9D40-0431-4529-BF53-5FB43E7997F0}"/>
    <hyperlink ref="I116" r:id="rId131" display="https://www.worldometers.info/world-population/cote-d-ivoire-population/" xr:uid="{7F854E55-0537-429F-A9DF-0A4059516A14}"/>
    <hyperlink ref="C66" r:id="rId132" display="https://www.worldometers.info/coronavirus/country/denmark/" xr:uid="{21BF593F-A8D1-421A-9DBC-0C530AA2C604}"/>
    <hyperlink ref="I66" r:id="rId133" display="https://www.worldometers.info/world-population/denmark-population/" xr:uid="{6D17A3FB-DB6B-4BC7-A7D6-125F3646288A}"/>
    <hyperlink ref="C71" r:id="rId134" display="https://www.worldometers.info/coronavirus/country/kyrgyzstan/" xr:uid="{F6FC2947-983F-4A22-8B3E-20F9B5B61A33}"/>
    <hyperlink ref="I71" r:id="rId135" display="https://www.worldometers.info/world-population/kyrgyzstan-population/" xr:uid="{58E51D44-0C19-4992-9440-61C0A8F5452B}"/>
    <hyperlink ref="C155" r:id="rId136" display="https://www.worldometers.info/coronavirus/country/kenya/" xr:uid="{8868837A-8F92-43DA-B7BE-F74596D548F1}"/>
    <hyperlink ref="I155" r:id="rId137" display="https://www.worldometers.info/world-population/kenya-population/" xr:uid="{4D89E49D-784C-4B25-A7BC-C0C322F3F6BE}"/>
    <hyperlink ref="C77" r:id="rId138" display="https://www.worldometers.info/coronavirus/country/el-salvador/" xr:uid="{11438614-CD99-4F8B-8C4A-D2032EFD62CE}"/>
    <hyperlink ref="I77" r:id="rId139" display="https://www.worldometers.info/world-population/el-salvador-population/" xr:uid="{BD357B4C-0301-4B31-85BA-D515C07C0451}"/>
    <hyperlink ref="C127" r:id="rId140" display="https://www.worldometers.info/coronavirus/country/australia/" xr:uid="{46882761-0EDC-4F4A-BA76-3DF638A1A70B}"/>
    <hyperlink ref="I127" r:id="rId141" display="https://www.worldometers.info/world-population/australia-population/" xr:uid="{DF08D611-D4BE-40B0-A36E-46FFD6244875}"/>
    <hyperlink ref="C131" r:id="rId142" display="https://www.worldometers.info/coronavirus/country/venezuela/" xr:uid="{4429B7C0-2720-440D-A1A3-603E9599F518}"/>
    <hyperlink ref="I131" r:id="rId143" display="https://www.worldometers.info/world-population/venezuela-population/" xr:uid="{D373DA93-56D1-4264-9FEE-DEA651600B44}"/>
    <hyperlink ref="C153" r:id="rId144" display="https://www.worldometers.info/coronavirus/country/sudan/" xr:uid="{36497133-1063-472F-9710-38BFCEC22858}"/>
    <hyperlink ref="I153" r:id="rId145" display="https://www.worldometers.info/world-population/sudan-population/" xr:uid="{4C3C8392-94EE-441E-A69C-3B89C4BD9302}"/>
    <hyperlink ref="C72" r:id="rId146" display="https://www.worldometers.info/coronavirus/country/costa-rica/" xr:uid="{C6B42DCE-211B-4903-BD87-EA3E3C38C315}"/>
    <hyperlink ref="I72" r:id="rId147" display="https://www.worldometers.info/world-population/costa-rica-population/" xr:uid="{2A3444C0-1E1D-4E42-9A82-E332C1B422C1}"/>
    <hyperlink ref="C78" r:id="rId148" display="https://www.worldometers.info/coronavirus/country/norway/" xr:uid="{23DFFA0E-5343-4A80-8EAD-68FD220835A9}"/>
    <hyperlink ref="I78" r:id="rId149" display="https://www.worldometers.info/world-population/norway-population/" xr:uid="{95A2FADE-2B1D-4142-AA97-18021763A1B2}"/>
    <hyperlink ref="C185" r:id="rId150" display="https://www.worldometers.info/coronavirus/country/ethiopia/" xr:uid="{4D69E70B-0246-490F-9770-331D8359A7A8}"/>
    <hyperlink ref="I185" r:id="rId151" display="https://www.worldometers.info/world-population/ethiopia-population/" xr:uid="{D19A45EA-CB6F-445B-92EF-3615B415F1F1}"/>
    <hyperlink ref="C37" r:id="rId152" display="https://www.worldometers.info/coronavirus/country/macedonia/" xr:uid="{8FF4BD0D-F02D-4C04-996F-3A1A577EEBC6}"/>
    <hyperlink ref="I37" r:id="rId153" display="https://www.worldometers.info/world-population/macedonia-population/" xr:uid="{6803FEBC-8BAC-4ADC-93DA-C6094B4C1D18}"/>
    <hyperlink ref="C144" r:id="rId154" display="https://www.worldometers.info/coronavirus/country/malaysia/" xr:uid="{21677D17-7121-45F9-B901-80A02BF52D55}"/>
    <hyperlink ref="I144" r:id="rId155" display="https://www.worldometers.info/world-population/malaysia-population/" xr:uid="{5A6C0A55-ECCB-4358-B721-BF0A88BF755A}"/>
    <hyperlink ref="C117" r:id="rId156" display="https://www.worldometers.info/coronavirus/country/senegal/" xr:uid="{486D35AC-9A22-4C0B-BB34-46CE36AA4ADD}"/>
    <hyperlink ref="I117" r:id="rId157" display="https://www.worldometers.info/world-population/senegal-population/" xr:uid="{985EF80D-E91A-467F-979E-2EDC8B9E85C3}"/>
    <hyperlink ref="C90" r:id="rId158" display="https://www.worldometers.info/coronavirus/country/bulgaria/" xr:uid="{FB66C013-E914-4950-B13C-5CE338C77558}"/>
    <hyperlink ref="I90" r:id="rId159" display="https://www.worldometers.info/world-population/bulgaria-population/" xr:uid="{1DEF50F1-F6C0-4EBA-A779-E0C1C0EEC6CC}"/>
    <hyperlink ref="C181" r:id="rId160" display="https://www.worldometers.info/coronavirus/country/democratic-republic-of-the-congo/" xr:uid="{B8373E8E-F92E-4DAC-9606-06D4D4988FDC}"/>
    <hyperlink ref="I181" r:id="rId161" display="https://www.worldometers.info/world-population/democratic-republic-of-the-congo-population/" xr:uid="{6793B4C6-8E49-40EF-888F-D921889054D8}"/>
    <hyperlink ref="C80" r:id="rId162" display="https://www.worldometers.info/coronavirus/country/state-of-palestine/" xr:uid="{DFA4617F-39E6-4D69-BB0D-129ADD1E7DC1}"/>
    <hyperlink ref="I80" r:id="rId163" display="https://www.worldometers.info/world-population/state-of-palestine-population/" xr:uid="{F55F1E08-1B84-496D-95DB-A4D8AC488479}"/>
    <hyperlink ref="C62" r:id="rId164" display="https://www.worldometers.info/coronavirus/country/bosnia-and-herzegovina/" xr:uid="{4C89C809-2250-4194-8E9B-2A1A122A7DEB}"/>
    <hyperlink ref="I62" r:id="rId165" display="https://www.worldometers.info/world-population/bosnia-and-herzegovina-population/" xr:uid="{04143029-7B30-4D33-BC3B-98AA0D251F7E}"/>
    <hyperlink ref="C86" r:id="rId166" display="https://www.worldometers.info/coronavirus/country/finland/" xr:uid="{15A9EBE7-DD98-4235-B17D-7F87812853F7}"/>
    <hyperlink ref="I86" r:id="rId167" display="https://www.worldometers.info/world-population/finland-population/" xr:uid="{143C0268-92DB-4FB3-8DF2-F7CD82B2D8E2}"/>
    <hyperlink ref="C111" r:id="rId168" display="https://www.worldometers.info/coronavirus/country/haiti/" xr:uid="{8663B6FD-E23B-4293-97BF-FE704B120D3F}"/>
    <hyperlink ref="I111" r:id="rId169" display="https://www.worldometers.info/world-population/haiti-population/" xr:uid="{E6896B4A-BB78-483B-B1F0-A831F1EFA07F}"/>
    <hyperlink ref="C152" r:id="rId170" display="https://www.worldometers.info/coronavirus/country/madagascar/" xr:uid="{9C4D5B9E-F95D-44EB-9BA8-E08650EFF362}"/>
    <hyperlink ref="I152" r:id="rId171" display="https://www.worldometers.info/world-population/madagascar-population/" xr:uid="{34C94905-F1F2-4684-8CE2-430E42CAB850}"/>
    <hyperlink ref="C106" r:id="rId172" display="https://www.worldometers.info/coronavirus/country/tajikistan/" xr:uid="{BDE88087-C8E4-4BED-B8D9-294E0484D82C}"/>
    <hyperlink ref="I106" r:id="rId173" display="https://www.worldometers.info/world-population/tajikistan-population/" xr:uid="{B67F3B62-9A0D-46B0-A262-891293EE4100}"/>
    <hyperlink ref="C3" r:id="rId174" display="https://www.worldometers.info/coronavirus/country/french-guiana/" xr:uid="{14F24E94-3DE9-49EF-AB1B-CDD65D5E08B2}"/>
    <hyperlink ref="I3" r:id="rId175" display="https://www.worldometers.info/world-population/french-guiana-population/" xr:uid="{512A72D1-A1F3-4698-85CD-F2B863FC73CC}"/>
    <hyperlink ref="C119" r:id="rId176" display="https://www.worldometers.info/coronavirus/country/guinea/" xr:uid="{521A6B41-ED16-422C-A3B7-0AD3F5C2225C}"/>
    <hyperlink ref="I119" r:id="rId177" display="https://www.worldometers.info/world-population/guinea-population/" xr:uid="{705C19C6-7A60-449A-B548-1F0C24FD2A0D}"/>
    <hyperlink ref="C55" r:id="rId178" display="https://www.worldometers.info/coronavirus/country/gabon/" xr:uid="{683155B0-7513-4C88-8202-D3555A61BEEA}"/>
    <hyperlink ref="I55" r:id="rId179" display="https://www.worldometers.info/world-population/gabon-population/" xr:uid="{FB387598-6F07-4F55-8690-642FAB03DF76}"/>
    <hyperlink ref="C88" r:id="rId180" display="https://www.worldometers.info/coronavirus/country/mauritania/" xr:uid="{9FF65330-BB75-4EED-BD0C-2840500AD053}"/>
    <hyperlink ref="I88" r:id="rId181" display="https://www.worldometers.info/world-population/mauritania-population/" xr:uid="{05AB302E-F3CE-4D75-96F8-EC043BD0662A}"/>
    <hyperlink ref="C16" r:id="rId182" display="https://www.worldometers.info/coronavirus/country/luxembourg/" xr:uid="{DF2BE2F3-1F03-4E70-AAF2-0067C0919A86}"/>
    <hyperlink ref="I16" r:id="rId183" display="https://www.worldometers.info/world-population/luxembourg-population/" xr:uid="{E7ADC25F-3B3A-4F30-BE49-940361EC9145}"/>
    <hyperlink ref="C32" r:id="rId184" display="https://www.worldometers.info/coronavirus/country/djibouti/" xr:uid="{C83A3777-7460-468C-A11B-45D9F315E92B}"/>
    <hyperlink ref="I32" r:id="rId185" display="https://www.worldometers.info/world-population/djibouti-population/" xr:uid="{1CEB06EA-6DE4-45D7-B211-5060B5A536CB}"/>
    <hyperlink ref="C99" r:id="rId186" display="https://www.worldometers.info/coronavirus/country/central-african-republic/" xr:uid="{62B18B63-E6FC-4E4C-8CE0-2ADA92173BE2}"/>
    <hyperlink ref="I99" r:id="rId187" display="https://www.worldometers.info/world-population/central-african-republic-population/" xr:uid="{83C9123F-4C37-489E-B2D1-B289FB9D9412}"/>
    <hyperlink ref="C128" r:id="rId188" display="https://www.worldometers.info/coronavirus/country/hungary/" xr:uid="{B956CF74-B0BE-4716-AA1C-0BA2EDC9B21C}"/>
    <hyperlink ref="I128" r:id="rId189" display="https://www.worldometers.info/world-population/hungary-population/" xr:uid="{A6743295-A654-41D4-8641-AC0BA1E5F6EA}"/>
    <hyperlink ref="C96" r:id="rId190" display="https://www.worldometers.info/coronavirus/country/croatia/" xr:uid="{507B02D3-4BD6-46DC-9376-BD157536516B}"/>
    <hyperlink ref="I96" r:id="rId191" display="https://www.worldometers.info/world-population/croatia-population/" xr:uid="{2FCC62A8-F784-4A88-9EFD-88DC0FE8DBF2}"/>
    <hyperlink ref="C132" r:id="rId192" display="https://www.worldometers.info/coronavirus/country/greece/" xr:uid="{73F365B6-3447-487B-B4BF-B917920429A5}"/>
    <hyperlink ref="I132" r:id="rId193" display="https://www.worldometers.info/world-population/greece-population/" xr:uid="{CEB3EF24-6CCD-4F93-AC15-D9CC1D7BE681}"/>
    <hyperlink ref="C84" r:id="rId194" display="https://www.worldometers.info/coronavirus/country/albania/" xr:uid="{52445B22-8387-40B4-AE99-EE708CA92EE2}"/>
    <hyperlink ref="I84" r:id="rId195" display="https://www.worldometers.info/world-population/albania-population/" xr:uid="{74DE4507-1108-43AE-BF42-72986387936A}"/>
    <hyperlink ref="C121" r:id="rId196" display="https://www.worldometers.info/coronavirus/country/paraguay/" xr:uid="{BAE05DBD-961F-4D40-97FB-BB2BE3C4FC65}"/>
    <hyperlink ref="I121" r:id="rId197" display="https://www.worldometers.info/world-population/paraguay-population/" xr:uid="{7D9C0981-B5A5-4F4C-BFF9-7E379E434E24}"/>
    <hyperlink ref="C192" r:id="rId198" display="https://www.worldometers.info/coronavirus/country/thailand/" xr:uid="{44CA22D7-194A-461E-B2F3-7AE9F0AA5775}"/>
    <hyperlink ref="I192" r:id="rId199" display="https://www.worldometers.info/world-population/thailand-population/" xr:uid="{E6546D52-8857-4484-9456-FEDF9BC0C6E8}"/>
    <hyperlink ref="C123" r:id="rId200" display="https://www.worldometers.info/coronavirus/country/nicaragua/" xr:uid="{B6400312-D6D8-4667-A281-B5DE1F8D5CAF}"/>
    <hyperlink ref="I123" r:id="rId201" display="https://www.worldometers.info/world-population/nicaragua-population/" xr:uid="{55442B01-8935-477D-8161-5680F1C667A9}"/>
    <hyperlink ref="C163" r:id="rId202" display="https://www.worldometers.info/coronavirus/country/somalia/" xr:uid="{4B7DD4F2-9B03-44B1-A74A-16CBD0BAFFF6}"/>
    <hyperlink ref="I163" r:id="rId203" display="https://www.worldometers.info/world-population/somalia-population/" xr:uid="{67CE64EB-6E17-43C8-BD93-C091E7A18808}"/>
    <hyperlink ref="C69" r:id="rId204" display="https://www.worldometers.info/coronavirus/country/equatorial-guinea/" xr:uid="{A4B09DE5-6D1A-4513-AE52-7738CC63EED2}"/>
    <hyperlink ref="I69" r:id="rId205" display="https://www.worldometers.info/world-population/equatorial-guinea-population/" xr:uid="{9BAAB135-BA66-4A2F-94EF-19044D511C60}"/>
    <hyperlink ref="C168" r:id="rId206" display="https://www.worldometers.info/coronavirus/country/zambia/" xr:uid="{5F23361D-FAB0-4EA7-9723-F6CB7A80528E}"/>
    <hyperlink ref="I168" r:id="rId207" display="https://www.worldometers.info/world-population/zambia-population/" xr:uid="{4FA6836D-4FFC-455C-B8B9-42E703FD4546}"/>
    <hyperlink ref="C26" r:id="rId208" display="https://www.worldometers.info/coronavirus/country/maldives/" xr:uid="{8E0DD068-2808-4384-BF7D-DD3935794A9F}"/>
    <hyperlink ref="I26" r:id="rId209" display="https://www.worldometers.info/world-population/maldives-population/" xr:uid="{6889DBE1-61E9-4FF6-8C0D-01CE64800E95}"/>
    <hyperlink ref="C169" r:id="rId210" display="https://www.worldometers.info/coronavirus/country/malawi/" xr:uid="{C4AE0001-4DC4-4FB6-896B-D149F6C5BFC6}"/>
    <hyperlink ref="I169" r:id="rId211" display="https://www.worldometers.info/world-population/malawi-population/" xr:uid="{729F8E6E-4CC7-44A5-802C-7F9F476628C6}"/>
    <hyperlink ref="C14" r:id="rId212" display="https://www.worldometers.info/coronavirus/country/mayotte/" xr:uid="{4C1FE311-040C-457A-B19C-6DC524427236}"/>
    <hyperlink ref="I14" r:id="rId213" display="https://www.worldometers.info/world-population/mayotte-population/" xr:uid="{98EB1E8B-8833-421B-9CBC-4671D3FE808E}"/>
    <hyperlink ref="C171" r:id="rId214" display="https://www.worldometers.info/coronavirus/country/sri-lanka/" xr:uid="{21697158-3691-4AB6-8C76-B2B97B1E654C}"/>
    <hyperlink ref="I171" r:id="rId215" display="https://www.worldometers.info/world-population/sri-lanka-population/" xr:uid="{AD920D03-8194-4C2D-827C-CD3C8260E5BE}"/>
    <hyperlink ref="C130" r:id="rId216" display="https://www.worldometers.info/coronavirus/country/lebanon/" xr:uid="{EF36832A-483A-42BD-B3B7-79FF597FE2CD}"/>
    <hyperlink ref="I130" r:id="rId217" display="https://www.worldometers.info/world-population/lebanon-population/" xr:uid="{FB9E4E76-0F13-463D-973E-832FB5EEB17B}"/>
    <hyperlink ref="C122" r:id="rId218" display="https://www.worldometers.info/coronavirus/country/congo/" xr:uid="{CD51938A-7B02-4D80-8403-C09C365CCFA7}"/>
    <hyperlink ref="I122" r:id="rId219" display="https://www.worldometers.info/world-population/congo-population/" xr:uid="{C77C1D20-A4AF-4725-AA4A-A9ECDA26E083}"/>
    <hyperlink ref="C173" r:id="rId220" display="https://www.worldometers.info/coronavirus/country/mali/" xr:uid="{288E46F8-5998-478D-B828-65AA3C38CDAF}"/>
    <hyperlink ref="I173" r:id="rId221" display="https://www.worldometers.info/world-population/mali-population/" xr:uid="{BB0BF390-A820-42EF-AA51-4603372D5272}"/>
    <hyperlink ref="C158" r:id="rId222" display="https://www.worldometers.info/coronavirus/country/cuba/" xr:uid="{ED234CC0-8EB3-4744-AFEB-5998224258A7}"/>
    <hyperlink ref="I158" r:id="rId223" display="https://www.worldometers.info/world-population/cuba-population/" xr:uid="{2B04643B-DE0B-4EA1-9561-DC31C8C7A218}"/>
    <hyperlink ref="C162" r:id="rId224" display="https://www.worldometers.info/coronavirus/country/south-sudan/" xr:uid="{E97435F7-A243-441D-9860-C8466D02276F}"/>
    <hyperlink ref="I162" r:id="rId225" display="https://www.worldometers.info/world-population/south-sudan-population/" xr:uid="{EECD2919-4604-4CD9-B716-6BBEC35A2AF9}"/>
    <hyperlink ref="C49" r:id="rId226" display="https://www.worldometers.info/coronavirus/country/montenegro/" xr:uid="{2860EA07-163D-4E95-B1ED-D13AA2096792}"/>
    <hyperlink ref="I49" r:id="rId227" display="https://www.worldometers.info/world-population/montenegro-population/" xr:uid="{69E08AAC-63C2-4082-9C07-6243E637634E}"/>
    <hyperlink ref="C82" r:id="rId228" display="https://www.worldometers.info/coronavirus/country/estonia/" xr:uid="{445270CE-289C-4F1F-8272-CD3E948B8C71}"/>
    <hyperlink ref="I82" r:id="rId229" display="https://www.worldometers.info/world-population/estonia-population/" xr:uid="{2FE7FC93-3BFB-454F-99CF-D244E7D25AE3}"/>
    <hyperlink ref="C135" r:id="rId230" display="https://www.worldometers.info/coronavirus/country/slovakia/" xr:uid="{09A7E9AC-2AC1-4D59-809E-A6CFF0AC5826}"/>
    <hyperlink ref="I135" r:id="rId231" display="https://www.worldometers.info/world-population/slovakia-population/" xr:uid="{50DA5930-5332-42A0-8367-221D181492A9}"/>
    <hyperlink ref="C98" r:id="rId232" display="https://www.worldometers.info/coronavirus/country/slovenia/" xr:uid="{0AD77F70-42D1-4D4C-9A7D-7944EAE33A74}"/>
    <hyperlink ref="I98" r:id="rId233" display="https://www.worldometers.info/world-population/slovenia-population/" xr:uid="{556FD9EC-0D50-4AB9-943E-9A4C99C5AEC4}"/>
    <hyperlink ref="C46" r:id="rId234" display="https://www.worldometers.info/coronavirus/country/cabo-verde/" xr:uid="{E22D2151-1C70-4802-89A1-DDE2E8A245D2}"/>
    <hyperlink ref="I46" r:id="rId235" display="https://www.worldometers.info/world-population/cabo-verde-population/" xr:uid="{9A2651CE-25E2-4C53-B3B3-1F139C758EF1}"/>
    <hyperlink ref="C97" r:id="rId236" display="https://www.worldometers.info/coronavirus/country/guinea-bissau/" xr:uid="{BF5B5802-B00E-45B1-BE65-67E79DCF324A}"/>
    <hyperlink ref="I97" r:id="rId237" display="https://www.worldometers.info/world-population/guinea-bissau-population/" xr:uid="{8DF3BBE3-6A37-4684-A7AF-9899A4E1FF9E}"/>
    <hyperlink ref="C24" r:id="rId238" display="https://www.worldometers.info/coronavirus/country/iceland/" xr:uid="{7B88006A-CE02-4297-A73B-0AFDE26B61CB}"/>
    <hyperlink ref="I24" r:id="rId239" display="https://www.worldometers.info/world-population/iceland-population/" xr:uid="{7A4FF9A0-5A0F-42E8-9499-BA0ECAC78012}"/>
    <hyperlink ref="C107" r:id="rId240" display="https://www.worldometers.info/coronavirus/country/lithuania/" xr:uid="{445DF6AC-997B-4A7A-A193-AEAF18A1273E}"/>
    <hyperlink ref="I107" r:id="rId241" display="https://www.worldometers.info/world-population/lithuania-population/" xr:uid="{4E612F88-C1E4-464F-8C81-6C42A668100D}"/>
    <hyperlink ref="C148" r:id="rId242" display="https://www.worldometers.info/coronavirus/country/libya/" xr:uid="{576F1241-E7A1-4877-8A01-17CF4A247BD6}"/>
    <hyperlink ref="I148" r:id="rId243" display="https://www.worldometers.info/world-population/libya-population/" xr:uid="{F63FF8A3-40B2-4696-870E-EDE6826FCB8E}"/>
    <hyperlink ref="C154" r:id="rId244" display="https://www.worldometers.info/coronavirus/country/china-hong-kong-sar/" xr:uid="{C587976D-1471-4A39-8260-784F4FAE7AB8}"/>
    <hyperlink ref="I154" r:id="rId245" display="https://www.worldometers.info/world-population/china-hong-kong-sar-population/" xr:uid="{CED03F6A-0277-4B18-8864-40671E3F0EEA}"/>
    <hyperlink ref="C160" r:id="rId246" display="https://www.worldometers.info/coronavirus/country/sierra-leone/" xr:uid="{B8EFB24A-CE10-46DE-B433-1A4A2FC96E10}"/>
    <hyperlink ref="I160" r:id="rId247" display="https://www.worldometers.info/world-population/sierra-leone-population/" xr:uid="{50CF205D-D129-44D1-91DB-04AEA39D6327}"/>
    <hyperlink ref="C83" r:id="rId248" display="https://www.worldometers.info/coronavirus/country/swaziland/" xr:uid="{C9230C1A-5FE6-46C4-AD3A-D09A9C99E060}"/>
    <hyperlink ref="I83" r:id="rId249" display="https://www.worldometers.info/world-population/swaziland-population/" xr:uid="{0F26B3BE-35E1-48E8-ACD9-95C003E1978D}"/>
    <hyperlink ref="C170" r:id="rId250" display="https://www.worldometers.info/coronavirus/country/benin/" xr:uid="{84BEC8A7-7A0E-4C7D-8F26-A5BCBD39B85B}"/>
    <hyperlink ref="I170" r:id="rId251" display="https://www.worldometers.info/world-population/benin-population/" xr:uid="{13CD5A98-B058-4DDD-AA14-D82C77C510AE}"/>
    <hyperlink ref="C190" r:id="rId252" display="https://www.worldometers.info/coronavirus/country/yemen/" xr:uid="{BF5C7B7C-4D5C-4D36-B285-A2C5D3CBEB1A}"/>
    <hyperlink ref="I190" r:id="rId253" display="https://www.worldometers.info/world-population/yemen-population/" xr:uid="{B8934B5D-34E8-4235-AA26-089CA4FE885B}"/>
    <hyperlink ref="C142" r:id="rId254" display="https://www.worldometers.info/coronavirus/country/new-zealand/" xr:uid="{B3EEE3DB-391E-409C-AB58-0C8D7BF5EF23}"/>
    <hyperlink ref="C175" r:id="rId255" display="https://www.worldometers.info/coronavirus/country/rwanda/" xr:uid="{61BBC4CF-3E08-4517-A9C6-C43A2B52D1BF}"/>
    <hyperlink ref="I175" r:id="rId256" display="https://www.worldometers.info/world-population/rwanda-population/" xr:uid="{99B1A014-FDDE-415E-B28F-710076953E4D}"/>
    <hyperlink ref="C193" r:id="rId257" display="https://www.worldometers.info/coronavirus/country/mozambique/" xr:uid="{D19369DB-F960-4374-9A09-3844893CAC2F}"/>
    <hyperlink ref="I193" r:id="rId258" display="https://www.worldometers.info/world-population/mozambique-population/" xr:uid="{495954AA-77E0-4621-BE29-025A983FBD0E}"/>
    <hyperlink ref="C180" r:id="rId259" display="https://www.worldometers.info/coronavirus/country/zimbabwe/" xr:uid="{2B330610-7424-4C11-A8C8-D870DC940B71}"/>
    <hyperlink ref="I180" r:id="rId260" display="https://www.worldometers.info/world-population/zimbabwe-population/" xr:uid="{01AD57DE-0EDB-4FD2-AC3E-C8EFE2CF7C7B}"/>
    <hyperlink ref="C176" r:id="rId261" display="https://www.worldometers.info/coronavirus/country/tunisia/" xr:uid="{F0DDFE1D-B4E9-44FF-BA57-0018F2585101}"/>
    <hyperlink ref="I176" r:id="rId262" display="https://www.worldometers.info/world-population/tunisia-population/" xr:uid="{45C6C59F-EFF5-4EC3-B2A4-88D3AE781E16}"/>
    <hyperlink ref="C174" r:id="rId263" display="https://www.worldometers.info/coronavirus/country/jordan/" xr:uid="{FCD06FBA-5AAC-440D-A489-CDAD2078583A}"/>
    <hyperlink ref="I174" r:id="rId264" display="https://www.worldometers.info/world-population/jordan-population/" xr:uid="{A267BC87-EFFE-440C-B4F6-190D01DFFBE0}"/>
    <hyperlink ref="C125" r:id="rId265" display="https://www.worldometers.info/coronavirus/country/namibia/" xr:uid="{27AA3E16-29E4-400A-921D-823060B64A99}"/>
    <hyperlink ref="I125" r:id="rId266" display="https://www.worldometers.info/world-population/namibia-population/" xr:uid="{7D57208C-8D68-4F0C-A39E-095FA4CAB4A2}"/>
    <hyperlink ref="C110" r:id="rId267" display="https://www.worldometers.info/coronavirus/country/latvia/" xr:uid="{54C9CB52-9FF1-4CA7-B693-294FD3B60413}"/>
    <hyperlink ref="I110" r:id="rId268" display="https://www.worldometers.info/world-population/latvia-population/" xr:uid="{EE083B5B-ED1B-4576-BA87-DC1FFD9BEF59}"/>
    <hyperlink ref="C194" r:id="rId269" display="https://www.worldometers.info/coronavirus/country/niger/" xr:uid="{1C6DFC79-652E-4F89-AA9F-905B0F230409}"/>
    <hyperlink ref="I194" r:id="rId270" display="https://www.worldometers.info/world-population/niger-population/" xr:uid="{7C6D6C4B-3EF9-4443-8C43-C6B078B7208E}"/>
    <hyperlink ref="C159" r:id="rId271" display="https://www.worldometers.info/coronavirus/country/liberia/" xr:uid="{FB2933CE-07C5-41F7-A2E1-83DDD851493C}"/>
    <hyperlink ref="I159" r:id="rId272" display="https://www.worldometers.info/world-population/liberia-population/" xr:uid="{3A1DA13E-B673-434B-869F-E161F07BC573}"/>
    <hyperlink ref="C199" r:id="rId273" display="https://www.worldometers.info/coronavirus/country/uganda/" xr:uid="{A8ADBF3C-D353-417B-833B-BA226C271C6A}"/>
    <hyperlink ref="I199" r:id="rId274" display="https://www.worldometers.info/world-population/uganda-population/" xr:uid="{30081ACA-C592-4334-B1DA-FD62ABF2B164}"/>
    <hyperlink ref="C191" r:id="rId275" display="https://www.worldometers.info/coronavirus/country/burkina-faso/" xr:uid="{9ACBBB65-890C-41F3-96CC-AC84B980E81A}"/>
    <hyperlink ref="I191" r:id="rId276" display="https://www.worldometers.info/world-population/burkina-faso-population/" xr:uid="{EE5C19D4-D45F-4682-9FB1-DF66BB4A3D52}"/>
    <hyperlink ref="C143" r:id="rId277" display="https://www.worldometers.info/coronavirus/country/uruguay/" xr:uid="{B13705C5-ABF3-4192-A388-88B0775EFB16}"/>
    <hyperlink ref="I143" r:id="rId278" display="https://www.worldometers.info/world-population/uruguay-population/" xr:uid="{8FE49EAC-9237-4E11-9656-11B36FF0BF49}"/>
    <hyperlink ref="C101" r:id="rId279" display="https://www.worldometers.info/coronavirus/country/cyprus/" xr:uid="{3C56B905-E28C-426A-9172-B8B5C035097A}"/>
    <hyperlink ref="I101" r:id="rId280" display="https://www.worldometers.info/world-population/cyprus-population/" xr:uid="{706AD09C-C0D5-4AF6-B77A-83F3DE3193C5}"/>
    <hyperlink ref="C150" r:id="rId281" display="https://www.worldometers.info/coronavirus/country/georgia/" xr:uid="{038E7CCA-5286-419C-A842-58CDD51550DC}"/>
    <hyperlink ref="I150" r:id="rId282" display="https://www.worldometers.info/world-population/georgia-population/" xr:uid="{B158D7AD-5F5F-48FA-A0AD-C8338DCAFBE1}"/>
    <hyperlink ref="C79" r:id="rId283" display="https://www.worldometers.info/coronavirus/country/suriname/" xr:uid="{226A0D19-0B5D-4EAA-B73D-9C7826E0AE2E}"/>
    <hyperlink ref="I79" r:id="rId284" display="https://www.worldometers.info/world-population/suriname-population/" xr:uid="{A93C14CF-43DB-4159-9CDB-8E6503994883}"/>
    <hyperlink ref="C189" r:id="rId285" display="https://www.worldometers.info/coronavirus/country/chad/" xr:uid="{7274E0D1-E84A-4D27-91CA-F7DCC9C7D8C8}"/>
    <hyperlink ref="I189" r:id="rId286" display="https://www.worldometers.info/world-population/chad-population/" xr:uid="{F118F9E8-E1D8-4C52-842D-8F397EDD4634}"/>
    <hyperlink ref="C12" r:id="rId287" display="https://www.worldometers.info/coronavirus/country/andorra/" xr:uid="{4B685990-07F5-45A1-83E6-AF056E8CA9C3}"/>
    <hyperlink ref="I12" r:id="rId288" display="https://www.worldometers.info/world-population/andorra-population/" xr:uid="{6B1DFC98-A376-4442-B0F1-94D916EDF30E}"/>
    <hyperlink ref="C149" r:id="rId289" display="https://www.worldometers.info/coronavirus/country/jamaica/" xr:uid="{2CA5F954-8F1D-4F38-915B-A02CF46E64D7}"/>
    <hyperlink ref="I149" r:id="rId290" display="https://www.worldometers.info/world-population/jamaica-population/" xr:uid="{81E07A97-3C50-4881-909A-BF5A447F0974}"/>
    <hyperlink ref="C182" r:id="rId291" display="https://www.worldometers.info/coronavirus/country/togo/" xr:uid="{DC35949D-D0A8-43A5-A028-A1C697F8055D}"/>
    <hyperlink ref="I182" r:id="rId292" display="https://www.worldometers.info/world-population/togo-population/" xr:uid="{949ADC1D-484A-433A-9CCB-36EC5E663EF3}"/>
    <hyperlink ref="C47" r:id="rId293" display="https://www.worldometers.info/coronavirus/country/sao-tome-and-principe/" xr:uid="{5BB24E73-84D7-46CA-B894-943CC33D7A32}"/>
    <hyperlink ref="I47" r:id="rId294" display="https://www.worldometers.info/world-population/sao-tome-and-principe-population/" xr:uid="{31072976-4AF4-468C-8E70-05AF67DD008A}"/>
    <hyperlink ref="C5" r:id="rId295" display="https://www.worldometers.info/coronavirus/country/san-marino/" xr:uid="{A272CE56-E066-4BEF-A9E1-ED4C644C908C}"/>
    <hyperlink ref="I5" r:id="rId296" display="https://www.worldometers.info/world-population/san-marino-population/" xr:uid="{F736C466-940A-4BC6-AA45-8BB7FE50CA13}"/>
    <hyperlink ref="C81" r:id="rId297" display="https://www.worldometers.info/coronavirus/country/malta/" xr:uid="{DFCC9407-53A2-4BD1-9DCC-EE8BD646B6D1}"/>
    <hyperlink ref="I81" r:id="rId298" display="https://www.worldometers.info/world-population/malta-population/" xr:uid="{DF878145-AB1E-4F19-B522-D531A213ABFD}"/>
    <hyperlink ref="C200" r:id="rId299" display="https://www.worldometers.info/coronavirus/country/angola/" xr:uid="{18F61AD1-982A-4194-8FD3-532FBCCFB8E1}"/>
    <hyperlink ref="I200" r:id="rId300" display="https://www.worldometers.info/world-population/angola-population/" xr:uid="{CA12B9AA-3155-4824-B77D-57F5B6C5FE82}"/>
    <hyperlink ref="C108" r:id="rId301" display="https://www.worldometers.info/coronavirus/country/reunion/" xr:uid="{BABD72FB-A215-472A-8A6E-0EF940F48ECC}"/>
    <hyperlink ref="I108" r:id="rId302" display="https://www.worldometers.info/world-population/reunion-population/" xr:uid="{2CDE7722-0139-4EFE-AF75-F554B8145F61}"/>
    <hyperlink ref="C48" r:id="rId303" display="https://www.worldometers.info/coronavirus/country/channel-islands/" xr:uid="{4F9009AE-F25B-497D-B0F7-20433E466C75}"/>
    <hyperlink ref="I48" r:id="rId304" display="https://www.worldometers.info/world-population/channel-islands-population/" xr:uid="{BFBBDB5F-3BDA-4280-B0AC-3233C8940412}"/>
    <hyperlink ref="C156" r:id="rId305" display="https://www.worldometers.info/coronavirus/country/botswana/" xr:uid="{0156BBC0-74E7-4E47-BF92-3E96E3585CAB}"/>
    <hyperlink ref="I156" r:id="rId306" display="https://www.worldometers.info/world-population/botswana-population/" xr:uid="{DF41E126-D012-464D-85E4-875AB3282F1D}"/>
    <hyperlink ref="C204" r:id="rId307" display="https://www.worldometers.info/coronavirus/country/tanzania/" xr:uid="{A77057D6-F8D3-4285-997E-31D896ABCACA}"/>
    <hyperlink ref="I204" r:id="rId308" display="https://www.worldometers.info/world-population/tanzania-population/" xr:uid="{50894F0C-B0BA-4DB5-B97D-231288B9D45B}"/>
    <hyperlink ref="C197" r:id="rId309" display="https://www.worldometers.info/coronavirus/country/syria/" xr:uid="{42C88867-5E87-4C9E-B214-26685EF6F6A3}"/>
    <hyperlink ref="I197" r:id="rId310" display="https://www.worldometers.info/world-population/syria-population/" xr:uid="{C3093054-EAB4-4B9F-9E85-1121AB764BA1}"/>
    <hyperlink ref="C201" r:id="rId311" display="https://www.worldometers.info/coronavirus/country/taiwan/" xr:uid="{97B2483A-E7E7-4E14-B1D4-286341199E00}"/>
    <hyperlink ref="I201" r:id="rId312" display="https://www.worldometers.info/world-population/taiwan-population/" xr:uid="{88E179AF-2A69-4C0A-9FAB-D7753FAF049B}"/>
    <hyperlink ref="C206" r:id="rId313" display="https://www.worldometers.info/coronavirus/country/viet-nam/" xr:uid="{990DC20E-4FB9-4727-8887-F93FB868EF86}"/>
    <hyperlink ref="I206" r:id="rId314" display="https://www.worldometers.info/world-population/viet-nam-population/" xr:uid="{4D57ECD1-59CA-4656-8962-626E4986B356}"/>
    <hyperlink ref="C167" r:id="rId315" display="https://www.worldometers.info/coronavirus/country/lesotho/" xr:uid="{A0BEB2D0-7639-409A-88C3-7653E3F3347F}"/>
    <hyperlink ref="I167" r:id="rId316" display="https://www.worldometers.info/world-population/lesotho-population/" xr:uid="{25DCCA16-69B9-4B93-A526-64601C8C76BD}"/>
    <hyperlink ref="C145" r:id="rId317" display="https://www.worldometers.info/coronavirus/country/mauritius/" xr:uid="{7F14499E-2D70-4845-A314-63DF6FC5083B}"/>
    <hyperlink ref="I145" r:id="rId318" display="https://www.worldometers.info/world-population/mauritius-population/" xr:uid="{F5130164-3616-4749-A2DD-9508ADD948B3}"/>
    <hyperlink ref="C205" r:id="rId319" display="https://www.worldometers.info/coronavirus/country/myanmar/" xr:uid="{358164F4-0293-4954-9539-3A1F212814EE}"/>
    <hyperlink ref="I205" r:id="rId320" display="https://www.worldometers.info/world-population/myanmar-population/" xr:uid="{E94D723F-DABF-4AEC-83AA-D1BBB39A2B9F}"/>
    <hyperlink ref="C40" r:id="rId321" display="https://www.worldometers.info/coronavirus/country/isle-of-man/" xr:uid="{2094FB6C-0872-444E-8C68-4EF4AC6094FA}"/>
    <hyperlink ref="I40" r:id="rId322" display="https://www.worldometers.info/world-population/isle-of-man-population/" xr:uid="{7C396D47-C46A-4D82-ADA7-B25DE94856C4}"/>
    <hyperlink ref="C134" r:id="rId323" display="https://www.worldometers.info/coronavirus/country/comoros/" xr:uid="{6938B9A7-AB18-40AF-985D-2B8FC71BB9B1}"/>
    <hyperlink ref="I134" r:id="rId324" display="https://www.worldometers.info/world-population/comoros-population/" xr:uid="{707802F1-721A-4272-B6FD-58C3ACE53C2E}"/>
    <hyperlink ref="C129" r:id="rId325" display="https://www.worldometers.info/coronavirus/country/guyana/" xr:uid="{A18C2228-4196-49ED-9DC8-4DAB8584A71D}"/>
    <hyperlink ref="I129" r:id="rId326" display="https://www.worldometers.info/world-population/guyana-population/" xr:uid="{B5DA9289-9989-450B-87CD-625D926F5E97}"/>
    <hyperlink ref="C198" r:id="rId327" display="https://www.worldometers.info/coronavirus/country/burundi/" xr:uid="{F7A9CAAE-BF15-4D5A-9BEA-C4B67B9656B4}"/>
    <hyperlink ref="I198" r:id="rId328" display="https://www.worldometers.info/world-population/burundi-population/" xr:uid="{174E62AA-798B-4A11-AB35-742C7B8A6E7D}"/>
    <hyperlink ref="C183" r:id="rId329" display="https://www.worldometers.info/coronavirus/country/mongolia/" xr:uid="{0812440C-2811-4D43-B9BC-CCC1D5767DC1}"/>
    <hyperlink ref="I183" r:id="rId330" display="https://www.worldometers.info/world-population/mongolia-population/" xr:uid="{592AC84C-4650-411A-8438-D09F0F676637}"/>
    <hyperlink ref="C109" r:id="rId331" display="https://www.worldometers.info/coronavirus/country/martinique/" xr:uid="{1F9692C7-352F-4508-BC3E-18F4F6F4A7A0}"/>
    <hyperlink ref="I109" r:id="rId332" display="https://www.worldometers.info/world-population/martinique-population/" xr:uid="{CF44138B-5C5B-4259-BBB7-2B2D49F68842}"/>
    <hyperlink ref="C187" r:id="rId333" display="https://www.worldometers.info/coronavirus/country/eritrea/" xr:uid="{FE61132A-441E-4BA5-A119-3C1961802B0D}"/>
    <hyperlink ref="I187" r:id="rId334" display="https://www.worldometers.info/world-population/eritrea-population/" xr:uid="{530BCBB6-74D8-47FE-A3BF-0DDC6343F994}"/>
    <hyperlink ref="C52" r:id="rId335" display="https://www.worldometers.info/coronavirus/country/cayman-islands/" xr:uid="{13E8E56E-6511-472E-9B22-E116B28CF3AC}"/>
    <hyperlink ref="I52" r:id="rId336" display="https://www.worldometers.info/world-population/cayman-islands-population/" xr:uid="{21B275C7-1303-4B65-9D2B-D3D49E92A30E}"/>
    <hyperlink ref="C120" r:id="rId337" display="https://www.worldometers.info/coronavirus/country/guadeloupe/" xr:uid="{0949AF77-90E3-4292-A0B1-1B759E3FE1DA}"/>
    <hyperlink ref="I120" r:id="rId338" display="https://www.worldometers.info/world-population/guadeloupe-population/" xr:uid="{B1BAF680-3D72-4F16-B972-7D4D354FCB1A}"/>
    <hyperlink ref="C42" r:id="rId339" display="https://www.worldometers.info/coronavirus/country/faeroe-islands/" xr:uid="{DA10C3C6-4582-43B1-873F-D5F5D8AD7C82}"/>
    <hyperlink ref="I42" r:id="rId340" display="https://www.worldometers.info/world-population/faeroe-islands-population/" xr:uid="{3E5AC78A-AD32-4A92-BCC3-FAB3EB491BB6}"/>
    <hyperlink ref="C27" r:id="rId341" display="https://www.worldometers.info/coronavirus/country/gibraltar/" xr:uid="{67B8FD41-260C-4DA9-BF45-FC9CBD37C65F}"/>
    <hyperlink ref="I27" r:id="rId342" display="https://www.worldometers.info/world-population/gibraltar-population/" xr:uid="{309C93C2-FB61-4EDF-87C5-E60A749E2264}"/>
    <hyperlink ref="C203" r:id="rId343" display="https://www.worldometers.info/coronavirus/country/cambodia/" xr:uid="{9D5B3AC5-DF6F-46A7-A836-7CF5BDC47AA3}"/>
    <hyperlink ref="I203" r:id="rId344" display="https://www.worldometers.info/world-population/cambodia-population/" xr:uid="{A4BD6DB8-4BE2-42FD-8A5E-DC794AE408AD}"/>
    <hyperlink ref="C63" r:id="rId345" display="https://www.worldometers.info/coronavirus/country/bermuda/" xr:uid="{27865566-88F3-4ADE-A84E-C2324A346E86}"/>
    <hyperlink ref="I63" r:id="rId346" display="https://www.worldometers.info/world-population/bermuda-population/" xr:uid="{718B6DB6-DC3C-4CE9-8499-A83A25042349}"/>
    <hyperlink ref="C138" r:id="rId347" display="https://www.worldometers.info/coronavirus/country/brunei-darussalam/" xr:uid="{57096E9C-04C4-49E0-BB67-3051EC4F5989}"/>
    <hyperlink ref="I138" r:id="rId348" display="https://www.worldometers.info/world-population/brunei-darussalam-population/" xr:uid="{FC471B66-58F5-463C-A038-0F5F23369294}"/>
    <hyperlink ref="C179" r:id="rId349" display="https://www.worldometers.info/coronavirus/country/trinidad-and-tobago/" xr:uid="{8CEC7FA6-8585-4180-A21E-ABB66AFB4452}"/>
    <hyperlink ref="I179" r:id="rId350" display="https://www.worldometers.info/world-population/trinidad-and-tobago-population/" xr:uid="{FCE1B2F8-7CD4-4732-9EA8-F29304CEF9CC}"/>
    <hyperlink ref="C137" r:id="rId351" display="https://www.worldometers.info/coronavirus/country/bahamas/" xr:uid="{01B56D1B-164B-49FA-882D-A78B6ADBB8A5}"/>
    <hyperlink ref="I137" r:id="rId352" display="https://www.worldometers.info/world-population/bahamas-population/" xr:uid="{6681989B-E636-4A53-B6BB-E3BEC67C6763}"/>
    <hyperlink ref="C95" r:id="rId353" display="https://www.worldometers.info/coronavirus/country/aruba/" xr:uid="{ED1E5231-AC79-44E0-A1E9-DB4A6BC165C8}"/>
    <hyperlink ref="I95" r:id="rId354" display="https://www.worldometers.info/world-population/aruba-population/" xr:uid="{D4C57FD4-AC5F-4D25-A43B-8EE4777D0605}"/>
    <hyperlink ref="C56" r:id="rId355" display="https://www.worldometers.info/coronavirus/country/monaco/" xr:uid="{7F6473F2-98FB-4C59-8E26-F4D664EF7304}"/>
    <hyperlink ref="I56" r:id="rId356" display="https://www.worldometers.info/world-population/monaco-population/" xr:uid="{C883C3D3-6C87-48D0-AD82-0122E7B6220B}"/>
    <hyperlink ref="C93" r:id="rId357" display="https://www.worldometers.info/coronavirus/country/seychelles/" xr:uid="{86FD4C4D-557F-4550-85A3-43AFC99B70D0}"/>
    <hyperlink ref="I93" r:id="rId358" display="https://www.worldometers.info/world-population/seychelles-population/" xr:uid="{5AE0A9C0-CED6-459E-BFEB-67D0B75F75E0}"/>
    <hyperlink ref="C136" r:id="rId359" display="https://www.worldometers.info/coronavirus/country/barbados/" xr:uid="{5476530B-BDDF-4EE4-9B95-B249ADE6262D}"/>
    <hyperlink ref="I136" r:id="rId360" display="https://www.worldometers.info/world-population/barbados-population/" xr:uid="{B714997A-155C-42DA-AD98-28EE016C50A0}"/>
    <hyperlink ref="C195" r:id="rId361" display="https://www.worldometers.info/coronavirus/country/gambia/" xr:uid="{99F82BD9-C0D7-42B8-A169-3AADB0D6D16B}"/>
    <hyperlink ref="I195" r:id="rId362" display="https://www.worldometers.info/world-population/gambia-population/" xr:uid="{FED2ED21-3FFB-4EB3-932C-EB353A3F3C9E}"/>
    <hyperlink ref="C177" r:id="rId363" display="https://www.worldometers.info/coronavirus/country/bhutan/" xr:uid="{E63E4F71-033A-42CA-B1C7-2B72573B7FC9}"/>
    <hyperlink ref="I177" r:id="rId364" display="https://www.worldometers.info/world-population/bhutan-population/" xr:uid="{89708440-D199-49D7-A7E3-BCF51A010719}"/>
    <hyperlink ref="C67" r:id="rId365" display="https://www.worldometers.info/coronavirus/country/liechtenstein/" xr:uid="{65040E63-26B8-457F-BDE4-6310472E61BB}"/>
    <hyperlink ref="I67" r:id="rId366" display="https://www.worldometers.info/world-population/liechtenstein-population/" xr:uid="{D225F1FF-2601-4498-B63B-46B5DFBD5AFA}"/>
    <hyperlink ref="C76" r:id="rId367" display="https://www.worldometers.info/coronavirus/country/sint-maarten/" xr:uid="{B365CD0F-C219-4F80-8A7A-42F16086729A}"/>
    <hyperlink ref="I76" r:id="rId368" display="https://www.worldometers.info/world-population/sint-maarten-population/" xr:uid="{E4B9004F-8B6D-443D-A1FC-B165AE8DB252}"/>
    <hyperlink ref="C104" r:id="rId369" display="https://www.worldometers.info/coronavirus/country/antigua-and-barbuda/" xr:uid="{1C82D27C-190D-4AC1-8758-A4182E182553}"/>
    <hyperlink ref="I104" r:id="rId370" display="https://www.worldometers.info/world-population/antigua-and-barbuda-population/" xr:uid="{ECBB02F2-6992-4E8D-8A58-F3967D7F688C}"/>
    <hyperlink ref="C73" r:id="rId371" display="https://www.worldometers.info/coronavirus/country/turks-and-caicos-islands/" xr:uid="{5D26C6AE-6E2F-42CF-980E-E71047770709}"/>
    <hyperlink ref="I73" r:id="rId372" display="https://www.worldometers.info/world-population/turks-and-caicos-islands-population/" xr:uid="{DAAECBD1-7F61-4470-9B19-19FA62F42C3B}"/>
    <hyperlink ref="C157" r:id="rId373" display="https://www.worldometers.info/coronavirus/country/french-polynesia/" xr:uid="{910CF556-028D-4084-B6B4-C4CF052AB2C2}"/>
    <hyperlink ref="I157" r:id="rId374" display="https://www.worldometers.info/world-population/french-polynesia-population/" xr:uid="{64CBE635-17DF-4A45-98F5-BC69DF4D3C23}"/>
    <hyperlink ref="C91" r:id="rId375" display="https://www.worldometers.info/coronavirus/country/saint-martin/" xr:uid="{D5694217-6E29-4452-B800-73E9D6932883}"/>
    <hyperlink ref="I91" r:id="rId376" display="https://www.worldometers.info/world-population/saint-martin-population/" xr:uid="{775E2386-BAC3-4452-BA75-5FCC8CA45C0D}"/>
    <hyperlink ref="C186" r:id="rId377" display="https://www.worldometers.info/coronavirus/country/china-macao-sar/" xr:uid="{F6C242D9-C624-45E8-900D-37EC60D9A649}"/>
    <hyperlink ref="I186" r:id="rId378" display="https://www.worldometers.info/world-population/china-macao-sar-population/" xr:uid="{30B7EB5D-B2C9-4C8F-BAEA-C33316DDF71D}"/>
    <hyperlink ref="C178" r:id="rId379" display="https://www.worldometers.info/coronavirus/country/belize/" xr:uid="{40EBCCFF-2818-415A-80D6-577C8D78E017}"/>
    <hyperlink ref="I178" r:id="rId380" display="https://www.worldometers.info/world-population/belize-population/" xr:uid="{960C9308-D3B3-412D-ACBB-10F5F8F15A36}"/>
    <hyperlink ref="C140" r:id="rId381" display="https://www.worldometers.info/coronavirus/country/saint-vincent-and-the-grenadines/" xr:uid="{ECC9D19E-BF89-4A41-9947-E37F58661AFC}"/>
    <hyperlink ref="I140" r:id="rId382" display="https://www.worldometers.info/world-population/saint-vincent-and-the-grenadines-population/" xr:uid="{17283B25-44A9-4FC1-88E3-9165297AE346}"/>
    <hyperlink ref="C166" r:id="rId383" display="https://www.worldometers.info/coronavirus/country/curacao/" xr:uid="{7A77041A-6627-4AB1-B9CC-C1A18AA1F339}"/>
    <hyperlink ref="I166" r:id="rId384" display="https://www.worldometers.info/world-population/curacao-population/" xr:uid="{F3CAE653-CFBE-4C1B-B8A1-8F33E76C9E0B}"/>
    <hyperlink ref="C196" r:id="rId385" display="https://www.worldometers.info/coronavirus/country/fiji/" xr:uid="{5D6270E4-3A6C-4F42-B950-B0CC27D03DD2}"/>
    <hyperlink ref="I196" r:id="rId386" display="https://www.worldometers.info/world-population/fiji-population/" xr:uid="{D074AF38-71ED-4EBE-AFBA-D24219DC5B1D}"/>
    <hyperlink ref="C202" r:id="rId387" display="https://www.worldometers.info/coronavirus/country/timor-leste/" xr:uid="{8A9E117E-90A9-467B-AC55-67E9BCE873F4}"/>
    <hyperlink ref="I202" r:id="rId388" display="https://www.worldometers.info/world-population/timor-leste-population/" xr:uid="{05707F05-CD4E-4871-94C7-8862E8AB8BE8}"/>
    <hyperlink ref="C161" r:id="rId389" display="https://www.worldometers.info/coronavirus/country/grenada/" xr:uid="{B438D2AC-9C0D-46B6-A994-6733CD741542}"/>
    <hyperlink ref="I161" r:id="rId390" display="https://www.worldometers.info/world-population/grenada-population/" xr:uid="{C1C01BF6-433E-40D3-B93E-9E7D70D4A988}"/>
    <hyperlink ref="C172" r:id="rId391" display="https://www.worldometers.info/coronavirus/country/saint-lucia/" xr:uid="{F571079C-C657-4C73-B1C6-4B75BFF45D85}"/>
    <hyperlink ref="I172" r:id="rId392" display="https://www.worldometers.info/world-population/saint-lucia-population/" xr:uid="{B63771D3-296B-4C0C-BB99-8844EBBBC8BC}"/>
    <hyperlink ref="C184" r:id="rId393" display="https://www.worldometers.info/coronavirus/country/new-caledonia/" xr:uid="{FAD1F6DE-37BC-4FEB-B6DB-F60284036FB1}"/>
    <hyperlink ref="I184" r:id="rId394" display="https://www.worldometers.info/world-population/new-caledonia-population/" xr:uid="{818D7C9A-D57D-4C25-8C05-3C57FF613FDC}"/>
    <hyperlink ref="C207" r:id="rId395" display="https://www.worldometers.info/coronavirus/country/laos/" xr:uid="{C5526D82-D38B-4DFB-A19E-4FAD8D7753FB}"/>
    <hyperlink ref="I207" r:id="rId396" display="https://www.worldometers.info/world-population/laos-population/" xr:uid="{C9FA728F-0E95-4E27-A0E0-F50FDEB53FFA}"/>
    <hyperlink ref="C151" r:id="rId397" display="https://www.worldometers.info/coronavirus/country/dominica/" xr:uid="{A553264D-5AC1-478E-95B5-21CEC6DE4E6B}"/>
    <hyperlink ref="I151" r:id="rId398" display="https://www.worldometers.info/world-population/dominica-population/" xr:uid="{DC40E026-5606-4373-8BB8-85DEF3886520}"/>
    <hyperlink ref="C139" r:id="rId399" display="https://www.worldometers.info/coronavirus/country/saint-kitts-and-nevis/" xr:uid="{D9B779CF-08BC-43EA-A718-4F7F421A4EE0}"/>
    <hyperlink ref="I139" r:id="rId400" display="https://www.worldometers.info/world-population/saint-kitts-and-nevis-population/" xr:uid="{8DB5CBDC-A3DE-47E9-A138-BB817DE9E2FD}"/>
    <hyperlink ref="C208" r:id="rId401" display="https://www.worldometers.info/coronavirus/country/papua-new-guinea/" xr:uid="{74C0234D-DD4A-4DB3-B04B-48AEA7C37788}"/>
    <hyperlink ref="I208" r:id="rId402" display="https://www.worldometers.info/world-population/papua-new-guinea-population/" xr:uid="{4ADB7CBA-EFA2-444B-A95F-E74E24873293}"/>
    <hyperlink ref="C43" r:id="rId403" display="https://www.worldometers.info/coronavirus/country/falkland-islands-malvinas/" xr:uid="{E43D3FCF-D186-4B84-828E-31272EE4F2F7}"/>
    <hyperlink ref="I43" r:id="rId404" display="https://www.worldometers.info/world-population/falkland-islands-malvinas-population/" xr:uid="{FCD33AF8-FD50-4754-8B62-8F3F8B1CDAFF}"/>
    <hyperlink ref="C209" r:id="rId405" display="https://www.worldometers.info/coronavirus/country/greenland/" xr:uid="{3F75E417-ABA4-4302-818C-9EB4137B855F}"/>
    <hyperlink ref="I209" r:id="rId406" display="https://www.worldometers.info/world-population/greenland-population/" xr:uid="{890FF67D-B42B-4A78-B419-76067CADAAE4}"/>
    <hyperlink ref="C210" r:id="rId407" display="https://www.worldometers.info/coronavirus/country/montserrat/" xr:uid="{CDB02840-0B12-4ADB-814D-940CE66A89E3}"/>
    <hyperlink ref="I210" r:id="rId408" display="https://www.worldometers.info/world-population/montserrat-population/" xr:uid="{681C0404-22A1-4782-9231-F539D3A66B8D}"/>
    <hyperlink ref="C211" r:id="rId409" display="https://www.worldometers.info/coronavirus/country/holy-see/" xr:uid="{3990DAEF-A8F7-4D6C-A5C4-621DC78F066D}"/>
    <hyperlink ref="I211" r:id="rId410" display="https://www.worldometers.info/world-population/holy-see-population/" xr:uid="{6D67F6CD-6BD2-42B6-BC20-CEBB81D407D3}"/>
    <hyperlink ref="C212" r:id="rId411" display="https://www.worldometers.info/coronavirus/country/western-sahara/" xr:uid="{E0A6F17D-9060-4827-8E8C-04A1D089DB8B}"/>
    <hyperlink ref="I212" r:id="rId412" display="https://www.worldometers.info/world-population/western-sahara-population/" xr:uid="{5967043A-7E19-4D57-9071-B8985454EB7F}"/>
    <hyperlink ref="C133" r:id="rId413" display="https://www.worldometers.info/coronavirus/country/caribbean-netherlands/" xr:uid="{7C061B0A-3124-4FF8-BFAA-AB9F0219CF01}"/>
    <hyperlink ref="I133" r:id="rId414" display="https://www.worldometers.info/world-population/caribbean-netherlands-population/" xr:uid="{D7EC7EC2-6305-4014-B4E7-C9F0C05E0459}"/>
    <hyperlink ref="C147" r:id="rId415" display="https://www.worldometers.info/coronavirus/country/british-virgin-islands/" xr:uid="{FBAA8C31-F7C7-4559-B45C-E8AB899F80D4}"/>
    <hyperlink ref="I147" r:id="rId416" display="https://www.worldometers.info/world-population/british-virgin-islands-population/" xr:uid="{556093EC-B6AF-4AD5-B6A4-73418F65B820}"/>
    <hyperlink ref="C113" r:id="rId417" display="https://www.worldometers.info/coronavirus/country/saint-barthelemy/" xr:uid="{B2624213-981F-46BC-8352-153DE4BEE1E5}"/>
    <hyperlink ref="I113" r:id="rId418" display="https://www.worldometers.info/world-population/saint-barthelemy-population/" xr:uid="{8D7E4626-3660-48CB-AF18-8F3579E582CA}"/>
    <hyperlink ref="C213" r:id="rId419" display="https://www.worldometers.info/coronavirus/country/saint-pierre-and-miquelon/" xr:uid="{3E1358C1-5D4D-4AD2-B6E0-B018EE299186}"/>
    <hyperlink ref="I213" r:id="rId420" display="https://www.worldometers.info/world-population/saint-pierre-and-miquelon-population/" xr:uid="{47E114F6-A0F6-4A02-BE0F-290B2249BE62}"/>
    <hyperlink ref="C214" r:id="rId421" display="https://www.worldometers.info/coronavirus/country/anguilla/" xr:uid="{C6E07F1E-4516-4D23-8D81-E5D7C476C800}"/>
    <hyperlink ref="I214" r:id="rId422" display="https://www.worldometers.info/world-population/anguilla-population/" xr:uid="{76927567-8F58-4BF2-8CD2-687ED96912A6}"/>
  </hyperlinks>
  <pageMargins left="0.7" right="0.7" top="0.75" bottom="0.75" header="0.51180555555555496" footer="0.51180555555555496"/>
  <pageSetup firstPageNumber="0" orientation="portrait" horizontalDpi="300" verticalDpi="300" r:id="rId423"/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1"/>
  <sheetViews>
    <sheetView zoomScaleNormal="100" workbookViewId="0">
      <pane xSplit="13" ySplit="17" topLeftCell="N26" activePane="bottomRight" state="frozen"/>
      <selection pane="topRight" activeCell="N1" sqref="N1"/>
      <selection pane="bottomLeft" activeCell="A20" sqref="A20"/>
      <selection pane="bottomRight" activeCell="A3" sqref="A3"/>
    </sheetView>
  </sheetViews>
  <sheetFormatPr defaultColWidth="9.140625" defaultRowHeight="15" x14ac:dyDescent="0.25"/>
  <cols>
    <col min="1" max="1" width="27" style="7" customWidth="1"/>
    <col min="2" max="2" width="11.42578125" style="1" customWidth="1"/>
    <col min="3" max="3" width="12.85546875" style="1" hidden="1" customWidth="1"/>
    <col min="4" max="4" width="9.42578125" style="1" customWidth="1"/>
    <col min="5" max="5" width="14" style="1" hidden="1" customWidth="1"/>
    <col min="6" max="6" width="11.42578125" style="1" customWidth="1"/>
    <col min="7" max="7" width="12" style="1" customWidth="1"/>
    <col min="8" max="8" width="13.140625" style="1" customWidth="1"/>
    <col min="9" max="9" width="12.7109375" style="1" customWidth="1"/>
    <col min="10" max="10" width="10.7109375" style="1" customWidth="1"/>
    <col min="11" max="11" width="10.7109375" style="1" hidden="1" customWidth="1"/>
    <col min="12" max="12" width="39.7109375" style="1" hidden="1" customWidth="1"/>
    <col min="13" max="13" width="10.85546875" style="1" customWidth="1"/>
    <col min="14" max="14" width="8.85546875" style="1" customWidth="1"/>
    <col min="15" max="15" width="12.7109375" style="1" customWidth="1"/>
    <col min="16" max="16" width="12.85546875" style="1" customWidth="1"/>
    <col min="17" max="17" width="9.28515625" style="1" customWidth="1"/>
    <col min="18" max="18" width="11.7109375" style="1" customWidth="1"/>
    <col min="19" max="19" width="10.7109375" style="1" customWidth="1"/>
    <col min="20" max="20" width="11.28515625" style="1" customWidth="1"/>
    <col min="21" max="21" width="12" style="1" customWidth="1"/>
    <col min="22" max="22" width="11.7109375" style="1" customWidth="1"/>
    <col min="23" max="23" width="13.28515625" style="1" customWidth="1"/>
    <col min="24" max="24" width="12" style="1" bestFit="1" customWidth="1"/>
    <col min="25" max="53" width="9.140625" style="1"/>
    <col min="54" max="54" width="16.85546875" style="1" bestFit="1" customWidth="1"/>
    <col min="55" max="1023" width="9.140625" style="1"/>
  </cols>
  <sheetData>
    <row r="1" spans="1:54" s="7" customFormat="1" ht="31.5" customHeight="1" thickBot="1" x14ac:dyDescent="0.3">
      <c r="A1" s="18" t="s">
        <v>236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7</v>
      </c>
      <c r="G1" s="19" t="s">
        <v>9</v>
      </c>
      <c r="H1" s="19" t="s">
        <v>10</v>
      </c>
      <c r="I1" s="19" t="s">
        <v>11</v>
      </c>
      <c r="J1" s="19" t="s">
        <v>237</v>
      </c>
      <c r="K1" s="19" t="s">
        <v>238</v>
      </c>
      <c r="L1" s="19" t="s">
        <v>239</v>
      </c>
      <c r="M1" s="19" t="s">
        <v>21</v>
      </c>
      <c r="N1" s="20" t="s">
        <v>13</v>
      </c>
      <c r="O1" s="20" t="s">
        <v>14</v>
      </c>
      <c r="P1" s="20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240</v>
      </c>
      <c r="W1" s="7" t="s">
        <v>331</v>
      </c>
      <c r="X1" s="7" t="s">
        <v>329</v>
      </c>
    </row>
    <row r="2" spans="1:54" ht="15.95" customHeight="1" thickBot="1" x14ac:dyDescent="0.3">
      <c r="A2" s="63" t="s">
        <v>33</v>
      </c>
      <c r="B2" s="55">
        <v>3788902</v>
      </c>
      <c r="C2" s="55">
        <v>18890</v>
      </c>
      <c r="D2" s="55">
        <v>142379</v>
      </c>
      <c r="E2" s="56">
        <v>315</v>
      </c>
      <c r="F2" s="55">
        <v>1902536</v>
      </c>
      <c r="G2" s="55">
        <v>11447</v>
      </c>
      <c r="H2" s="56">
        <v>430</v>
      </c>
      <c r="I2" s="55">
        <v>46698082</v>
      </c>
      <c r="J2" s="55">
        <v>141081</v>
      </c>
      <c r="K2" s="61"/>
      <c r="L2" s="62"/>
      <c r="M2" s="10">
        <f>Table2[[#This Row],[Active]]/Table2[[#This Row],[Cases]]</f>
        <v>0.50213386358369783</v>
      </c>
      <c r="N2" s="9">
        <f>1000000/Table2[[#This Row],[Cases/1M]]</f>
        <v>87.359133397396704</v>
      </c>
      <c r="O2" s="9">
        <f>1000000/Table2[[#This Row],[Deaths/1M]]</f>
        <v>2325.5813953488373</v>
      </c>
      <c r="P2" s="9">
        <f>Table2[[#This Row],[Deaths]]+Table2[[#This Row],[Active]]*Table2[[#This Row],[Death Rate]]</f>
        <v>213872.31736318331</v>
      </c>
      <c r="Q2" s="10">
        <f>Table2[[#This Row],[Deaths]]/Table2[[#This Row],[Cases]]</f>
        <v>3.7577905155636117E-2</v>
      </c>
      <c r="R2" s="9">
        <f>Table2[[#This Row],[Cases]]/Table2[[#This Row],[Deaths]]</f>
        <v>26.611382296546541</v>
      </c>
      <c r="S2" s="12">
        <f>Table2[[#This Row],[Cases/1M]]/1000000</f>
        <v>1.1447000000000001E-2</v>
      </c>
      <c r="T2" s="12">
        <f>Table2[[#This Row],[Deaths/1M]]/1000000</f>
        <v>4.2999999999999999E-4</v>
      </c>
      <c r="U2" s="13">
        <f>1-Table2[[#This Row],[Deaths]]/Table2[[#This Row],[Ex(Deaths)]]</f>
        <v>0.33428036991705778</v>
      </c>
      <c r="V2" s="13">
        <f>Table2[[#This Row],[Cases]]/Table2[[#This Row],[Tests]]</f>
        <v>8.1136137454210652E-2</v>
      </c>
      <c r="W2" s="12">
        <f>Table2[[#This Row],[Percent Infected]]*Table2[[#This Row],[% Active]]</f>
        <v>5.7479263364425895E-3</v>
      </c>
      <c r="X2" s="9">
        <f>1/Table2[[#This Row],[Percent Active Infected]]</f>
        <v>173.97578560808475</v>
      </c>
    </row>
    <row r="3" spans="1:54" s="23" customFormat="1" ht="15.95" customHeight="1" thickBot="1" x14ac:dyDescent="0.3">
      <c r="A3" s="45" t="s">
        <v>241</v>
      </c>
      <c r="B3" s="48">
        <v>432412</v>
      </c>
      <c r="C3" s="49"/>
      <c r="D3" s="48">
        <v>32535</v>
      </c>
      <c r="E3" s="49"/>
      <c r="F3" s="48">
        <v>177417</v>
      </c>
      <c r="G3" s="48">
        <v>22228</v>
      </c>
      <c r="H3" s="48">
        <v>1672</v>
      </c>
      <c r="I3" s="48">
        <v>4999449</v>
      </c>
      <c r="J3" s="48">
        <v>256994</v>
      </c>
      <c r="K3" s="56"/>
      <c r="L3" s="56"/>
      <c r="M3" s="10">
        <f>Table2[[#This Row],[Active]]/Table2[[#This Row],[Cases]]</f>
        <v>0.41029619899540254</v>
      </c>
      <c r="N3" s="9">
        <f>1000000/Table2[[#This Row],[Cases/1M]]</f>
        <v>44.988303041209285</v>
      </c>
      <c r="O3" s="9">
        <f>1000000/Table2[[#This Row],[Deaths/1M]]</f>
        <v>598.08612440191382</v>
      </c>
      <c r="P3" s="9">
        <f>Table2[[#This Row],[Deaths]]+Table2[[#This Row],[Active]]*Table2[[#This Row],[Death Rate]]</f>
        <v>45883.986834315423</v>
      </c>
      <c r="Q3" s="10">
        <f>Table2[[#This Row],[Deaths]]/Table2[[#This Row],[Cases]]</f>
        <v>7.5240742625089035E-2</v>
      </c>
      <c r="R3" s="9">
        <f>Table2[[#This Row],[Cases]]/Table2[[#This Row],[Deaths]]</f>
        <v>13.290671584447518</v>
      </c>
      <c r="S3" s="12">
        <f>Table2[[#This Row],[Cases/1M]]/1000000</f>
        <v>2.2228000000000001E-2</v>
      </c>
      <c r="T3" s="12">
        <f>Table2[[#This Row],[Deaths/1M]]/1000000</f>
        <v>1.6720000000000001E-3</v>
      </c>
      <c r="U3" s="13">
        <f>1-Table2[[#This Row],[Deaths]]/Table2[[#This Row],[Ex(Deaths)]]</f>
        <v>0.29092909651722043</v>
      </c>
      <c r="V3" s="13">
        <f>Table2[[#This Row],[Cases]]/Table2[[#This Row],[Tests]]</f>
        <v>8.649193141084148E-2</v>
      </c>
      <c r="W3" s="12">
        <f>Table2[[#This Row],[Percent Infected]]*Table2[[#This Row],[% Active]]</f>
        <v>9.1200639112698073E-3</v>
      </c>
      <c r="X3" s="9">
        <f>1/Table2[[#This Row],[Percent Active Infected]]</f>
        <v>109.64835441167075</v>
      </c>
      <c r="BB3" s="1"/>
    </row>
    <row r="4" spans="1:54" ht="15.95" customHeight="1" thickBot="1" x14ac:dyDescent="0.3">
      <c r="A4" s="45" t="s">
        <v>269</v>
      </c>
      <c r="B4" s="48">
        <v>374180</v>
      </c>
      <c r="C4" s="59">
        <v>18</v>
      </c>
      <c r="D4" s="48">
        <v>7613</v>
      </c>
      <c r="E4" s="58">
        <v>2</v>
      </c>
      <c r="F4" s="48">
        <v>265006</v>
      </c>
      <c r="G4" s="48">
        <v>9470</v>
      </c>
      <c r="H4" s="49">
        <v>193</v>
      </c>
      <c r="I4" s="48">
        <v>6044099</v>
      </c>
      <c r="J4" s="48">
        <v>152968</v>
      </c>
      <c r="K4" s="57" t="s">
        <v>333</v>
      </c>
      <c r="L4" s="43" t="s">
        <v>242</v>
      </c>
      <c r="M4" s="25">
        <f>Table2[[#This Row],[Active]]/Table2[[#This Row],[Cases]]</f>
        <v>0.70823133251376347</v>
      </c>
      <c r="N4" s="26">
        <f>1000000/Table2[[#This Row],[Cases/1M]]</f>
        <v>105.59662090813094</v>
      </c>
      <c r="O4" s="26">
        <f>1000000/Table2[[#This Row],[Deaths/1M]]</f>
        <v>5181.3471502590673</v>
      </c>
      <c r="P4" s="9">
        <f>Table2[[#This Row],[Deaths]]+Table2[[#This Row],[Active]]*Table2[[#This Row],[Death Rate]]</f>
        <v>13004.765134427282</v>
      </c>
      <c r="Q4" s="25">
        <f>Table2[[#This Row],[Deaths]]/Table2[[#This Row],[Cases]]</f>
        <v>2.034582286600032E-2</v>
      </c>
      <c r="R4" s="9">
        <f>Table2[[#This Row],[Cases]]/Table2[[#This Row],[Deaths]]</f>
        <v>49.150137921975571</v>
      </c>
      <c r="S4" s="12">
        <f>Table2[[#This Row],[Cases/1M]]/1000000</f>
        <v>9.4699999999999993E-3</v>
      </c>
      <c r="T4" s="12">
        <f>Table2[[#This Row],[Deaths/1M]]/1000000</f>
        <v>1.93E-4</v>
      </c>
      <c r="U4" s="13">
        <f>1-Table2[[#This Row],[Deaths]]/Table2[[#This Row],[Ex(Deaths)]]</f>
        <v>0.41459919334904083</v>
      </c>
      <c r="V4" s="13">
        <f>Table2[[#This Row],[Cases]]/Table2[[#This Row],[Tests]]</f>
        <v>6.1908317517631657E-2</v>
      </c>
      <c r="W4" s="12">
        <f>Table2[[#This Row],[Percent Infected]]*Table2[[#This Row],[% Active]]</f>
        <v>6.7069507189053395E-3</v>
      </c>
      <c r="X4" s="9">
        <f>1/Table2[[#This Row],[Percent Active Infected]]</f>
        <v>149.09905289466818</v>
      </c>
      <c r="BB4" s="47"/>
    </row>
    <row r="5" spans="1:54" ht="15.95" customHeight="1" thickBot="1" x14ac:dyDescent="0.3">
      <c r="A5" s="45" t="s">
        <v>268</v>
      </c>
      <c r="B5" s="48">
        <v>337569</v>
      </c>
      <c r="C5" s="60">
        <v>10328</v>
      </c>
      <c r="D5" s="48">
        <v>4898</v>
      </c>
      <c r="E5" s="58">
        <v>93</v>
      </c>
      <c r="F5" s="48">
        <v>295261</v>
      </c>
      <c r="G5" s="48">
        <v>15717</v>
      </c>
      <c r="H5" s="49">
        <v>228</v>
      </c>
      <c r="I5" s="48">
        <v>2935521</v>
      </c>
      <c r="J5" s="48">
        <v>136677</v>
      </c>
      <c r="K5" s="57" t="s">
        <v>334</v>
      </c>
      <c r="L5" s="43" t="s">
        <v>242</v>
      </c>
      <c r="M5" s="10">
        <f>Table2[[#This Row],[Active]]/Table2[[#This Row],[Cases]]</f>
        <v>0.87466858627421362</v>
      </c>
      <c r="N5" s="9">
        <f>1000000/Table2[[#This Row],[Cases/1M]]</f>
        <v>63.62537379907107</v>
      </c>
      <c r="O5" s="9">
        <f>1000000/Table2[[#This Row],[Deaths/1M]]</f>
        <v>4385.9649122807014</v>
      </c>
      <c r="P5" s="9">
        <f>Table2[[#This Row],[Deaths]]+Table2[[#This Row],[Active]]*Table2[[#This Row],[Death Rate]]</f>
        <v>9182.1267355710988</v>
      </c>
      <c r="Q5" s="10">
        <f>Table2[[#This Row],[Deaths]]/Table2[[#This Row],[Cases]]</f>
        <v>1.45096261801291E-2</v>
      </c>
      <c r="R5" s="9">
        <f>Table2[[#This Row],[Cases]]/Table2[[#This Row],[Deaths]]</f>
        <v>68.919763168640259</v>
      </c>
      <c r="S5" s="12">
        <f>Table2[[#This Row],[Cases/1M]]/1000000</f>
        <v>1.5716999999999998E-2</v>
      </c>
      <c r="T5" s="12">
        <f>Table2[[#This Row],[Deaths/1M]]/1000000</f>
        <v>2.2800000000000001E-4</v>
      </c>
      <c r="U5" s="13">
        <f>1-Table2[[#This Row],[Deaths]]/Table2[[#This Row],[Ex(Deaths)]]</f>
        <v>0.46657238120822342</v>
      </c>
      <c r="V5" s="13">
        <f>Table2[[#This Row],[Cases]]/Table2[[#This Row],[Tests]]</f>
        <v>0.11499457847516675</v>
      </c>
      <c r="W5" s="12">
        <f>Table2[[#This Row],[Percent Infected]]*Table2[[#This Row],[% Active]]</f>
        <v>1.3747166170471814E-2</v>
      </c>
      <c r="X5" s="9">
        <f>1/Table2[[#This Row],[Percent Active Infected]]</f>
        <v>72.74226466745904</v>
      </c>
    </row>
    <row r="6" spans="1:54" ht="15.95" customHeight="1" thickBot="1" x14ac:dyDescent="0.3">
      <c r="A6" s="45" t="s">
        <v>279</v>
      </c>
      <c r="B6" s="48">
        <v>322556</v>
      </c>
      <c r="C6" s="49"/>
      <c r="D6" s="48">
        <v>3932</v>
      </c>
      <c r="E6" s="49"/>
      <c r="F6" s="48">
        <v>156433</v>
      </c>
      <c r="G6" s="48">
        <v>11124</v>
      </c>
      <c r="H6" s="49">
        <v>136</v>
      </c>
      <c r="I6" s="48">
        <v>3067620</v>
      </c>
      <c r="J6" s="48">
        <v>105795</v>
      </c>
      <c r="K6" s="57" t="s">
        <v>333</v>
      </c>
      <c r="L6" s="43" t="s">
        <v>242</v>
      </c>
      <c r="M6" s="10">
        <f>Table2[[#This Row],[Active]]/Table2[[#This Row],[Cases]]</f>
        <v>0.4849793524225251</v>
      </c>
      <c r="N6" s="9">
        <f>1000000/Table2[[#This Row],[Cases/1M]]</f>
        <v>89.895720963682123</v>
      </c>
      <c r="O6" s="9">
        <f>1000000/Table2[[#This Row],[Deaths/1M]]</f>
        <v>7352.9411764705883</v>
      </c>
      <c r="P6" s="9">
        <f>Table2[[#This Row],[Deaths]]+Table2[[#This Row],[Active]]*Table2[[#This Row],[Death Rate]]</f>
        <v>5838.9388137253682</v>
      </c>
      <c r="Q6" s="10">
        <f>Table2[[#This Row],[Deaths]]/Table2[[#This Row],[Cases]]</f>
        <v>1.219013132603331E-2</v>
      </c>
      <c r="R6" s="9">
        <f>Table2[[#This Row],[Cases]]/Table2[[#This Row],[Deaths]]</f>
        <v>82.033570701932859</v>
      </c>
      <c r="S6" s="12">
        <f>Table2[[#This Row],[Cases/1M]]/1000000</f>
        <v>1.1124E-2</v>
      </c>
      <c r="T6" s="12">
        <f>Table2[[#This Row],[Deaths/1M]]/1000000</f>
        <v>1.36E-4</v>
      </c>
      <c r="U6" s="13">
        <f>1-Table2[[#This Row],[Deaths]]/Table2[[#This Row],[Ex(Deaths)]]</f>
        <v>0.32658996344383684</v>
      </c>
      <c r="V6" s="13">
        <f>Table2[[#This Row],[Cases]]/Table2[[#This Row],[Tests]]</f>
        <v>0.10514861684302489</v>
      </c>
      <c r="W6" s="12">
        <f>Table2[[#This Row],[Percent Infected]]*Table2[[#This Row],[% Active]]</f>
        <v>5.3949103163481692E-3</v>
      </c>
      <c r="X6" s="9">
        <f>1/Table2[[#This Row],[Percent Active Infected]]</f>
        <v>185.35989318853089</v>
      </c>
    </row>
    <row r="7" spans="1:54" ht="15.95" customHeight="1" thickBot="1" x14ac:dyDescent="0.3">
      <c r="A7" s="45" t="s">
        <v>243</v>
      </c>
      <c r="B7" s="48">
        <v>182804</v>
      </c>
      <c r="C7" s="49"/>
      <c r="D7" s="48">
        <v>15756</v>
      </c>
      <c r="E7" s="49"/>
      <c r="F7" s="48">
        <v>71488</v>
      </c>
      <c r="G7" s="48">
        <v>20581</v>
      </c>
      <c r="H7" s="48">
        <v>1774</v>
      </c>
      <c r="I7" s="48">
        <v>1768928</v>
      </c>
      <c r="J7" s="48">
        <v>199154</v>
      </c>
      <c r="K7" s="57" t="s">
        <v>335</v>
      </c>
      <c r="L7" s="43" t="s">
        <v>242</v>
      </c>
      <c r="M7" s="10">
        <f>Table2[[#This Row],[Active]]/Table2[[#This Row],[Cases]]</f>
        <v>0.39106365287411654</v>
      </c>
      <c r="N7" s="9">
        <f>1000000/Table2[[#This Row],[Cases/1M]]</f>
        <v>48.58850395996307</v>
      </c>
      <c r="O7" s="9">
        <f>1000000/Table2[[#This Row],[Deaths/1M]]</f>
        <v>563.69785794813981</v>
      </c>
      <c r="P7" s="9">
        <f>Table2[[#This Row],[Deaths]]+Table2[[#This Row],[Active]]*Table2[[#This Row],[Death Rate]]</f>
        <v>21917.598914684582</v>
      </c>
      <c r="Q7" s="10">
        <f>Table2[[#This Row],[Deaths]]/Table2[[#This Row],[Cases]]</f>
        <v>8.6190674164679112E-2</v>
      </c>
      <c r="R7" s="9">
        <f>Table2[[#This Row],[Cases]]/Table2[[#This Row],[Deaths]]</f>
        <v>11.602183295252603</v>
      </c>
      <c r="S7" s="12">
        <f>Table2[[#This Row],[Cases/1M]]/1000000</f>
        <v>2.0580999999999999E-2</v>
      </c>
      <c r="T7" s="12">
        <f>Table2[[#This Row],[Deaths/1M]]/1000000</f>
        <v>1.774E-3</v>
      </c>
      <c r="U7" s="13">
        <f>1-Table2[[#This Row],[Deaths]]/Table2[[#This Row],[Ex(Deaths)]]</f>
        <v>0.28112563509666055</v>
      </c>
      <c r="V7" s="13">
        <f>Table2[[#This Row],[Cases]]/Table2[[#This Row],[Tests]]</f>
        <v>0.10334168490746938</v>
      </c>
      <c r="W7" s="12">
        <f>Table2[[#This Row],[Percent Infected]]*Table2[[#This Row],[% Active]]</f>
        <v>8.0484810398021925E-3</v>
      </c>
      <c r="X7" s="9">
        <f>1/Table2[[#This Row],[Percent Active Infected]]</f>
        <v>124.24704674766519</v>
      </c>
    </row>
    <row r="8" spans="1:54" ht="15.95" customHeight="1" thickBot="1" x14ac:dyDescent="0.3">
      <c r="A8" s="45" t="s">
        <v>251</v>
      </c>
      <c r="B8" s="48">
        <v>160509</v>
      </c>
      <c r="C8" s="49"/>
      <c r="D8" s="48">
        <v>7465</v>
      </c>
      <c r="E8" s="49"/>
      <c r="F8" s="48">
        <v>14876</v>
      </c>
      <c r="G8" s="48">
        <v>12667</v>
      </c>
      <c r="H8" s="49">
        <v>589</v>
      </c>
      <c r="I8" s="48">
        <v>2166299</v>
      </c>
      <c r="J8" s="48">
        <v>170954</v>
      </c>
      <c r="K8" s="57" t="s">
        <v>334</v>
      </c>
      <c r="L8" s="43" t="s">
        <v>242</v>
      </c>
      <c r="M8" s="10">
        <f>Table2[[#This Row],[Active]]/Table2[[#This Row],[Cases]]</f>
        <v>9.2680161237064587E-2</v>
      </c>
      <c r="N8" s="9">
        <f>1000000/Table2[[#This Row],[Cases/1M]]</f>
        <v>78.945290913397017</v>
      </c>
      <c r="O8" s="9">
        <f>1000000/Table2[[#This Row],[Deaths/1M]]</f>
        <v>1697.7928692699491</v>
      </c>
      <c r="P8" s="9">
        <f>Table2[[#This Row],[Deaths]]+Table2[[#This Row],[Active]]*Table2[[#This Row],[Death Rate]]</f>
        <v>8156.8574036346872</v>
      </c>
      <c r="Q8" s="10">
        <f>Table2[[#This Row],[Deaths]]/Table2[[#This Row],[Cases]]</f>
        <v>4.6508295484988381E-2</v>
      </c>
      <c r="R8" s="9">
        <f>Table2[[#This Row],[Cases]]/Table2[[#This Row],[Deaths]]</f>
        <v>21.501540522438045</v>
      </c>
      <c r="S8" s="12">
        <f>Table2[[#This Row],[Cases/1M]]/1000000</f>
        <v>1.2666999999999999E-2</v>
      </c>
      <c r="T8" s="12">
        <f>Table2[[#This Row],[Deaths/1M]]/1000000</f>
        <v>5.8900000000000001E-4</v>
      </c>
      <c r="U8" s="13">
        <f>1-Table2[[#This Row],[Deaths]]/Table2[[#This Row],[Ex(Deaths)]]</f>
        <v>8.4819112238788907E-2</v>
      </c>
      <c r="V8" s="13">
        <f>Table2[[#This Row],[Cases]]/Table2[[#This Row],[Tests]]</f>
        <v>7.4093650045538501E-2</v>
      </c>
      <c r="W8" s="12">
        <f>Table2[[#This Row],[Percent Infected]]*Table2[[#This Row],[% Active]]</f>
        <v>1.173979602389897E-3</v>
      </c>
      <c r="X8" s="9">
        <f>1/Table2[[#This Row],[Percent Active Infected]]</f>
        <v>851.80355601091981</v>
      </c>
    </row>
    <row r="9" spans="1:54" ht="15.95" customHeight="1" thickBot="1" x14ac:dyDescent="0.3">
      <c r="A9" s="45" t="s">
        <v>267</v>
      </c>
      <c r="B9" s="48">
        <v>141265</v>
      </c>
      <c r="C9" s="60">
        <v>2742</v>
      </c>
      <c r="D9" s="48">
        <v>2730</v>
      </c>
      <c r="E9" s="58">
        <v>147</v>
      </c>
      <c r="F9" s="48">
        <v>121351</v>
      </c>
      <c r="G9" s="48">
        <v>19408</v>
      </c>
      <c r="H9" s="49">
        <v>375</v>
      </c>
      <c r="I9" s="48">
        <v>969837</v>
      </c>
      <c r="J9" s="48">
        <v>133243</v>
      </c>
      <c r="K9" s="57" t="s">
        <v>336</v>
      </c>
      <c r="L9" s="43" t="s">
        <v>242</v>
      </c>
      <c r="M9" s="10">
        <f>Table2[[#This Row],[Active]]/Table2[[#This Row],[Cases]]</f>
        <v>0.85903089937351784</v>
      </c>
      <c r="N9" s="9">
        <f>1000000/Table2[[#This Row],[Cases/1M]]</f>
        <v>51.525144270403956</v>
      </c>
      <c r="O9" s="9">
        <f>1000000/Table2[[#This Row],[Deaths/1M]]</f>
        <v>2666.6666666666665</v>
      </c>
      <c r="P9" s="9">
        <f>Table2[[#This Row],[Deaths]]+Table2[[#This Row],[Active]]*Table2[[#This Row],[Death Rate]]</f>
        <v>5075.1543552897037</v>
      </c>
      <c r="Q9" s="10">
        <f>Table2[[#This Row],[Deaths]]/Table2[[#This Row],[Cases]]</f>
        <v>1.9325381375429159E-2</v>
      </c>
      <c r="R9" s="9">
        <f>Table2[[#This Row],[Cases]]/Table2[[#This Row],[Deaths]]</f>
        <v>51.745421245421248</v>
      </c>
      <c r="S9" s="12">
        <f>Table2[[#This Row],[Cases/1M]]/1000000</f>
        <v>1.9408000000000002E-2</v>
      </c>
      <c r="T9" s="12">
        <f>Table2[[#This Row],[Deaths/1M]]/1000000</f>
        <v>3.7500000000000001E-4</v>
      </c>
      <c r="U9" s="13">
        <f>1-Table2[[#This Row],[Deaths]]/Table2[[#This Row],[Ex(Deaths)]]</f>
        <v>0.46208532610351238</v>
      </c>
      <c r="V9" s="13">
        <f>Table2[[#This Row],[Cases]]/Table2[[#This Row],[Tests]]</f>
        <v>0.14565849725263111</v>
      </c>
      <c r="W9" s="12">
        <f>Table2[[#This Row],[Percent Infected]]*Table2[[#This Row],[% Active]]</f>
        <v>1.6672071695041236E-2</v>
      </c>
      <c r="X9" s="9">
        <f>1/Table2[[#This Row],[Percent Active Infected]]</f>
        <v>59.980548206101425</v>
      </c>
    </row>
    <row r="10" spans="1:54" ht="15.95" customHeight="1" thickBot="1" x14ac:dyDescent="0.3">
      <c r="A10" s="45" t="s">
        <v>150</v>
      </c>
      <c r="B10" s="48">
        <v>135183</v>
      </c>
      <c r="C10" s="49"/>
      <c r="D10" s="48">
        <v>3132</v>
      </c>
      <c r="E10" s="49"/>
      <c r="F10" s="48">
        <v>110491</v>
      </c>
      <c r="G10" s="48">
        <v>12732</v>
      </c>
      <c r="H10" s="49">
        <v>295</v>
      </c>
      <c r="I10" s="48">
        <v>1392154</v>
      </c>
      <c r="J10" s="48">
        <v>131120</v>
      </c>
      <c r="K10" s="43" t="s">
        <v>330</v>
      </c>
      <c r="L10" s="43" t="s">
        <v>242</v>
      </c>
      <c r="M10" s="24">
        <f>Table2[[#This Row],[Active]]/Table2[[#This Row],[Cases]]</f>
        <v>0.81734389679175634</v>
      </c>
      <c r="N10" s="9">
        <f>1000000/Table2[[#This Row],[Cases/1M]]</f>
        <v>78.542255733584668</v>
      </c>
      <c r="O10" s="9">
        <f>1000000/Table2[[#This Row],[Deaths/1M]]</f>
        <v>3389.8305084745762</v>
      </c>
      <c r="P10" s="9">
        <f>Table2[[#This Row],[Deaths]]+Table2[[#This Row],[Active]]*Table2[[#This Row],[Death Rate]]</f>
        <v>5691.9210847517807</v>
      </c>
      <c r="Q10" s="10">
        <f>Table2[[#This Row],[Deaths]]/Table2[[#This Row],[Cases]]</f>
        <v>2.3168593684117087E-2</v>
      </c>
      <c r="R10" s="9">
        <f>Table2[[#This Row],[Cases]]/Table2[[#This Row],[Deaths]]</f>
        <v>43.161877394636015</v>
      </c>
      <c r="S10" s="12">
        <f>Table2[[#This Row],[Cases/1M]]/1000000</f>
        <v>1.2732E-2</v>
      </c>
      <c r="T10" s="12">
        <f>Table2[[#This Row],[Deaths/1M]]/1000000</f>
        <v>2.9500000000000001E-4</v>
      </c>
      <c r="U10" s="13">
        <f>1-Table2[[#This Row],[Deaths]]/Table2[[#This Row],[Ex(Deaths)]]</f>
        <v>0.44974641191172038</v>
      </c>
      <c r="V10" s="13">
        <f>Table2[[#This Row],[Cases]]/Table2[[#This Row],[Tests]]</f>
        <v>9.7103481367722247E-2</v>
      </c>
      <c r="W10" s="12">
        <f>Table2[[#This Row],[Percent Infected]]*Table2[[#This Row],[% Active]]</f>
        <v>1.0406422493952641E-2</v>
      </c>
      <c r="X10" s="9">
        <f>1/Table2[[#This Row],[Percent Active Infected]]</f>
        <v>96.094503234047821</v>
      </c>
    </row>
    <row r="11" spans="1:54" ht="15.95" customHeight="1" thickBot="1" x14ac:dyDescent="0.3">
      <c r="A11" s="45" t="s">
        <v>245</v>
      </c>
      <c r="B11" s="48">
        <v>112879</v>
      </c>
      <c r="C11" s="49"/>
      <c r="D11" s="48">
        <v>8402</v>
      </c>
      <c r="E11" s="49"/>
      <c r="F11" s="48">
        <v>9087</v>
      </c>
      <c r="G11" s="48">
        <v>16377</v>
      </c>
      <c r="H11" s="48">
        <v>1219</v>
      </c>
      <c r="I11" s="48">
        <v>1092734</v>
      </c>
      <c r="J11" s="48">
        <v>158540</v>
      </c>
      <c r="K11" s="43" t="s">
        <v>330</v>
      </c>
      <c r="L11" s="43" t="s">
        <v>242</v>
      </c>
      <c r="M11" s="10">
        <f>Table2[[#This Row],[Active]]/Table2[[#This Row],[Cases]]</f>
        <v>8.0502130600023036E-2</v>
      </c>
      <c r="N11" s="9">
        <f>1000000/Table2[[#This Row],[Cases/1M]]</f>
        <v>61.061244428161444</v>
      </c>
      <c r="O11" s="9">
        <f>1000000/Table2[[#This Row],[Deaths/1M]]</f>
        <v>820.34454470877768</v>
      </c>
      <c r="P11" s="9">
        <f>Table2[[#This Row],[Deaths]]+Table2[[#This Row],[Active]]*Table2[[#This Row],[Death Rate]]</f>
        <v>9078.3789013013939</v>
      </c>
      <c r="Q11" s="10">
        <f>Table2[[#This Row],[Deaths]]/Table2[[#This Row],[Cases]]</f>
        <v>7.4433685627973312E-2</v>
      </c>
      <c r="R11" s="9">
        <f>Table2[[#This Row],[Cases]]/Table2[[#This Row],[Deaths]]</f>
        <v>13.4347774339443</v>
      </c>
      <c r="S11" s="12">
        <f>Table2[[#This Row],[Cases/1M]]/1000000</f>
        <v>1.6376999999999999E-2</v>
      </c>
      <c r="T11" s="12">
        <f>Table2[[#This Row],[Deaths/1M]]/1000000</f>
        <v>1.219E-3</v>
      </c>
      <c r="U11" s="13">
        <f>1-Table2[[#This Row],[Deaths]]/Table2[[#This Row],[Ex(Deaths)]]</f>
        <v>7.4504370070347492E-2</v>
      </c>
      <c r="V11" s="13">
        <f>Table2[[#This Row],[Cases]]/Table2[[#This Row],[Tests]]</f>
        <v>0.10329961362966651</v>
      </c>
      <c r="W11" s="12">
        <f>Table2[[#This Row],[Percent Infected]]*Table2[[#This Row],[% Active]]</f>
        <v>1.3183833928365773E-3</v>
      </c>
      <c r="X11" s="9">
        <f>1/Table2[[#This Row],[Percent Active Infected]]</f>
        <v>758.50470009975083</v>
      </c>
    </row>
    <row r="12" spans="1:54" ht="15.95" customHeight="1" thickBot="1" x14ac:dyDescent="0.3">
      <c r="A12" s="45" t="s">
        <v>250</v>
      </c>
      <c r="B12" s="48">
        <v>104485</v>
      </c>
      <c r="C12" s="59">
        <v>313</v>
      </c>
      <c r="D12" s="48">
        <v>7076</v>
      </c>
      <c r="E12" s="58">
        <v>8</v>
      </c>
      <c r="F12" s="48">
        <v>21806</v>
      </c>
      <c r="G12" s="48">
        <v>8162</v>
      </c>
      <c r="H12" s="49">
        <v>553</v>
      </c>
      <c r="I12" s="48">
        <v>1011265</v>
      </c>
      <c r="J12" s="48">
        <v>78993</v>
      </c>
      <c r="K12" s="43" t="s">
        <v>330</v>
      </c>
      <c r="L12" s="43" t="s">
        <v>242</v>
      </c>
      <c r="M12" s="10">
        <f>Table2[[#This Row],[Active]]/Table2[[#This Row],[Cases]]</f>
        <v>0.20869981337034024</v>
      </c>
      <c r="N12" s="9">
        <f>1000000/Table2[[#This Row],[Cases/1M]]</f>
        <v>122.51899044351875</v>
      </c>
      <c r="O12" s="9">
        <f>1000000/Table2[[#This Row],[Deaths/1M]]</f>
        <v>1808.3182640144666</v>
      </c>
      <c r="P12" s="9">
        <f>Table2[[#This Row],[Deaths]]+Table2[[#This Row],[Active]]*Table2[[#This Row],[Death Rate]]</f>
        <v>8552.7598794085279</v>
      </c>
      <c r="Q12" s="10">
        <f>Table2[[#This Row],[Deaths]]/Table2[[#This Row],[Cases]]</f>
        <v>6.7722639613341629E-2</v>
      </c>
      <c r="R12" s="9">
        <f>Table2[[#This Row],[Cases]]/Table2[[#This Row],[Deaths]]</f>
        <v>14.766110797060486</v>
      </c>
      <c r="S12" s="12">
        <f>Table2[[#This Row],[Cases/1M]]/1000000</f>
        <v>8.1620000000000009E-3</v>
      </c>
      <c r="T12" s="12">
        <f>Table2[[#This Row],[Deaths/1M]]/1000000</f>
        <v>5.53E-4</v>
      </c>
      <c r="U12" s="13">
        <f>1-Table2[[#This Row],[Deaths]]/Table2[[#This Row],[Ex(Deaths)]]</f>
        <v>0.17266471878439482</v>
      </c>
      <c r="V12" s="13">
        <f>Table2[[#This Row],[Cases]]/Table2[[#This Row],[Tests]]</f>
        <v>0.10332108794430737</v>
      </c>
      <c r="W12" s="12">
        <f>Table2[[#This Row],[Percent Infected]]*Table2[[#This Row],[% Active]]</f>
        <v>1.7034078767287173E-3</v>
      </c>
      <c r="X12" s="9">
        <f>1/Table2[[#This Row],[Percent Active Infected]]</f>
        <v>587.05845714441227</v>
      </c>
    </row>
    <row r="13" spans="1:54" ht="15.95" customHeight="1" thickBot="1" x14ac:dyDescent="0.3">
      <c r="A13" s="45" t="s">
        <v>275</v>
      </c>
      <c r="B13" s="48">
        <v>95572</v>
      </c>
      <c r="C13" s="49"/>
      <c r="D13" s="48">
        <v>1634</v>
      </c>
      <c r="E13" s="49"/>
      <c r="F13" s="48">
        <v>26814</v>
      </c>
      <c r="G13" s="48">
        <v>9112</v>
      </c>
      <c r="H13" s="49">
        <v>156</v>
      </c>
      <c r="I13" s="48">
        <v>1343974</v>
      </c>
      <c r="J13" s="48">
        <v>128143</v>
      </c>
      <c r="K13" s="57" t="s">
        <v>334</v>
      </c>
      <c r="L13" s="43" t="s">
        <v>242</v>
      </c>
      <c r="M13" s="10">
        <f>Table2[[#This Row],[Active]]/Table2[[#This Row],[Cases]]</f>
        <v>0.28056334491273593</v>
      </c>
      <c r="N13" s="9">
        <f>1000000/Table2[[#This Row],[Cases/1M]]</f>
        <v>109.74539069359086</v>
      </c>
      <c r="O13" s="9">
        <f>1000000/Table2[[#This Row],[Deaths/1M]]</f>
        <v>6410.2564102564102</v>
      </c>
      <c r="P13" s="9">
        <f>Table2[[#This Row],[Deaths]]+Table2[[#This Row],[Active]]*Table2[[#This Row],[Death Rate]]</f>
        <v>2092.4405055874104</v>
      </c>
      <c r="Q13" s="10">
        <f>Table2[[#This Row],[Deaths]]/Table2[[#This Row],[Cases]]</f>
        <v>1.7097057715648935E-2</v>
      </c>
      <c r="R13" s="9">
        <f>Table2[[#This Row],[Cases]]/Table2[[#This Row],[Deaths]]</f>
        <v>58.489596083231334</v>
      </c>
      <c r="S13" s="12">
        <f>Table2[[#This Row],[Cases/1M]]/1000000</f>
        <v>9.1120000000000003E-3</v>
      </c>
      <c r="T13" s="12">
        <f>Table2[[#This Row],[Deaths/1M]]/1000000</f>
        <v>1.56E-4</v>
      </c>
      <c r="U13" s="13">
        <f>1-Table2[[#This Row],[Deaths]]/Table2[[#This Row],[Ex(Deaths)]]</f>
        <v>0.21909368718644284</v>
      </c>
      <c r="V13" s="13">
        <f>Table2[[#This Row],[Cases]]/Table2[[#This Row],[Tests]]</f>
        <v>7.1111494716415646E-2</v>
      </c>
      <c r="W13" s="12">
        <f>Table2[[#This Row],[Percent Infected]]*Table2[[#This Row],[% Active]]</f>
        <v>2.5564931988448498E-3</v>
      </c>
      <c r="X13" s="9">
        <f>1/Table2[[#This Row],[Percent Active Infected]]</f>
        <v>391.16082939389378</v>
      </c>
    </row>
    <row r="14" spans="1:54" ht="15.95" customHeight="1" thickBot="1" x14ac:dyDescent="0.3">
      <c r="A14" s="45" t="s">
        <v>247</v>
      </c>
      <c r="B14" s="48">
        <v>88590</v>
      </c>
      <c r="C14" s="49"/>
      <c r="D14" s="48">
        <v>3511</v>
      </c>
      <c r="E14" s="49"/>
      <c r="F14" s="48">
        <v>31791</v>
      </c>
      <c r="G14" s="48">
        <v>19057</v>
      </c>
      <c r="H14" s="49">
        <v>755</v>
      </c>
      <c r="I14" s="48">
        <v>1043940</v>
      </c>
      <c r="J14" s="48">
        <v>224561</v>
      </c>
      <c r="K14" s="57" t="s">
        <v>338</v>
      </c>
      <c r="L14" s="43" t="s">
        <v>242</v>
      </c>
      <c r="M14" s="10">
        <f>Table2[[#This Row],[Active]]/Table2[[#This Row],[Cases]]</f>
        <v>0.35885540128682697</v>
      </c>
      <c r="N14" s="9">
        <f>1000000/Table2[[#This Row],[Cases/1M]]</f>
        <v>52.474156477934621</v>
      </c>
      <c r="O14" s="9">
        <f>1000000/Table2[[#This Row],[Deaths/1M]]</f>
        <v>1324.5033112582782</v>
      </c>
      <c r="P14" s="9">
        <f>Table2[[#This Row],[Deaths]]+Table2[[#This Row],[Active]]*Table2[[#This Row],[Death Rate]]</f>
        <v>4770.9413139180497</v>
      </c>
      <c r="Q14" s="10">
        <f>Table2[[#This Row],[Deaths]]/Table2[[#This Row],[Cases]]</f>
        <v>3.9632012642510442E-2</v>
      </c>
      <c r="R14" s="9">
        <f>Table2[[#This Row],[Cases]]/Table2[[#This Row],[Deaths]]</f>
        <v>25.23212759897465</v>
      </c>
      <c r="S14" s="12">
        <f>Table2[[#This Row],[Cases/1M]]/1000000</f>
        <v>1.9057000000000001E-2</v>
      </c>
      <c r="T14" s="12">
        <f>Table2[[#This Row],[Deaths/1M]]/1000000</f>
        <v>7.5500000000000003E-4</v>
      </c>
      <c r="U14" s="13">
        <f>1-Table2[[#This Row],[Deaths]]/Table2[[#This Row],[Ex(Deaths)]]</f>
        <v>0.26408652528222898</v>
      </c>
      <c r="V14" s="13">
        <f>Table2[[#This Row],[Cases]]/Table2[[#This Row],[Tests]]</f>
        <v>8.4861198919478131E-2</v>
      </c>
      <c r="W14" s="12">
        <f>Table2[[#This Row],[Percent Infected]]*Table2[[#This Row],[% Active]]</f>
        <v>6.8387073823230615E-3</v>
      </c>
      <c r="X14" s="9">
        <f>1/Table2[[#This Row],[Percent Active Infected]]</f>
        <v>146.22646416848252</v>
      </c>
    </row>
    <row r="15" spans="1:54" ht="15.95" customHeight="1" thickBot="1" x14ac:dyDescent="0.3">
      <c r="A15" s="45" t="s">
        <v>249</v>
      </c>
      <c r="B15" s="48">
        <v>80593</v>
      </c>
      <c r="C15" s="49"/>
      <c r="D15" s="48">
        <v>6355</v>
      </c>
      <c r="E15" s="49"/>
      <c r="F15" s="48">
        <v>20371</v>
      </c>
      <c r="G15" s="48">
        <v>8070</v>
      </c>
      <c r="H15" s="49">
        <v>636</v>
      </c>
      <c r="I15" s="48">
        <v>1638290</v>
      </c>
      <c r="J15" s="48">
        <v>164045</v>
      </c>
      <c r="K15" s="57" t="s">
        <v>334</v>
      </c>
      <c r="L15" s="43" t="s">
        <v>242</v>
      </c>
      <c r="M15" s="10">
        <f>Table2[[#This Row],[Active]]/Table2[[#This Row],[Cases]]</f>
        <v>0.25276388768255309</v>
      </c>
      <c r="N15" s="9">
        <f>1000000/Table2[[#This Row],[Cases/1M]]</f>
        <v>123.91573729863693</v>
      </c>
      <c r="O15" s="9">
        <f>1000000/Table2[[#This Row],[Deaths/1M]]</f>
        <v>1572.3270440251572</v>
      </c>
      <c r="P15" s="9">
        <f>Table2[[#This Row],[Deaths]]+Table2[[#This Row],[Active]]*Table2[[#This Row],[Death Rate]]</f>
        <v>7961.3145062226249</v>
      </c>
      <c r="Q15" s="10">
        <f>Table2[[#This Row],[Deaths]]/Table2[[#This Row],[Cases]]</f>
        <v>7.8853002121772361E-2</v>
      </c>
      <c r="R15" s="9">
        <f>Table2[[#This Row],[Cases]]/Table2[[#This Row],[Deaths]]</f>
        <v>12.681825334382376</v>
      </c>
      <c r="S15" s="12">
        <f>Table2[[#This Row],[Cases/1M]]/1000000</f>
        <v>8.0700000000000008E-3</v>
      </c>
      <c r="T15" s="12">
        <f>Table2[[#This Row],[Deaths/1M]]/1000000</f>
        <v>6.3599999999999996E-4</v>
      </c>
      <c r="U15" s="13">
        <f>1-Table2[[#This Row],[Deaths]]/Table2[[#This Row],[Ex(Deaths)]]</f>
        <v>0.20176498553940014</v>
      </c>
      <c r="V15" s="13">
        <f>Table2[[#This Row],[Cases]]/Table2[[#This Row],[Tests]]</f>
        <v>4.9193366253837842E-2</v>
      </c>
      <c r="W15" s="12">
        <f>Table2[[#This Row],[Percent Infected]]*Table2[[#This Row],[% Active]]</f>
        <v>2.0398045735982038E-3</v>
      </c>
      <c r="X15" s="9">
        <f>1/Table2[[#This Row],[Percent Active Infected]]</f>
        <v>490.24304236949797</v>
      </c>
    </row>
    <row r="16" spans="1:54" ht="15.95" customHeight="1" thickBot="1" x14ac:dyDescent="0.3">
      <c r="A16" s="45" t="s">
        <v>252</v>
      </c>
      <c r="B16" s="48">
        <v>77206</v>
      </c>
      <c r="C16" s="59">
        <v>835</v>
      </c>
      <c r="D16" s="48">
        <v>3368</v>
      </c>
      <c r="E16" s="58">
        <v>9</v>
      </c>
      <c r="F16" s="48">
        <v>68552</v>
      </c>
      <c r="G16" s="48">
        <v>12770</v>
      </c>
      <c r="H16" s="49">
        <v>557</v>
      </c>
      <c r="I16" s="48">
        <v>896990</v>
      </c>
      <c r="J16" s="48">
        <v>148369</v>
      </c>
      <c r="K16" s="57" t="s">
        <v>336</v>
      </c>
      <c r="L16" s="43" t="s">
        <v>242</v>
      </c>
      <c r="M16" s="10">
        <f>Table2[[#This Row],[Active]]/Table2[[#This Row],[Cases]]</f>
        <v>0.88791026604149936</v>
      </c>
      <c r="N16" s="9">
        <f>1000000/Table2[[#This Row],[Cases/1M]]</f>
        <v>78.308535630383716</v>
      </c>
      <c r="O16" s="9">
        <f>1000000/Table2[[#This Row],[Deaths/1M]]</f>
        <v>1795.3321364452424</v>
      </c>
      <c r="P16" s="9">
        <f>Table2[[#This Row],[Deaths]]+Table2[[#This Row],[Active]]*Table2[[#This Row],[Death Rate]]</f>
        <v>6358.4817760277692</v>
      </c>
      <c r="Q16" s="10">
        <f>Table2[[#This Row],[Deaths]]/Table2[[#This Row],[Cases]]</f>
        <v>4.3623552573634171E-2</v>
      </c>
      <c r="R16" s="9">
        <f>Table2[[#This Row],[Cases]]/Table2[[#This Row],[Deaths]]</f>
        <v>22.923396674584325</v>
      </c>
      <c r="S16" s="12">
        <f>Table2[[#This Row],[Cases/1M]]/1000000</f>
        <v>1.277E-2</v>
      </c>
      <c r="T16" s="22">
        <f>Table2[[#This Row],[Deaths/1M]]/1000000</f>
        <v>5.5699999999999999E-4</v>
      </c>
      <c r="U16" s="13">
        <f>1-Table2[[#This Row],[Deaths]]/Table2[[#This Row],[Ex(Deaths)]]</f>
        <v>0.47031380781843868</v>
      </c>
      <c r="V16" s="13">
        <f>Table2[[#This Row],[Cases]]/Table2[[#This Row],[Tests]]</f>
        <v>8.6072308498422498E-2</v>
      </c>
      <c r="W16" s="12">
        <f>Table2[[#This Row],[Percent Infected]]*Table2[[#This Row],[% Active]]</f>
        <v>1.1338614097349946E-2</v>
      </c>
      <c r="X16" s="9">
        <f>1/Table2[[#This Row],[Percent Active Infected]]</f>
        <v>88.194200050755711</v>
      </c>
    </row>
    <row r="17" spans="1:24" ht="15.95" customHeight="1" thickBot="1" x14ac:dyDescent="0.3">
      <c r="A17" s="45" t="s">
        <v>263</v>
      </c>
      <c r="B17" s="48">
        <v>76373</v>
      </c>
      <c r="C17" s="59">
        <v>940</v>
      </c>
      <c r="D17" s="48">
        <v>2025</v>
      </c>
      <c r="E17" s="58">
        <v>12</v>
      </c>
      <c r="F17" s="48">
        <v>64372</v>
      </c>
      <c r="G17" s="48">
        <v>8948</v>
      </c>
      <c r="H17" s="49">
        <v>237</v>
      </c>
      <c r="I17" s="48">
        <v>978640</v>
      </c>
      <c r="J17" s="48">
        <v>114655</v>
      </c>
      <c r="K17" s="43" t="s">
        <v>330</v>
      </c>
      <c r="L17" s="43" t="s">
        <v>242</v>
      </c>
      <c r="M17" s="10">
        <f>Table2[[#This Row],[Active]]/Table2[[#This Row],[Cases]]</f>
        <v>0.84286331556963845</v>
      </c>
      <c r="N17" s="9">
        <f>1000000/Table2[[#This Row],[Cases/1M]]</f>
        <v>111.75681716584711</v>
      </c>
      <c r="O17" s="9">
        <f>1000000/Table2[[#This Row],[Deaths/1M]]</f>
        <v>4219.4092827004215</v>
      </c>
      <c r="P17" s="9">
        <f>Table2[[#This Row],[Deaths]]+Table2[[#This Row],[Active]]*Table2[[#This Row],[Death Rate]]</f>
        <v>3731.7982140285176</v>
      </c>
      <c r="Q17" s="10">
        <f>Table2[[#This Row],[Deaths]]/Table2[[#This Row],[Cases]]</f>
        <v>2.6514605947127911E-2</v>
      </c>
      <c r="R17" s="9">
        <f>Table2[[#This Row],[Cases]]/Table2[[#This Row],[Deaths]]</f>
        <v>37.715061728395064</v>
      </c>
      <c r="S17" s="12">
        <f>Table2[[#This Row],[Cases/1M]]/1000000</f>
        <v>8.9479999999999994E-3</v>
      </c>
      <c r="T17" s="12">
        <f>Table2[[#This Row],[Deaths/1M]]/1000000</f>
        <v>2.3699999999999999E-4</v>
      </c>
      <c r="U17" s="13">
        <f>1-Table2[[#This Row],[Deaths]]/Table2[[#This Row],[Ex(Deaths)]]</f>
        <v>0.45736615865572483</v>
      </c>
      <c r="V17" s="13">
        <f>Table2[[#This Row],[Cases]]/Table2[[#This Row],[Tests]]</f>
        <v>7.8039932968200762E-2</v>
      </c>
      <c r="W17" s="12">
        <f>Table2[[#This Row],[Percent Infected]]*Table2[[#This Row],[% Active]]</f>
        <v>7.541940947717124E-3</v>
      </c>
      <c r="X17" s="9">
        <f>1/Table2[[#This Row],[Percent Active Infected]]</f>
        <v>132.5918628814895</v>
      </c>
    </row>
    <row r="18" spans="1:24" ht="15.95" customHeight="1" thickBot="1" x14ac:dyDescent="0.3">
      <c r="A18" s="45" t="s">
        <v>280</v>
      </c>
      <c r="B18" s="48">
        <v>73819</v>
      </c>
      <c r="C18" s="49"/>
      <c r="D18" s="49">
        <v>815</v>
      </c>
      <c r="E18" s="49"/>
      <c r="F18" s="48">
        <v>30270</v>
      </c>
      <c r="G18" s="48">
        <v>10809</v>
      </c>
      <c r="H18" s="49">
        <v>119</v>
      </c>
      <c r="I18" s="48">
        <v>1149991</v>
      </c>
      <c r="J18" s="48">
        <v>168394</v>
      </c>
      <c r="K18" s="57" t="s">
        <v>337</v>
      </c>
      <c r="L18" s="43" t="s">
        <v>242</v>
      </c>
      <c r="M18" s="10">
        <f>Table2[[#This Row],[Active]]/Table2[[#This Row],[Cases]]</f>
        <v>0.41005703138758315</v>
      </c>
      <c r="N18" s="9">
        <f>1000000/Table2[[#This Row],[Cases/1M]]</f>
        <v>92.515496345637899</v>
      </c>
      <c r="O18" s="9">
        <f>1000000/Table2[[#This Row],[Deaths/1M]]</f>
        <v>8403.361344537816</v>
      </c>
      <c r="P18" s="9">
        <f>Table2[[#This Row],[Deaths]]+Table2[[#This Row],[Active]]*Table2[[#This Row],[Death Rate]]</f>
        <v>1149.1964805808802</v>
      </c>
      <c r="Q18" s="10">
        <f>Table2[[#This Row],[Deaths]]/Table2[[#This Row],[Cases]]</f>
        <v>1.1040518023815006E-2</v>
      </c>
      <c r="R18" s="9">
        <f>Table2[[#This Row],[Cases]]/Table2[[#This Row],[Deaths]]</f>
        <v>90.575460122699383</v>
      </c>
      <c r="S18" s="12">
        <f>Table2[[#This Row],[Cases/1M]]/1000000</f>
        <v>1.0808999999999999E-2</v>
      </c>
      <c r="T18" s="22">
        <f>Table2[[#This Row],[Deaths/1M]]/1000000</f>
        <v>1.1900000000000001E-4</v>
      </c>
      <c r="U18" s="13">
        <f>1-Table2[[#This Row],[Deaths]]/Table2[[#This Row],[Ex(Deaths)]]</f>
        <v>0.29080882706145705</v>
      </c>
      <c r="V18" s="13">
        <f>Table2[[#This Row],[Cases]]/Table2[[#This Row],[Tests]]</f>
        <v>6.4190937146464622E-2</v>
      </c>
      <c r="W18" s="12">
        <f>Table2[[#This Row],[Percent Infected]]*Table2[[#This Row],[% Active]]</f>
        <v>4.4323064522683855E-3</v>
      </c>
      <c r="X18" s="9">
        <f>1/Table2[[#This Row],[Percent Active Infected]]</f>
        <v>225.61616864019308</v>
      </c>
    </row>
    <row r="19" spans="1:24" ht="15.95" customHeight="1" thickBot="1" x14ac:dyDescent="0.3">
      <c r="A19" s="45" t="s">
        <v>257</v>
      </c>
      <c r="B19" s="48">
        <v>72321</v>
      </c>
      <c r="C19" s="49"/>
      <c r="D19" s="48">
        <v>3119</v>
      </c>
      <c r="E19" s="49"/>
      <c r="F19" s="48">
        <v>19900</v>
      </c>
      <c r="G19" s="48">
        <v>6187</v>
      </c>
      <c r="H19" s="49">
        <v>267</v>
      </c>
      <c r="I19" s="48">
        <v>1112019</v>
      </c>
      <c r="J19" s="48">
        <v>95133</v>
      </c>
      <c r="K19" s="57" t="s">
        <v>338</v>
      </c>
      <c r="L19" s="43" t="s">
        <v>242</v>
      </c>
      <c r="M19" s="10">
        <f>Table2[[#This Row],[Active]]/Table2[[#This Row],[Cases]]</f>
        <v>0.27516212441752741</v>
      </c>
      <c r="N19" s="9">
        <f>1000000/Table2[[#This Row],[Cases/1M]]</f>
        <v>161.62922256343947</v>
      </c>
      <c r="O19" s="9">
        <f>1000000/Table2[[#This Row],[Deaths/1M]]</f>
        <v>3745.318352059925</v>
      </c>
      <c r="P19" s="9">
        <f>Table2[[#This Row],[Deaths]]+Table2[[#This Row],[Active]]*Table2[[#This Row],[Death Rate]]</f>
        <v>3977.2306660582681</v>
      </c>
      <c r="Q19" s="10">
        <f>Table2[[#This Row],[Deaths]]/Table2[[#This Row],[Cases]]</f>
        <v>4.3127169148656684E-2</v>
      </c>
      <c r="R19" s="9">
        <f>Table2[[#This Row],[Cases]]/Table2[[#This Row],[Deaths]]</f>
        <v>23.187239499839691</v>
      </c>
      <c r="S19" s="12">
        <f>Table2[[#This Row],[Cases/1M]]/1000000</f>
        <v>6.1869999999999998E-3</v>
      </c>
      <c r="T19" s="12">
        <f>Table2[[#This Row],[Deaths/1M]]/1000000</f>
        <v>2.6699999999999998E-4</v>
      </c>
      <c r="U19" s="13">
        <f>1-Table2[[#This Row],[Deaths]]/Table2[[#This Row],[Ex(Deaths)]]</f>
        <v>0.21578599234447682</v>
      </c>
      <c r="V19" s="13">
        <f>Table2[[#This Row],[Cases]]/Table2[[#This Row],[Tests]]</f>
        <v>6.5035759281091426E-2</v>
      </c>
      <c r="W19" s="12">
        <f>Table2[[#This Row],[Percent Infected]]*Table2[[#This Row],[% Active]]</f>
        <v>1.7024280637712419E-3</v>
      </c>
      <c r="X19" s="9">
        <f>1/Table2[[#This Row],[Percent Active Infected]]</f>
        <v>587.39633191007567</v>
      </c>
    </row>
    <row r="20" spans="1:24" ht="15.95" customHeight="1" thickBot="1" x14ac:dyDescent="0.3">
      <c r="A20" s="45" t="s">
        <v>272</v>
      </c>
      <c r="B20" s="48">
        <v>66060</v>
      </c>
      <c r="C20" s="49"/>
      <c r="D20" s="48">
        <v>1096</v>
      </c>
      <c r="E20" s="49"/>
      <c r="F20" s="48">
        <v>40059</v>
      </c>
      <c r="G20" s="48">
        <v>12830</v>
      </c>
      <c r="H20" s="49">
        <v>213</v>
      </c>
      <c r="I20" s="48">
        <v>601610</v>
      </c>
      <c r="J20" s="48">
        <v>116847</v>
      </c>
      <c r="K20" s="57" t="s">
        <v>333</v>
      </c>
      <c r="L20" s="43" t="s">
        <v>242</v>
      </c>
      <c r="M20" s="10">
        <f>Table2[[#This Row],[Active]]/Table2[[#This Row],[Cases]]</f>
        <v>0.60640326975476844</v>
      </c>
      <c r="N20" s="9">
        <f>1000000/Table2[[#This Row],[Cases/1M]]</f>
        <v>77.942322681215899</v>
      </c>
      <c r="O20" s="9">
        <f>1000000/Table2[[#This Row],[Deaths/1M]]</f>
        <v>4694.8356807511736</v>
      </c>
      <c r="P20" s="9">
        <f>Table2[[#This Row],[Deaths]]+Table2[[#This Row],[Active]]*Table2[[#This Row],[Death Rate]]</f>
        <v>1760.617983651226</v>
      </c>
      <c r="Q20" s="10">
        <f>Table2[[#This Row],[Deaths]]/Table2[[#This Row],[Cases]]</f>
        <v>1.6590977898879807E-2</v>
      </c>
      <c r="R20" s="9">
        <f>Table2[[#This Row],[Cases]]/Table2[[#This Row],[Deaths]]</f>
        <v>60.273722627737229</v>
      </c>
      <c r="S20" s="12">
        <f>Table2[[#This Row],[Cases/1M]]/1000000</f>
        <v>1.2829999999999999E-2</v>
      </c>
      <c r="T20" s="12">
        <f>Table2[[#This Row],[Deaths/1M]]/1000000</f>
        <v>2.13E-4</v>
      </c>
      <c r="U20" s="13">
        <f>1-Table2[[#This Row],[Deaths]]/Table2[[#This Row],[Ex(Deaths)]]</f>
        <v>0.37749130692901356</v>
      </c>
      <c r="V20" s="13">
        <f>Table2[[#This Row],[Cases]]/Table2[[#This Row],[Tests]]</f>
        <v>0.10980535562906202</v>
      </c>
      <c r="W20" s="12">
        <f>Table2[[#This Row],[Percent Infected]]*Table2[[#This Row],[% Active]]</f>
        <v>7.7801539509536784E-3</v>
      </c>
      <c r="X20" s="9">
        <f>1/Table2[[#This Row],[Percent Active Infected]]</f>
        <v>128.53216097059644</v>
      </c>
    </row>
    <row r="21" spans="1:24" ht="15.95" customHeight="1" thickBot="1" x14ac:dyDescent="0.3">
      <c r="A21" s="45" t="s">
        <v>265</v>
      </c>
      <c r="B21" s="48">
        <v>65160</v>
      </c>
      <c r="C21" s="60">
        <v>2069</v>
      </c>
      <c r="D21" s="48">
        <v>1286</v>
      </c>
      <c r="E21" s="58">
        <v>21</v>
      </c>
      <c r="F21" s="48">
        <v>34138</v>
      </c>
      <c r="G21" s="48">
        <v>13289</v>
      </c>
      <c r="H21" s="49">
        <v>262</v>
      </c>
      <c r="I21" s="48">
        <v>573441</v>
      </c>
      <c r="J21" s="48">
        <v>116953</v>
      </c>
      <c r="K21" s="57" t="s">
        <v>337</v>
      </c>
      <c r="L21" s="43" t="s">
        <v>242</v>
      </c>
      <c r="M21" s="10">
        <f>Table2[[#This Row],[Active]]/Table2[[#This Row],[Cases]]</f>
        <v>0.5239103744628606</v>
      </c>
      <c r="N21" s="9">
        <f>1000000/Table2[[#This Row],[Cases/1M]]</f>
        <v>75.250206938069084</v>
      </c>
      <c r="O21" s="9">
        <f>1000000/Table2[[#This Row],[Deaths/1M]]</f>
        <v>3816.7938931297708</v>
      </c>
      <c r="P21" s="9">
        <f>Table2[[#This Row],[Deaths]]+Table2[[#This Row],[Active]]*Table2[[#This Row],[Death Rate]]</f>
        <v>1959.7487415592386</v>
      </c>
      <c r="Q21" s="10">
        <f>Table2[[#This Row],[Deaths]]/Table2[[#This Row],[Cases]]</f>
        <v>1.9736034376918354E-2</v>
      </c>
      <c r="R21" s="9">
        <f>Table2[[#This Row],[Cases]]/Table2[[#This Row],[Deaths]]</f>
        <v>50.668740279937794</v>
      </c>
      <c r="S21" s="12">
        <f>Table2[[#This Row],[Cases/1M]]/1000000</f>
        <v>1.3289E-2</v>
      </c>
      <c r="T21" s="12">
        <f>Table2[[#This Row],[Deaths/1M]]/1000000</f>
        <v>2.6200000000000003E-4</v>
      </c>
      <c r="U21" s="13">
        <f>1-Table2[[#This Row],[Deaths]]/Table2[[#This Row],[Ex(Deaths)]]</f>
        <v>0.34379342987774164</v>
      </c>
      <c r="V21" s="13">
        <f>Table2[[#This Row],[Cases]]/Table2[[#This Row],[Tests]]</f>
        <v>0.11362982416674078</v>
      </c>
      <c r="W21" s="12">
        <f>Table2[[#This Row],[Percent Infected]]*Table2[[#This Row],[% Active]]</f>
        <v>6.9622449662369544E-3</v>
      </c>
      <c r="X21" s="9">
        <f>1/Table2[[#This Row],[Percent Active Infected]]</f>
        <v>143.63183209574615</v>
      </c>
    </row>
    <row r="22" spans="1:24" ht="15.95" customHeight="1" thickBot="1" x14ac:dyDescent="0.3">
      <c r="A22" s="45" t="s">
        <v>254</v>
      </c>
      <c r="B22" s="48">
        <v>54813</v>
      </c>
      <c r="C22" s="49"/>
      <c r="D22" s="48">
        <v>2803</v>
      </c>
      <c r="E22" s="49"/>
      <c r="F22" s="48">
        <v>11589</v>
      </c>
      <c r="G22" s="48">
        <v>8142</v>
      </c>
      <c r="H22" s="49">
        <v>416</v>
      </c>
      <c r="I22" s="48">
        <v>604635</v>
      </c>
      <c r="J22" s="48">
        <v>89812</v>
      </c>
      <c r="K22" s="43" t="s">
        <v>330</v>
      </c>
      <c r="L22" s="43" t="s">
        <v>242</v>
      </c>
      <c r="M22" s="10">
        <f>Table2[[#This Row],[Active]]/Table2[[#This Row],[Cases]]</f>
        <v>0.21142794592523673</v>
      </c>
      <c r="N22" s="9">
        <f>1000000/Table2[[#This Row],[Cases/1M]]</f>
        <v>122.81994595922377</v>
      </c>
      <c r="O22" s="9">
        <f>1000000/Table2[[#This Row],[Deaths/1M]]</f>
        <v>2403.8461538461538</v>
      </c>
      <c r="P22" s="9">
        <f>Table2[[#This Row],[Deaths]]+Table2[[#This Row],[Active]]*Table2[[#This Row],[Death Rate]]</f>
        <v>3395.6325324284385</v>
      </c>
      <c r="Q22" s="10">
        <f>Table2[[#This Row],[Deaths]]/Table2[[#This Row],[Cases]]</f>
        <v>5.1137503876817543E-2</v>
      </c>
      <c r="R22" s="9">
        <f>Table2[[#This Row],[Cases]]/Table2[[#This Row],[Deaths]]</f>
        <v>19.555119514805565</v>
      </c>
      <c r="S22" s="12">
        <f>Table2[[#This Row],[Cases/1M]]/1000000</f>
        <v>8.1419999999999999E-3</v>
      </c>
      <c r="T22" s="12">
        <f>Table2[[#This Row],[Deaths/1M]]/1000000</f>
        <v>4.1599999999999997E-4</v>
      </c>
      <c r="U22" s="13">
        <f>1-Table2[[#This Row],[Deaths]]/Table2[[#This Row],[Ex(Deaths)]]</f>
        <v>0.1745278756663956</v>
      </c>
      <c r="V22" s="13">
        <f>Table2[[#This Row],[Cases]]/Table2[[#This Row],[Tests]]</f>
        <v>9.0654692500434148E-2</v>
      </c>
      <c r="W22" s="12">
        <f>Table2[[#This Row],[Percent Infected]]*Table2[[#This Row],[% Active]]</f>
        <v>1.7214463357232775E-3</v>
      </c>
      <c r="X22" s="9">
        <f>1/Table2[[#This Row],[Percent Active Infected]]</f>
        <v>580.90686839787145</v>
      </c>
    </row>
    <row r="23" spans="1:24" ht="15.95" customHeight="1" thickBot="1" x14ac:dyDescent="0.3">
      <c r="A23" s="45" t="s">
        <v>244</v>
      </c>
      <c r="B23" s="48">
        <v>47893</v>
      </c>
      <c r="C23" s="49"/>
      <c r="D23" s="48">
        <v>4396</v>
      </c>
      <c r="E23" s="49"/>
      <c r="F23" s="48">
        <v>24212</v>
      </c>
      <c r="G23" s="48">
        <v>13433</v>
      </c>
      <c r="H23" s="48">
        <v>1233</v>
      </c>
      <c r="I23" s="48">
        <v>627986</v>
      </c>
      <c r="J23" s="48">
        <v>176139</v>
      </c>
      <c r="K23" s="57" t="s">
        <v>337</v>
      </c>
      <c r="L23" s="43" t="s">
        <v>242</v>
      </c>
      <c r="M23" s="10">
        <f>Table2[[#This Row],[Active]]/Table2[[#This Row],[Cases]]</f>
        <v>0.50554360762533146</v>
      </c>
      <c r="N23" s="9">
        <f>1000000/Table2[[#This Row],[Cases/1M]]</f>
        <v>74.443534579021815</v>
      </c>
      <c r="O23" s="9">
        <f>1000000/Table2[[#This Row],[Deaths/1M]]</f>
        <v>811.03000811030006</v>
      </c>
      <c r="P23" s="9">
        <f>Table2[[#This Row],[Deaths]]+Table2[[#This Row],[Active]]*Table2[[#This Row],[Death Rate]]</f>
        <v>6618.3696991209572</v>
      </c>
      <c r="Q23" s="10">
        <f>Table2[[#This Row],[Deaths]]/Table2[[#This Row],[Cases]]</f>
        <v>9.1787943958407281E-2</v>
      </c>
      <c r="R23" s="9">
        <f>Table2[[#This Row],[Cases]]/Table2[[#This Row],[Deaths]]</f>
        <v>10.894676979071884</v>
      </c>
      <c r="S23" s="12">
        <f>Table2[[#This Row],[Cases/1M]]/1000000</f>
        <v>1.3433E-2</v>
      </c>
      <c r="T23" s="12">
        <f>Table2[[#This Row],[Deaths/1M]]/1000000</f>
        <v>1.2329999999999999E-3</v>
      </c>
      <c r="U23" s="13">
        <f>1-Table2[[#This Row],[Deaths]]/Table2[[#This Row],[Ex(Deaths)]]</f>
        <v>0.33578808681783512</v>
      </c>
      <c r="V23" s="13">
        <f>Table2[[#This Row],[Cases]]/Table2[[#This Row],[Tests]]</f>
        <v>7.6264439016156413E-2</v>
      </c>
      <c r="W23" s="12">
        <f>Table2[[#This Row],[Percent Infected]]*Table2[[#This Row],[% Active]]</f>
        <v>6.7909672812310777E-3</v>
      </c>
      <c r="X23" s="9">
        <f>1/Table2[[#This Row],[Percent Active Infected]]</f>
        <v>147.25442762238112</v>
      </c>
    </row>
    <row r="24" spans="1:24" ht="15.95" customHeight="1" thickBot="1" x14ac:dyDescent="0.3">
      <c r="A24" s="45" t="s">
        <v>262</v>
      </c>
      <c r="B24" s="48">
        <v>46506</v>
      </c>
      <c r="C24" s="49"/>
      <c r="D24" s="48">
        <v>1442</v>
      </c>
      <c r="E24" s="49"/>
      <c r="F24" s="48">
        <v>30204</v>
      </c>
      <c r="G24" s="48">
        <v>6107</v>
      </c>
      <c r="H24" s="49">
        <v>189</v>
      </c>
      <c r="I24" s="48">
        <v>767657</v>
      </c>
      <c r="J24" s="48">
        <v>100810</v>
      </c>
      <c r="K24" s="57" t="s">
        <v>337</v>
      </c>
      <c r="L24" s="43" t="s">
        <v>242</v>
      </c>
      <c r="M24" s="10">
        <f>Table2[[#This Row],[Active]]/Table2[[#This Row],[Cases]]</f>
        <v>0.64946458521481099</v>
      </c>
      <c r="N24" s="9">
        <f>1000000/Table2[[#This Row],[Cases/1M]]</f>
        <v>163.7465203864418</v>
      </c>
      <c r="O24" s="9">
        <f>1000000/Table2[[#This Row],[Deaths/1M]]</f>
        <v>5291.0052910052909</v>
      </c>
      <c r="P24" s="9">
        <f>Table2[[#This Row],[Deaths]]+Table2[[#This Row],[Active]]*Table2[[#This Row],[Death Rate]]</f>
        <v>2378.5279318797575</v>
      </c>
      <c r="Q24" s="10">
        <f>Table2[[#This Row],[Deaths]]/Table2[[#This Row],[Cases]]</f>
        <v>3.1006751816969852E-2</v>
      </c>
      <c r="R24" s="9">
        <f>Table2[[#This Row],[Cases]]/Table2[[#This Row],[Deaths]]</f>
        <v>32.25104022191401</v>
      </c>
      <c r="S24" s="12">
        <f>Table2[[#This Row],[Cases/1M]]/1000000</f>
        <v>6.1069999999999996E-3</v>
      </c>
      <c r="T24" s="12">
        <f>Table2[[#This Row],[Deaths/1M]]/1000000</f>
        <v>1.8900000000000001E-4</v>
      </c>
      <c r="U24" s="13">
        <f>1-Table2[[#This Row],[Deaths]]/Table2[[#This Row],[Ex(Deaths)]]</f>
        <v>0.39374266718811113</v>
      </c>
      <c r="V24" s="13">
        <f>Table2[[#This Row],[Cases]]/Table2[[#This Row],[Tests]]</f>
        <v>6.058174419043922E-2</v>
      </c>
      <c r="W24" s="12">
        <f>Table2[[#This Row],[Percent Infected]]*Table2[[#This Row],[% Active]]</f>
        <v>3.9662802219068505E-3</v>
      </c>
      <c r="X24" s="9">
        <f>1/Table2[[#This Row],[Percent Active Infected]]</f>
        <v>252.12540316156344</v>
      </c>
    </row>
    <row r="25" spans="1:24" ht="15.95" customHeight="1" thickBot="1" x14ac:dyDescent="0.3">
      <c r="A25" s="45" t="s">
        <v>258</v>
      </c>
      <c r="B25" s="48">
        <v>45013</v>
      </c>
      <c r="C25" s="49"/>
      <c r="D25" s="48">
        <v>1573</v>
      </c>
      <c r="E25" s="49"/>
      <c r="F25" s="48">
        <v>4872</v>
      </c>
      <c r="G25" s="48">
        <v>7982</v>
      </c>
      <c r="H25" s="49">
        <v>279</v>
      </c>
      <c r="I25" s="48">
        <v>819511</v>
      </c>
      <c r="J25" s="48">
        <v>145313</v>
      </c>
      <c r="K25" s="57" t="s">
        <v>334</v>
      </c>
      <c r="L25" s="43" t="s">
        <v>242</v>
      </c>
      <c r="M25" s="10">
        <f>Table2[[#This Row],[Active]]/Table2[[#This Row],[Cases]]</f>
        <v>0.10823539866260858</v>
      </c>
      <c r="N25" s="9">
        <f>1000000/Table2[[#This Row],[Cases/1M]]</f>
        <v>125.28188423953897</v>
      </c>
      <c r="O25" s="9">
        <f>1000000/Table2[[#This Row],[Deaths/1M]]</f>
        <v>3584.2293906810037</v>
      </c>
      <c r="P25" s="9">
        <f>Table2[[#This Row],[Deaths]]+Table2[[#This Row],[Active]]*Table2[[#This Row],[Death Rate]]</f>
        <v>1743.2542820962833</v>
      </c>
      <c r="Q25" s="10">
        <f>Table2[[#This Row],[Deaths]]/Table2[[#This Row],[Cases]]</f>
        <v>3.4945460200386552E-2</v>
      </c>
      <c r="R25" s="9">
        <f>Table2[[#This Row],[Cases]]/Table2[[#This Row],[Deaths]]</f>
        <v>28.616020343293069</v>
      </c>
      <c r="S25" s="12">
        <f>Table2[[#This Row],[Cases/1M]]/1000000</f>
        <v>7.9819999999999995E-3</v>
      </c>
      <c r="T25" s="12">
        <f>Table2[[#This Row],[Deaths/1M]]/1000000</f>
        <v>2.7900000000000001E-4</v>
      </c>
      <c r="U25" s="13">
        <f>1-Table2[[#This Row],[Deaths]]/Table2[[#This Row],[Ex(Deaths)]]</f>
        <v>9.7664628645885543E-2</v>
      </c>
      <c r="V25" s="13">
        <f>Table2[[#This Row],[Cases]]/Table2[[#This Row],[Tests]]</f>
        <v>5.4926657482327876E-2</v>
      </c>
      <c r="W25" s="12">
        <f>Table2[[#This Row],[Percent Infected]]*Table2[[#This Row],[% Active]]</f>
        <v>8.6393495212494162E-4</v>
      </c>
      <c r="X25" s="9">
        <f>1/Table2[[#This Row],[Percent Active Infected]]</f>
        <v>1157.4945515751986</v>
      </c>
    </row>
    <row r="26" spans="1:24" ht="15.95" customHeight="1" thickBot="1" x14ac:dyDescent="0.3">
      <c r="A26" s="45" t="s">
        <v>256</v>
      </c>
      <c r="B26" s="48">
        <v>40829</v>
      </c>
      <c r="C26" s="49"/>
      <c r="D26" s="48">
        <v>1332</v>
      </c>
      <c r="E26" s="49"/>
      <c r="F26" s="48">
        <v>13565</v>
      </c>
      <c r="G26" s="48">
        <v>13719</v>
      </c>
      <c r="H26" s="49">
        <v>448</v>
      </c>
      <c r="I26" s="48">
        <v>385377</v>
      </c>
      <c r="J26" s="48">
        <v>129488</v>
      </c>
      <c r="K26" s="57" t="s">
        <v>337</v>
      </c>
      <c r="L26" s="43" t="s">
        <v>242</v>
      </c>
      <c r="M26" s="10">
        <f>Table2[[#This Row],[Active]]/Table2[[#This Row],[Cases]]</f>
        <v>0.33223933968502778</v>
      </c>
      <c r="N26" s="9">
        <f>1000000/Table2[[#This Row],[Cases/1M]]</f>
        <v>72.891610175668774</v>
      </c>
      <c r="O26" s="9">
        <f>1000000/Table2[[#This Row],[Deaths/1M]]</f>
        <v>2232.1428571428573</v>
      </c>
      <c r="P26" s="9">
        <f>Table2[[#This Row],[Deaths]]+Table2[[#This Row],[Active]]*Table2[[#This Row],[Death Rate]]</f>
        <v>1774.5428004604571</v>
      </c>
      <c r="Q26" s="10">
        <f>Table2[[#This Row],[Deaths]]/Table2[[#This Row],[Cases]]</f>
        <v>3.2623870288275493E-2</v>
      </c>
      <c r="R26" s="9">
        <f>Table2[[#This Row],[Cases]]/Table2[[#This Row],[Deaths]]</f>
        <v>30.652402402402402</v>
      </c>
      <c r="S26" s="12">
        <f>Table2[[#This Row],[Cases/1M]]/1000000</f>
        <v>1.3719E-2</v>
      </c>
      <c r="T26" s="12">
        <f>Table2[[#This Row],[Deaths/1M]]/1000000</f>
        <v>4.4799999999999999E-4</v>
      </c>
      <c r="U26" s="13">
        <f>1-Table2[[#This Row],[Deaths]]/Table2[[#This Row],[Ex(Deaths)]]</f>
        <v>0.24938412324888781</v>
      </c>
      <c r="V26" s="13">
        <f>Table2[[#This Row],[Cases]]/Table2[[#This Row],[Tests]]</f>
        <v>0.10594560650998892</v>
      </c>
      <c r="W26" s="12">
        <f>Table2[[#This Row],[Percent Infected]]*Table2[[#This Row],[% Active]]</f>
        <v>4.557991501138896E-3</v>
      </c>
      <c r="X26" s="9">
        <f>1/Table2[[#This Row],[Percent Active Infected]]</f>
        <v>219.39488034370666</v>
      </c>
    </row>
    <row r="27" spans="1:24" ht="15.95" customHeight="1" thickBot="1" x14ac:dyDescent="0.3">
      <c r="A27" s="45" t="s">
        <v>270</v>
      </c>
      <c r="B27" s="48">
        <v>40507</v>
      </c>
      <c r="C27" s="49"/>
      <c r="D27" s="49">
        <v>833</v>
      </c>
      <c r="E27" s="49"/>
      <c r="F27" s="48">
        <v>8416</v>
      </c>
      <c r="G27" s="48">
        <v>6957</v>
      </c>
      <c r="H27" s="49">
        <v>143</v>
      </c>
      <c r="I27" s="48">
        <v>752704</v>
      </c>
      <c r="J27" s="48">
        <v>129277</v>
      </c>
      <c r="K27" s="57" t="s">
        <v>337</v>
      </c>
      <c r="L27" s="43" t="s">
        <v>242</v>
      </c>
      <c r="M27" s="10">
        <f>Table2[[#This Row],[Active]]/Table2[[#This Row],[Cases]]</f>
        <v>0.20776655886636877</v>
      </c>
      <c r="N27" s="9">
        <f>1000000/Table2[[#This Row],[Cases/1M]]</f>
        <v>143.74011786689664</v>
      </c>
      <c r="O27" s="9">
        <f>1000000/Table2[[#This Row],[Deaths/1M]]</f>
        <v>6993.0069930069931</v>
      </c>
      <c r="P27" s="9">
        <f>Table2[[#This Row],[Deaths]]+Table2[[#This Row],[Active]]*Table2[[#This Row],[Death Rate]]</f>
        <v>1006.0695435356852</v>
      </c>
      <c r="Q27" s="10">
        <f>Table2[[#This Row],[Deaths]]/Table2[[#This Row],[Cases]]</f>
        <v>2.0564346903004418E-2</v>
      </c>
      <c r="R27" s="9">
        <f>Table2[[#This Row],[Cases]]/Table2[[#This Row],[Deaths]]</f>
        <v>48.62785114045618</v>
      </c>
      <c r="S27" s="12">
        <f>Table2[[#This Row],[Cases/1M]]/1000000</f>
        <v>6.9569999999999996E-3</v>
      </c>
      <c r="T27" s="12">
        <f>Table2[[#This Row],[Deaths/1M]]/1000000</f>
        <v>1.4300000000000001E-4</v>
      </c>
      <c r="U27" s="13">
        <f>1-Table2[[#This Row],[Deaths]]/Table2[[#This Row],[Ex(Deaths)]]</f>
        <v>0.17202542771293661</v>
      </c>
      <c r="V27" s="13">
        <f>Table2[[#This Row],[Cases]]/Table2[[#This Row],[Tests]]</f>
        <v>5.3815311198027377E-2</v>
      </c>
      <c r="W27" s="12">
        <f>Table2[[#This Row],[Percent Infected]]*Table2[[#This Row],[% Active]]</f>
        <v>1.4454319500333275E-3</v>
      </c>
      <c r="X27" s="9">
        <f>1/Table2[[#This Row],[Percent Active Infected]]</f>
        <v>691.83471416758357</v>
      </c>
    </row>
    <row r="28" spans="1:24" ht="15.95" customHeight="1" thickBot="1" x14ac:dyDescent="0.3">
      <c r="A28" s="45" t="s">
        <v>255</v>
      </c>
      <c r="B28" s="48">
        <v>39344</v>
      </c>
      <c r="C28" s="49"/>
      <c r="D28" s="48">
        <v>1751</v>
      </c>
      <c r="E28" s="49"/>
      <c r="F28" s="48">
        <v>23323</v>
      </c>
      <c r="G28" s="48">
        <v>6832</v>
      </c>
      <c r="H28" s="49">
        <v>304</v>
      </c>
      <c r="I28" s="48">
        <v>427699</v>
      </c>
      <c r="J28" s="48">
        <v>74270</v>
      </c>
      <c r="K28" s="57" t="s">
        <v>339</v>
      </c>
      <c r="L28" s="43" t="s">
        <v>242</v>
      </c>
      <c r="M28" s="10">
        <f>Table2[[#This Row],[Active]]/Table2[[#This Row],[Cases]]</f>
        <v>0.59279686864579095</v>
      </c>
      <c r="N28" s="9">
        <f>1000000/Table2[[#This Row],[Cases/1M]]</f>
        <v>146.37002341920376</v>
      </c>
      <c r="O28" s="9">
        <f>1000000/Table2[[#This Row],[Deaths/1M]]</f>
        <v>3289.4736842105262</v>
      </c>
      <c r="P28" s="9">
        <f>Table2[[#This Row],[Deaths]]+Table2[[#This Row],[Active]]*Table2[[#This Row],[Death Rate]]</f>
        <v>2788.98731699878</v>
      </c>
      <c r="Q28" s="10">
        <f>Table2[[#This Row],[Deaths]]/Table2[[#This Row],[Cases]]</f>
        <v>4.4504880032533549E-2</v>
      </c>
      <c r="R28" s="9">
        <f>Table2[[#This Row],[Cases]]/Table2[[#This Row],[Deaths]]</f>
        <v>22.469446030839521</v>
      </c>
      <c r="S28" s="12">
        <f>Table2[[#This Row],[Cases/1M]]/1000000</f>
        <v>6.8320000000000004E-3</v>
      </c>
      <c r="T28" s="12">
        <f>Table2[[#This Row],[Deaths/1M]]/1000000</f>
        <v>3.0400000000000002E-4</v>
      </c>
      <c r="U28" s="13">
        <f>1-Table2[[#This Row],[Deaths]]/Table2[[#This Row],[Ex(Deaths)]]</f>
        <v>0.37217355226833904</v>
      </c>
      <c r="V28" s="13">
        <f>Table2[[#This Row],[Cases]]/Table2[[#This Row],[Tests]]</f>
        <v>9.1989927495738824E-2</v>
      </c>
      <c r="W28" s="12">
        <f>Table2[[#This Row],[Percent Infected]]*Table2[[#This Row],[% Active]]</f>
        <v>4.0499882065880444E-3</v>
      </c>
      <c r="X28" s="9">
        <f>1/Table2[[#This Row],[Percent Active Infected]]</f>
        <v>246.91429924988859</v>
      </c>
    </row>
    <row r="29" spans="1:24" ht="15.95" customHeight="1" thickBot="1" x14ac:dyDescent="0.3">
      <c r="A29" s="45" t="s">
        <v>261</v>
      </c>
      <c r="B29" s="48">
        <v>37904</v>
      </c>
      <c r="C29" s="59">
        <v>127</v>
      </c>
      <c r="D29" s="49">
        <v>787</v>
      </c>
      <c r="E29" s="58">
        <v>3</v>
      </c>
      <c r="F29" s="48">
        <v>9311</v>
      </c>
      <c r="G29" s="48">
        <v>12014</v>
      </c>
      <c r="H29" s="49">
        <v>249</v>
      </c>
      <c r="I29" s="48">
        <v>403726</v>
      </c>
      <c r="J29" s="48">
        <v>127961</v>
      </c>
      <c r="K29" s="43" t="s">
        <v>330</v>
      </c>
      <c r="L29" s="43" t="s">
        <v>242</v>
      </c>
      <c r="M29" s="10">
        <f>Table2[[#This Row],[Active]]/Table2[[#This Row],[Cases]]</f>
        <v>0.24564689742507387</v>
      </c>
      <c r="N29" s="9">
        <f>1000000/Table2[[#This Row],[Cases/1M]]</f>
        <v>83.236224404860991</v>
      </c>
      <c r="O29" s="9">
        <f>1000000/Table2[[#This Row],[Deaths/1M]]</f>
        <v>4016.0642570281125</v>
      </c>
      <c r="P29" s="9">
        <f>Table2[[#This Row],[Deaths]]+Table2[[#This Row],[Active]]*Table2[[#This Row],[Death Rate]]</f>
        <v>980.32410827353317</v>
      </c>
      <c r="Q29" s="10">
        <f>Table2[[#This Row],[Deaths]]/Table2[[#This Row],[Cases]]</f>
        <v>2.0762980160405235E-2</v>
      </c>
      <c r="R29" s="9">
        <f>Table2[[#This Row],[Cases]]/Table2[[#This Row],[Deaths]]</f>
        <v>48.162642947903429</v>
      </c>
      <c r="S29" s="12">
        <f>Table2[[#This Row],[Cases/1M]]/1000000</f>
        <v>1.2014E-2</v>
      </c>
      <c r="T29" s="12">
        <f>Table2[[#This Row],[Deaths/1M]]/1000000</f>
        <v>2.4899999999999998E-4</v>
      </c>
      <c r="U29" s="13">
        <f>1-Table2[[#This Row],[Deaths]]/Table2[[#This Row],[Ex(Deaths)]]</f>
        <v>0.19720427830138731</v>
      </c>
      <c r="V29" s="13">
        <f>Table2[[#This Row],[Cases]]/Table2[[#This Row],[Tests]]</f>
        <v>9.3885456968339914E-2</v>
      </c>
      <c r="W29" s="12">
        <f>Table2[[#This Row],[Percent Infected]]*Table2[[#This Row],[% Active]]</f>
        <v>2.9512018256648374E-3</v>
      </c>
      <c r="X29" s="9">
        <f>1/Table2[[#This Row],[Percent Active Infected]]</f>
        <v>338.84500589000658</v>
      </c>
    </row>
    <row r="30" spans="1:24" ht="15.95" customHeight="1" thickBot="1" x14ac:dyDescent="0.3">
      <c r="A30" s="45" t="s">
        <v>266</v>
      </c>
      <c r="B30" s="48">
        <v>33902</v>
      </c>
      <c r="C30" s="59">
        <v>316</v>
      </c>
      <c r="D30" s="48">
        <v>1159</v>
      </c>
      <c r="E30" s="58">
        <v>1</v>
      </c>
      <c r="F30" s="48">
        <v>25934</v>
      </c>
      <c r="G30" s="48">
        <v>5524</v>
      </c>
      <c r="H30" s="49">
        <v>189</v>
      </c>
      <c r="I30" s="48">
        <v>590161</v>
      </c>
      <c r="J30" s="48">
        <v>96158</v>
      </c>
      <c r="K30" s="57" t="s">
        <v>337</v>
      </c>
      <c r="L30" s="43" t="s">
        <v>242</v>
      </c>
      <c r="M30" s="10">
        <f>Table2[[#This Row],[Active]]/Table2[[#This Row],[Cases]]</f>
        <v>0.76496961831160404</v>
      </c>
      <c r="N30" s="9">
        <f>1000000/Table2[[#This Row],[Cases/1M]]</f>
        <v>181.02824040550325</v>
      </c>
      <c r="O30" s="9">
        <f>1000000/Table2[[#This Row],[Deaths/1M]]</f>
        <v>5291.0052910052909</v>
      </c>
      <c r="P30" s="9">
        <f>Table2[[#This Row],[Deaths]]+Table2[[#This Row],[Active]]*Table2[[#This Row],[Death Rate]]</f>
        <v>2045.599787623149</v>
      </c>
      <c r="Q30" s="10">
        <f>Table2[[#This Row],[Deaths]]/Table2[[#This Row],[Cases]]</f>
        <v>3.4186773641673059E-2</v>
      </c>
      <c r="R30" s="9">
        <f>Table2[[#This Row],[Cases]]/Table2[[#This Row],[Deaths]]</f>
        <v>29.251078515962035</v>
      </c>
      <c r="S30" s="12">
        <f>Table2[[#This Row],[Cases/1M]]/1000000</f>
        <v>5.5240000000000003E-3</v>
      </c>
      <c r="T30" s="12">
        <f>Table2[[#This Row],[Deaths/1M]]/1000000</f>
        <v>1.8900000000000001E-4</v>
      </c>
      <c r="U30" s="13">
        <f>1-Table2[[#This Row],[Deaths]]/Table2[[#This Row],[Ex(Deaths)]]</f>
        <v>0.43341800922521556</v>
      </c>
      <c r="V30" s="13">
        <f>Table2[[#This Row],[Cases]]/Table2[[#This Row],[Tests]]</f>
        <v>5.7445341186557565E-2</v>
      </c>
      <c r="W30" s="12">
        <f>Table2[[#This Row],[Percent Infected]]*Table2[[#This Row],[% Active]]</f>
        <v>4.2256921715533007E-3</v>
      </c>
      <c r="X30" s="9">
        <f>1/Table2[[#This Row],[Percent Active Infected]]</f>
        <v>236.64762112390574</v>
      </c>
    </row>
    <row r="31" spans="1:24" ht="15.95" customHeight="1" thickBot="1" x14ac:dyDescent="0.3">
      <c r="A31" s="45" t="s">
        <v>264</v>
      </c>
      <c r="B31" s="48">
        <v>33295</v>
      </c>
      <c r="C31" s="49"/>
      <c r="D31" s="49">
        <v>637</v>
      </c>
      <c r="E31" s="49"/>
      <c r="F31" s="48">
        <v>9747</v>
      </c>
      <c r="G31" s="48">
        <v>10810</v>
      </c>
      <c r="H31" s="49">
        <v>207</v>
      </c>
      <c r="I31" s="48">
        <v>472989</v>
      </c>
      <c r="J31" s="48">
        <v>153560</v>
      </c>
      <c r="K31" s="57" t="s">
        <v>340</v>
      </c>
      <c r="L31" s="43" t="s">
        <v>242</v>
      </c>
      <c r="M31" s="10">
        <f>Table2[[#This Row],[Active]]/Table2[[#This Row],[Cases]]</f>
        <v>0.29274665865745608</v>
      </c>
      <c r="N31" s="9">
        <f>1000000/Table2[[#This Row],[Cases/1M]]</f>
        <v>92.506938020351527</v>
      </c>
      <c r="O31" s="9">
        <f>1000000/Table2[[#This Row],[Deaths/1M]]</f>
        <v>4830.9178743961356</v>
      </c>
      <c r="P31" s="9">
        <f>Table2[[#This Row],[Deaths]]+Table2[[#This Row],[Active]]*Table2[[#This Row],[Death Rate]]</f>
        <v>823.47962156479957</v>
      </c>
      <c r="Q31" s="10">
        <f>Table2[[#This Row],[Deaths]]/Table2[[#This Row],[Cases]]</f>
        <v>1.9132001802072383E-2</v>
      </c>
      <c r="R31" s="9">
        <f>Table2[[#This Row],[Cases]]/Table2[[#This Row],[Deaths]]</f>
        <v>52.26844583987441</v>
      </c>
      <c r="S31" s="12">
        <f>Table2[[#This Row],[Cases/1M]]/1000000</f>
        <v>1.081E-2</v>
      </c>
      <c r="T31" s="12">
        <f>Table2[[#This Row],[Deaths/1M]]/1000000</f>
        <v>2.0699999999999999E-4</v>
      </c>
      <c r="U31" s="13">
        <f>1-Table2[[#This Row],[Deaths]]/Table2[[#This Row],[Ex(Deaths)]]</f>
        <v>0.22645323172715026</v>
      </c>
      <c r="V31" s="13">
        <f>Table2[[#This Row],[Cases]]/Table2[[#This Row],[Tests]]</f>
        <v>7.0392757548272789E-2</v>
      </c>
      <c r="W31" s="12">
        <f>Table2[[#This Row],[Percent Infected]]*Table2[[#This Row],[% Active]]</f>
        <v>3.1645913800871003E-3</v>
      </c>
      <c r="X31" s="9">
        <f>1/Table2[[#This Row],[Percent Active Infected]]</f>
        <v>315.99656318740165</v>
      </c>
    </row>
    <row r="32" spans="1:24" ht="15.95" customHeight="1" thickBot="1" x14ac:dyDescent="0.3">
      <c r="A32" s="45" t="s">
        <v>286</v>
      </c>
      <c r="B32" s="48">
        <v>32572</v>
      </c>
      <c r="C32" s="49"/>
      <c r="D32" s="49">
        <v>235</v>
      </c>
      <c r="E32" s="49"/>
      <c r="F32" s="48">
        <v>12475</v>
      </c>
      <c r="G32" s="48">
        <v>10160</v>
      </c>
      <c r="H32" s="49">
        <v>73</v>
      </c>
      <c r="I32" s="48">
        <v>447806</v>
      </c>
      <c r="J32" s="48">
        <v>139679</v>
      </c>
      <c r="K32" s="57" t="s">
        <v>337</v>
      </c>
      <c r="L32" s="43" t="s">
        <v>242</v>
      </c>
      <c r="M32" s="10">
        <f>Table2[[#This Row],[Active]]/Table2[[#This Row],[Cases]]</f>
        <v>0.3829976667076016</v>
      </c>
      <c r="N32" s="9">
        <f>1000000/Table2[[#This Row],[Cases/1M]]</f>
        <v>98.425196850393704</v>
      </c>
      <c r="O32" s="9">
        <f>1000000/Table2[[#This Row],[Deaths/1M]]</f>
        <v>13698.630136986301</v>
      </c>
      <c r="P32" s="9">
        <f>Table2[[#This Row],[Deaths]]+Table2[[#This Row],[Active]]*Table2[[#This Row],[Death Rate]]</f>
        <v>325.00445167628641</v>
      </c>
      <c r="Q32" s="10">
        <f>Table2[[#This Row],[Deaths]]/Table2[[#This Row],[Cases]]</f>
        <v>7.2147857055139385E-3</v>
      </c>
      <c r="R32" s="9">
        <f>Table2[[#This Row],[Cases]]/Table2[[#This Row],[Deaths]]</f>
        <v>138.60425531914893</v>
      </c>
      <c r="S32" s="12">
        <f>Table2[[#This Row],[Cases/1M]]/1000000</f>
        <v>1.0160000000000001E-2</v>
      </c>
      <c r="T32" s="12">
        <f>Table2[[#This Row],[Deaths/1M]]/1000000</f>
        <v>7.2999999999999999E-5</v>
      </c>
      <c r="U32" s="13">
        <f>1-Table2[[#This Row],[Deaths]]/Table2[[#This Row],[Ex(Deaths)]]</f>
        <v>0.27693298110861997</v>
      </c>
      <c r="V32" s="13">
        <f>Table2[[#This Row],[Cases]]/Table2[[#This Row],[Tests]]</f>
        <v>7.2736854798729808E-2</v>
      </c>
      <c r="W32" s="12">
        <f>Table2[[#This Row],[Percent Infected]]*Table2[[#This Row],[% Active]]</f>
        <v>3.8912562937492325E-3</v>
      </c>
      <c r="X32" s="9">
        <f>1/Table2[[#This Row],[Percent Active Infected]]</f>
        <v>256.98641377242677</v>
      </c>
    </row>
    <row r="33" spans="1:24" ht="15.95" customHeight="1" thickBot="1" x14ac:dyDescent="0.3">
      <c r="A33" s="45" t="s">
        <v>283</v>
      </c>
      <c r="B33" s="48">
        <v>31762</v>
      </c>
      <c r="C33" s="49"/>
      <c r="D33" s="49">
        <v>353</v>
      </c>
      <c r="E33" s="49"/>
      <c r="F33" s="48">
        <v>6633</v>
      </c>
      <c r="G33" s="48">
        <v>10525</v>
      </c>
      <c r="H33" s="49">
        <v>117</v>
      </c>
      <c r="I33" s="48">
        <v>413005</v>
      </c>
      <c r="J33" s="48">
        <v>136856</v>
      </c>
      <c r="K33" s="43" t="s">
        <v>330</v>
      </c>
      <c r="L33" s="43" t="s">
        <v>242</v>
      </c>
      <c r="M33" s="10">
        <f>Table2[[#This Row],[Active]]/Table2[[#This Row],[Cases]]</f>
        <v>0.20883445626849695</v>
      </c>
      <c r="N33" s="9">
        <f>1000000/Table2[[#This Row],[Cases/1M]]</f>
        <v>95.011876484560574</v>
      </c>
      <c r="O33" s="9">
        <f>1000000/Table2[[#This Row],[Deaths/1M]]</f>
        <v>8547.0085470085469</v>
      </c>
      <c r="P33" s="9">
        <f>Table2[[#This Row],[Deaths]]+Table2[[#This Row],[Active]]*Table2[[#This Row],[Death Rate]]</f>
        <v>426.71856306277942</v>
      </c>
      <c r="Q33" s="10">
        <f>Table2[[#This Row],[Deaths]]/Table2[[#This Row],[Cases]]</f>
        <v>1.111390970341918E-2</v>
      </c>
      <c r="R33" s="9">
        <f>Table2[[#This Row],[Cases]]/Table2[[#This Row],[Deaths]]</f>
        <v>89.977337110481585</v>
      </c>
      <c r="S33" s="12">
        <f>Table2[[#This Row],[Cases/1M]]/1000000</f>
        <v>1.0525E-2</v>
      </c>
      <c r="T33" s="12">
        <f>Table2[[#This Row],[Deaths/1M]]/1000000</f>
        <v>1.17E-4</v>
      </c>
      <c r="U33" s="13">
        <f>1-Table2[[#This Row],[Deaths]]/Table2[[#This Row],[Ex(Deaths)]]</f>
        <v>0.17275686938403434</v>
      </c>
      <c r="V33" s="13">
        <f>Table2[[#This Row],[Cases]]/Table2[[#This Row],[Tests]]</f>
        <v>7.6904637958378222E-2</v>
      </c>
      <c r="W33" s="12">
        <f>Table2[[#This Row],[Percent Infected]]*Table2[[#This Row],[% Active]]</f>
        <v>2.1979826522259302E-3</v>
      </c>
      <c r="X33" s="9">
        <f>1/Table2[[#This Row],[Percent Active Infected]]</f>
        <v>454.96264449006679</v>
      </c>
    </row>
    <row r="34" spans="1:24" ht="15.95" customHeight="1" thickBot="1" x14ac:dyDescent="0.3">
      <c r="A34" s="45" t="s">
        <v>273</v>
      </c>
      <c r="B34" s="48">
        <v>24140</v>
      </c>
      <c r="C34" s="49"/>
      <c r="D34" s="49">
        <v>445</v>
      </c>
      <c r="E34" s="49"/>
      <c r="F34" s="48">
        <v>4929</v>
      </c>
      <c r="G34" s="48">
        <v>6101</v>
      </c>
      <c r="H34" s="49">
        <v>112</v>
      </c>
      <c r="I34" s="48">
        <v>468644</v>
      </c>
      <c r="J34" s="48">
        <v>118435</v>
      </c>
      <c r="K34" s="57" t="s">
        <v>337</v>
      </c>
      <c r="L34" s="43" t="s">
        <v>242</v>
      </c>
      <c r="M34" s="10">
        <f>Table2[[#This Row],[Active]]/Table2[[#This Row],[Cases]]</f>
        <v>0.20418392709196354</v>
      </c>
      <c r="N34" s="9">
        <f>1000000/Table2[[#This Row],[Cases/1M]]</f>
        <v>163.90755613833798</v>
      </c>
      <c r="O34" s="9">
        <f>1000000/Table2[[#This Row],[Deaths/1M]]</f>
        <v>8928.5714285714294</v>
      </c>
      <c r="P34" s="9">
        <f>Table2[[#This Row],[Deaths]]+Table2[[#This Row],[Active]]*Table2[[#This Row],[Death Rate]]</f>
        <v>535.86184755592376</v>
      </c>
      <c r="Q34" s="10">
        <f>Table2[[#This Row],[Deaths]]/Table2[[#This Row],[Cases]]</f>
        <v>1.8434134217067109E-2</v>
      </c>
      <c r="R34" s="9">
        <f>Table2[[#This Row],[Cases]]/Table2[[#This Row],[Deaths]]</f>
        <v>54.247191011235955</v>
      </c>
      <c r="S34" s="12">
        <f>Table2[[#This Row],[Cases/1M]]/1000000</f>
        <v>6.1009999999999997E-3</v>
      </c>
      <c r="T34" s="12">
        <f>Table2[[#This Row],[Deaths/1M]]/1000000</f>
        <v>1.12E-4</v>
      </c>
      <c r="U34" s="13">
        <f>1-Table2[[#This Row],[Deaths]]/Table2[[#This Row],[Ex(Deaths)]]</f>
        <v>0.16956207643881793</v>
      </c>
      <c r="V34" s="13">
        <f>Table2[[#This Row],[Cases]]/Table2[[#This Row],[Tests]]</f>
        <v>5.1510314865868337E-2</v>
      </c>
      <c r="W34" s="12">
        <f>Table2[[#This Row],[Percent Infected]]*Table2[[#This Row],[% Active]]</f>
        <v>1.2457261391880694E-3</v>
      </c>
      <c r="X34" s="9">
        <f>1/Table2[[#This Row],[Percent Active Infected]]</f>
        <v>802.74465513886776</v>
      </c>
    </row>
    <row r="35" spans="1:24" ht="15.95" customHeight="1" thickBot="1" x14ac:dyDescent="0.3">
      <c r="A35" s="45" t="s">
        <v>274</v>
      </c>
      <c r="B35" s="48">
        <v>22361</v>
      </c>
      <c r="C35" s="49"/>
      <c r="D35" s="49">
        <v>301</v>
      </c>
      <c r="E35" s="49"/>
      <c r="F35" s="48">
        <v>5395</v>
      </c>
      <c r="G35" s="48">
        <v>11560</v>
      </c>
      <c r="H35" s="49">
        <v>156</v>
      </c>
      <c r="I35" s="48">
        <v>231407</v>
      </c>
      <c r="J35" s="48">
        <v>119627</v>
      </c>
      <c r="K35" s="57" t="s">
        <v>337</v>
      </c>
      <c r="L35" s="43" t="s">
        <v>242</v>
      </c>
      <c r="M35" s="27">
        <f>Table2[[#This Row],[Active]]/Table2[[#This Row],[Cases]]</f>
        <v>0.24126827959393587</v>
      </c>
      <c r="N35" s="9">
        <f>1000000/Table2[[#This Row],[Cases/1M]]</f>
        <v>86.505190311418687</v>
      </c>
      <c r="O35" s="9">
        <f>1000000/Table2[[#This Row],[Deaths/1M]]</f>
        <v>6410.2564102564102</v>
      </c>
      <c r="P35" s="9">
        <f>Table2[[#This Row],[Deaths]]+Table2[[#This Row],[Active]]*Table2[[#This Row],[Death Rate]]</f>
        <v>373.62175215777472</v>
      </c>
      <c r="Q35" s="10">
        <f>Table2[[#This Row],[Deaths]]/Table2[[#This Row],[Cases]]</f>
        <v>1.3460936451858146E-2</v>
      </c>
      <c r="R35" s="9">
        <f>Table2[[#This Row],[Cases]]/Table2[[#This Row],[Deaths]]</f>
        <v>74.289036544850504</v>
      </c>
      <c r="S35" s="12">
        <f>Table2[[#This Row],[Cases/1M]]/1000000</f>
        <v>1.1560000000000001E-2</v>
      </c>
      <c r="T35" s="12">
        <f>Table2[[#This Row],[Deaths/1M]]/1000000</f>
        <v>1.56E-4</v>
      </c>
      <c r="U35" s="13">
        <f>1-Table2[[#This Row],[Deaths]]/Table2[[#This Row],[Ex(Deaths)]]</f>
        <v>0.1943723879521545</v>
      </c>
      <c r="V35" s="13">
        <f>Table2[[#This Row],[Cases]]/Table2[[#This Row],[Tests]]</f>
        <v>9.6630611865673899E-2</v>
      </c>
      <c r="W35" s="12">
        <f>Table2[[#This Row],[Percent Infected]]*Table2[[#This Row],[% Active]]</f>
        <v>2.7890613121058991E-3</v>
      </c>
      <c r="X35" s="9">
        <f>1/Table2[[#This Row],[Percent Active Infected]]</f>
        <v>358.5435700748161</v>
      </c>
    </row>
    <row r="36" spans="1:24" ht="15.95" customHeight="1" thickBot="1" x14ac:dyDescent="0.3">
      <c r="A36" s="45" t="s">
        <v>276</v>
      </c>
      <c r="B36" s="48">
        <v>22191</v>
      </c>
      <c r="C36" s="59">
        <v>75</v>
      </c>
      <c r="D36" s="49">
        <v>305</v>
      </c>
      <c r="E36" s="49"/>
      <c r="F36" s="48">
        <v>9708</v>
      </c>
      <c r="G36" s="48">
        <v>7617</v>
      </c>
      <c r="H36" s="49">
        <v>105</v>
      </c>
      <c r="I36" s="48">
        <v>249353</v>
      </c>
      <c r="J36" s="48">
        <v>85591</v>
      </c>
      <c r="K36" s="57" t="s">
        <v>337</v>
      </c>
      <c r="L36" s="43" t="s">
        <v>242</v>
      </c>
      <c r="M36" s="10">
        <f>Table2[[#This Row],[Active]]/Table2[[#This Row],[Cases]]</f>
        <v>0.43747465188589968</v>
      </c>
      <c r="N36" s="9">
        <f>1000000/Table2[[#This Row],[Cases/1M]]</f>
        <v>131.28528291978469</v>
      </c>
      <c r="O36" s="9">
        <f>1000000/Table2[[#This Row],[Deaths/1M]]</f>
        <v>9523.8095238095229</v>
      </c>
      <c r="P36" s="9">
        <f>Table2[[#This Row],[Deaths]]+Table2[[#This Row],[Active]]*Table2[[#This Row],[Death Rate]]</f>
        <v>438.4297688251994</v>
      </c>
      <c r="Q36" s="10">
        <f>Table2[[#This Row],[Deaths]]/Table2[[#This Row],[Cases]]</f>
        <v>1.374431075661304E-2</v>
      </c>
      <c r="R36" s="9">
        <f>Table2[[#This Row],[Cases]]/Table2[[#This Row],[Deaths]]</f>
        <v>72.757377049180334</v>
      </c>
      <c r="S36" s="12">
        <f>Table2[[#This Row],[Cases/1M]]/1000000</f>
        <v>7.6169999999999996E-3</v>
      </c>
      <c r="T36" s="12">
        <f>Table2[[#This Row],[Deaths/1M]]/1000000</f>
        <v>1.05E-4</v>
      </c>
      <c r="U36" s="13">
        <f>1-Table2[[#This Row],[Deaths]]/Table2[[#This Row],[Ex(Deaths)]]</f>
        <v>0.30433555910843602</v>
      </c>
      <c r="V36" s="13">
        <f>Table2[[#This Row],[Cases]]/Table2[[#This Row],[Tests]]</f>
        <v>8.8994317293154684E-2</v>
      </c>
      <c r="W36" s="12">
        <f>Table2[[#This Row],[Percent Infected]]*Table2[[#This Row],[% Active]]</f>
        <v>3.3322444234148976E-3</v>
      </c>
      <c r="X36" s="9">
        <f>1/Table2[[#This Row],[Percent Active Infected]]</f>
        <v>300.09803391769083</v>
      </c>
    </row>
    <row r="37" spans="1:24" ht="15.95" customHeight="1" thickBot="1" x14ac:dyDescent="0.3">
      <c r="A37" s="45" t="s">
        <v>271</v>
      </c>
      <c r="B37" s="48">
        <v>21605</v>
      </c>
      <c r="C37" s="49"/>
      <c r="D37" s="49">
        <v>658</v>
      </c>
      <c r="E37" s="49"/>
      <c r="F37" s="48">
        <v>14175</v>
      </c>
      <c r="G37" s="48">
        <v>4836</v>
      </c>
      <c r="H37" s="49">
        <v>147</v>
      </c>
      <c r="I37" s="48">
        <v>522267</v>
      </c>
      <c r="J37" s="48">
        <v>116899</v>
      </c>
      <c r="K37" s="57" t="s">
        <v>341</v>
      </c>
      <c r="L37" s="43" t="s">
        <v>242</v>
      </c>
      <c r="M37" s="10">
        <f>Table2[[#This Row],[Active]]/Table2[[#This Row],[Cases]]</f>
        <v>0.65609812543392731</v>
      </c>
      <c r="N37" s="9">
        <f>1000000/Table2[[#This Row],[Cases/1M]]</f>
        <v>206.78246484698099</v>
      </c>
      <c r="O37" s="9">
        <f>1000000/Table2[[#This Row],[Deaths/1M]]</f>
        <v>6802.7210884353744</v>
      </c>
      <c r="P37" s="9">
        <f>Table2[[#This Row],[Deaths]]+Table2[[#This Row],[Active]]*Table2[[#This Row],[Death Rate]]</f>
        <v>1089.7125665355243</v>
      </c>
      <c r="Q37" s="10">
        <f>Table2[[#This Row],[Deaths]]/Table2[[#This Row],[Cases]]</f>
        <v>3.0455912983105762E-2</v>
      </c>
      <c r="R37" s="9">
        <f>Table2[[#This Row],[Cases]]/Table2[[#This Row],[Deaths]]</f>
        <v>32.834346504559271</v>
      </c>
      <c r="S37" s="12">
        <f>Table2[[#This Row],[Cases/1M]]/1000000</f>
        <v>4.836E-3</v>
      </c>
      <c r="T37" s="22">
        <f>Table2[[#This Row],[Deaths/1M]]/1000000</f>
        <v>1.47E-4</v>
      </c>
      <c r="U37" s="13">
        <f>1-Table2[[#This Row],[Deaths]]/Table2[[#This Row],[Ex(Deaths)]]</f>
        <v>0.39617104527669089</v>
      </c>
      <c r="V37" s="13">
        <f>Table2[[#This Row],[Cases]]/Table2[[#This Row],[Tests]]</f>
        <v>4.1367729532978341E-2</v>
      </c>
      <c r="W37" s="12">
        <f>Table2[[#This Row],[Percent Infected]]*Table2[[#This Row],[% Active]]</f>
        <v>3.1728905345984725E-3</v>
      </c>
      <c r="X37" s="9">
        <f>1/Table2[[#This Row],[Percent Active Infected]]</f>
        <v>315.17002843167717</v>
      </c>
    </row>
    <row r="38" spans="1:24" ht="15.95" customHeight="1" thickBot="1" x14ac:dyDescent="0.3">
      <c r="A38" s="45" t="s">
        <v>248</v>
      </c>
      <c r="B38" s="48">
        <v>17793</v>
      </c>
      <c r="C38" s="49"/>
      <c r="D38" s="49">
        <v>990</v>
      </c>
      <c r="E38" s="49"/>
      <c r="F38" s="48">
        <v>15086</v>
      </c>
      <c r="G38" s="48">
        <v>16796</v>
      </c>
      <c r="H38" s="49">
        <v>935</v>
      </c>
      <c r="I38" s="48">
        <v>304770</v>
      </c>
      <c r="J38" s="48">
        <v>287692</v>
      </c>
      <c r="K38" s="57" t="s">
        <v>338</v>
      </c>
      <c r="L38" s="43" t="s">
        <v>242</v>
      </c>
      <c r="M38" s="27">
        <f>Table2[[#This Row],[Active]]/Table2[[#This Row],[Cases]]</f>
        <v>0.84786151857472036</v>
      </c>
      <c r="N38" s="9">
        <f>1000000/Table2[[#This Row],[Cases/1M]]</f>
        <v>59.537985234579665</v>
      </c>
      <c r="O38" s="9">
        <f>1000000/Table2[[#This Row],[Deaths/1M]]</f>
        <v>1069.5187165775401</v>
      </c>
      <c r="P38" s="9">
        <f>Table2[[#This Row],[Deaths]]+Table2[[#This Row],[Active]]*Table2[[#This Row],[Death Rate]]</f>
        <v>1829.3829033889733</v>
      </c>
      <c r="Q38" s="10">
        <f>Table2[[#This Row],[Deaths]]/Table2[[#This Row],[Cases]]</f>
        <v>5.5639858371269599E-2</v>
      </c>
      <c r="R38" s="9">
        <f>Table2[[#This Row],[Cases]]/Table2[[#This Row],[Deaths]]</f>
        <v>17.972727272727273</v>
      </c>
      <c r="S38" s="12">
        <f>Table2[[#This Row],[Cases/1M]]/1000000</f>
        <v>1.6795999999999998E-2</v>
      </c>
      <c r="T38" s="12">
        <f>Table2[[#This Row],[Deaths/1M]]/1000000</f>
        <v>9.3499999999999996E-4</v>
      </c>
      <c r="U38" s="13">
        <f>1-Table2[[#This Row],[Deaths]]/Table2[[#This Row],[Ex(Deaths)]]</f>
        <v>0.45883390614069774</v>
      </c>
      <c r="V38" s="13">
        <f>Table2[[#This Row],[Cases]]/Table2[[#This Row],[Tests]]</f>
        <v>5.8381730485283986E-2</v>
      </c>
      <c r="W38" s="12">
        <f>Table2[[#This Row],[Percent Infected]]*Table2[[#This Row],[% Active]]</f>
        <v>1.4240682065981001E-2</v>
      </c>
      <c r="X38" s="9">
        <f>1/Table2[[#This Row],[Percent Active Infected]]</f>
        <v>70.221355646220076</v>
      </c>
    </row>
    <row r="39" spans="1:24" ht="15.95" customHeight="1" thickBot="1" x14ac:dyDescent="0.3">
      <c r="A39" s="45" t="s">
        <v>260</v>
      </c>
      <c r="B39" s="48">
        <v>16456</v>
      </c>
      <c r="C39" s="49"/>
      <c r="D39" s="49">
        <v>565</v>
      </c>
      <c r="E39" s="49"/>
      <c r="F39" s="48">
        <v>9237</v>
      </c>
      <c r="G39" s="48">
        <v>7848</v>
      </c>
      <c r="H39" s="49">
        <v>269</v>
      </c>
      <c r="I39" s="48">
        <v>452298</v>
      </c>
      <c r="J39" s="48">
        <v>215706</v>
      </c>
      <c r="K39" s="43" t="s">
        <v>330</v>
      </c>
      <c r="L39" s="43" t="s">
        <v>242</v>
      </c>
      <c r="M39" s="24">
        <f>Table2[[#This Row],[Active]]/Table2[[#This Row],[Cases]]</f>
        <v>0.56131502187651916</v>
      </c>
      <c r="N39" s="9">
        <f>1000000/Table2[[#This Row],[Cases/1M]]</f>
        <v>127.42099898063201</v>
      </c>
      <c r="O39" s="9">
        <f>1000000/Table2[[#This Row],[Deaths/1M]]</f>
        <v>3717.4721189591078</v>
      </c>
      <c r="P39" s="9">
        <f>Table2[[#This Row],[Deaths]]+Table2[[#This Row],[Active]]*Table2[[#This Row],[Death Rate]]</f>
        <v>882.14298736023329</v>
      </c>
      <c r="Q39" s="10">
        <f>Table2[[#This Row],[Deaths]]/Table2[[#This Row],[Cases]]</f>
        <v>3.4333981526494896E-2</v>
      </c>
      <c r="R39" s="9">
        <f>Table2[[#This Row],[Cases]]/Table2[[#This Row],[Deaths]]</f>
        <v>29.125663716814159</v>
      </c>
      <c r="S39" s="12">
        <f>Table2[[#This Row],[Cases/1M]]/1000000</f>
        <v>7.8480000000000008E-3</v>
      </c>
      <c r="T39" s="12">
        <f>Table2[[#This Row],[Deaths/1M]]/1000000</f>
        <v>2.6899999999999998E-4</v>
      </c>
      <c r="U39" s="13">
        <f>1-Table2[[#This Row],[Deaths]]/Table2[[#This Row],[Ex(Deaths)]]</f>
        <v>0.35951426458568481</v>
      </c>
      <c r="V39" s="13">
        <f>Table2[[#This Row],[Cases]]/Table2[[#This Row],[Tests]]</f>
        <v>3.6383092562867841E-2</v>
      </c>
      <c r="W39" s="12">
        <f>Table2[[#This Row],[Percent Infected]]*Table2[[#This Row],[% Active]]</f>
        <v>4.4052002916869226E-3</v>
      </c>
      <c r="X39" s="9">
        <f>1/Table2[[#This Row],[Percent Active Infected]]</f>
        <v>227.00443425628239</v>
      </c>
    </row>
    <row r="40" spans="1:24" ht="15.95" customHeight="1" thickBot="1" x14ac:dyDescent="0.3">
      <c r="A40" s="45" t="s">
        <v>285</v>
      </c>
      <c r="B40" s="48">
        <v>13802</v>
      </c>
      <c r="C40" s="49"/>
      <c r="D40" s="49">
        <v>254</v>
      </c>
      <c r="E40" s="49"/>
      <c r="F40" s="48">
        <v>10323</v>
      </c>
      <c r="G40" s="48">
        <v>3272</v>
      </c>
      <c r="H40" s="49">
        <v>60</v>
      </c>
      <c r="I40" s="48">
        <v>323478</v>
      </c>
      <c r="J40" s="48">
        <v>76695</v>
      </c>
      <c r="K40" s="57" t="s">
        <v>337</v>
      </c>
      <c r="L40" s="43" t="s">
        <v>242</v>
      </c>
      <c r="M40" s="27">
        <f>Table2[[#This Row],[Active]]/Table2[[#This Row],[Cases]]</f>
        <v>0.74793508187219249</v>
      </c>
      <c r="N40" s="9">
        <f>1000000/Table2[[#This Row],[Cases/1M]]</f>
        <v>305.62347188264062</v>
      </c>
      <c r="O40" s="9">
        <f>1000000/Table2[[#This Row],[Deaths/1M]]</f>
        <v>16666.666666666668</v>
      </c>
      <c r="P40" s="9">
        <f>Table2[[#This Row],[Deaths]]+Table2[[#This Row],[Active]]*Table2[[#This Row],[Death Rate]]</f>
        <v>443.97551079553682</v>
      </c>
      <c r="Q40" s="10">
        <f>Table2[[#This Row],[Deaths]]/Table2[[#This Row],[Cases]]</f>
        <v>1.8403129981162149E-2</v>
      </c>
      <c r="R40" s="9">
        <f>Table2[[#This Row],[Cases]]/Table2[[#This Row],[Deaths]]</f>
        <v>54.338582677165356</v>
      </c>
      <c r="S40" s="12">
        <f>Table2[[#This Row],[Cases/1M]]/1000000</f>
        <v>3.2720000000000002E-3</v>
      </c>
      <c r="T40" s="22">
        <f>Table2[[#This Row],[Deaths/1M]]/1000000</f>
        <v>6.0000000000000002E-5</v>
      </c>
      <c r="U40" s="13">
        <f>1-Table2[[#This Row],[Deaths]]/Table2[[#This Row],[Ex(Deaths)]]</f>
        <v>0.42789637305699479</v>
      </c>
      <c r="V40" s="13">
        <f>Table2[[#This Row],[Cases]]/Table2[[#This Row],[Tests]]</f>
        <v>4.2667507527559836E-2</v>
      </c>
      <c r="W40" s="12">
        <f>Table2[[#This Row],[Percent Infected]]*Table2[[#This Row],[% Active]]</f>
        <v>2.4472435878858138E-3</v>
      </c>
      <c r="X40" s="9">
        <f>1/Table2[[#This Row],[Percent Active Infected]]</f>
        <v>408.62299321168314</v>
      </c>
    </row>
    <row r="41" spans="1:24" ht="15.95" customHeight="1" thickBot="1" x14ac:dyDescent="0.3">
      <c r="A41" s="45" t="s">
        <v>281</v>
      </c>
      <c r="B41" s="48">
        <v>13752</v>
      </c>
      <c r="C41" s="49"/>
      <c r="D41" s="49">
        <v>118</v>
      </c>
      <c r="E41" s="49"/>
      <c r="F41" s="48">
        <v>9807</v>
      </c>
      <c r="G41" s="48">
        <v>7695</v>
      </c>
      <c r="H41" s="49">
        <v>66</v>
      </c>
      <c r="I41" s="48">
        <v>141636</v>
      </c>
      <c r="J41" s="48">
        <v>79256</v>
      </c>
      <c r="K41" s="57" t="s">
        <v>338</v>
      </c>
      <c r="L41" s="43" t="s">
        <v>242</v>
      </c>
      <c r="M41" s="24">
        <f>Table2[[#This Row],[Active]]/Table2[[#This Row],[Cases]]</f>
        <v>0.71313263525305415</v>
      </c>
      <c r="N41" s="9">
        <f>1000000/Table2[[#This Row],[Cases/1M]]</f>
        <v>129.95451591942819</v>
      </c>
      <c r="O41" s="9">
        <f>1000000/Table2[[#This Row],[Deaths/1M]]</f>
        <v>15151.515151515152</v>
      </c>
      <c r="P41" s="9">
        <f>Table2[[#This Row],[Deaths]]+Table2[[#This Row],[Active]]*Table2[[#This Row],[Death Rate]]</f>
        <v>202.14965095986037</v>
      </c>
      <c r="Q41" s="10">
        <f>Table2[[#This Row],[Deaths]]/Table2[[#This Row],[Cases]]</f>
        <v>8.5805700988947058E-3</v>
      </c>
      <c r="R41" s="9">
        <f>Table2[[#This Row],[Cases]]/Table2[[#This Row],[Deaths]]</f>
        <v>116.54237288135593</v>
      </c>
      <c r="S41" s="12">
        <f>Table2[[#This Row],[Cases/1M]]/1000000</f>
        <v>7.6949999999999996E-3</v>
      </c>
      <c r="T41" s="12">
        <f>Table2[[#This Row],[Deaths/1M]]/1000000</f>
        <v>6.6000000000000005E-5</v>
      </c>
      <c r="U41" s="13">
        <f>1-Table2[[#This Row],[Deaths]]/Table2[[#This Row],[Ex(Deaths)]]</f>
        <v>0.4162740354004838</v>
      </c>
      <c r="V41" s="13">
        <f>Table2[[#This Row],[Cases]]/Table2[[#This Row],[Tests]]</f>
        <v>9.7093959162924681E-2</v>
      </c>
      <c r="W41" s="12">
        <f>Table2[[#This Row],[Percent Infected]]*Table2[[#This Row],[% Active]]</f>
        <v>5.4875556282722518E-3</v>
      </c>
      <c r="X41" s="9">
        <f>1/Table2[[#This Row],[Percent Active Infected]]</f>
        <v>182.23049892158423</v>
      </c>
    </row>
    <row r="42" spans="1:24" ht="15.95" customHeight="1" thickBot="1" x14ac:dyDescent="0.3">
      <c r="A42" s="45" t="s">
        <v>253</v>
      </c>
      <c r="B42" s="48">
        <v>13429</v>
      </c>
      <c r="C42" s="59">
        <v>92</v>
      </c>
      <c r="D42" s="49">
        <v>523</v>
      </c>
      <c r="E42" s="58">
        <v>2</v>
      </c>
      <c r="F42" s="48">
        <v>5591</v>
      </c>
      <c r="G42" s="48">
        <v>13791</v>
      </c>
      <c r="H42" s="49">
        <v>537</v>
      </c>
      <c r="I42" s="48">
        <v>148610</v>
      </c>
      <c r="J42" s="48">
        <v>152614</v>
      </c>
      <c r="K42" s="57" t="s">
        <v>338</v>
      </c>
      <c r="L42" s="43" t="s">
        <v>242</v>
      </c>
      <c r="M42" s="24">
        <f>Table2[[#This Row],[Active]]/Table2[[#This Row],[Cases]]</f>
        <v>0.41633777645394293</v>
      </c>
      <c r="N42" s="9">
        <f>1000000/Table2[[#This Row],[Cases/1M]]</f>
        <v>72.511057936335291</v>
      </c>
      <c r="O42" s="9">
        <f>1000000/Table2[[#This Row],[Deaths/1M]]</f>
        <v>1862.1973929236499</v>
      </c>
      <c r="P42" s="9">
        <f>Table2[[#This Row],[Deaths]]+Table2[[#This Row],[Active]]*Table2[[#This Row],[Death Rate]]</f>
        <v>740.7446570854122</v>
      </c>
      <c r="Q42" s="10">
        <f>Table2[[#This Row],[Deaths]]/Table2[[#This Row],[Cases]]</f>
        <v>3.8945565567056369E-2</v>
      </c>
      <c r="R42" s="9">
        <f>Table2[[#This Row],[Cases]]/Table2[[#This Row],[Deaths]]</f>
        <v>25.676864244741875</v>
      </c>
      <c r="S42" s="12">
        <f>Table2[[#This Row],[Cases/1M]]/1000000</f>
        <v>1.3790999999999999E-2</v>
      </c>
      <c r="T42" s="12">
        <f>Table2[[#This Row],[Deaths/1M]]/1000000</f>
        <v>5.3700000000000004E-4</v>
      </c>
      <c r="U42" s="13">
        <f>1-Table2[[#This Row],[Deaths]]/Table2[[#This Row],[Ex(Deaths)]]</f>
        <v>0.29395373291272353</v>
      </c>
      <c r="V42" s="13">
        <f>Table2[[#This Row],[Cases]]/Table2[[#This Row],[Tests]]</f>
        <v>9.0364040104972745E-2</v>
      </c>
      <c r="W42" s="12">
        <f>Table2[[#This Row],[Percent Infected]]*Table2[[#This Row],[% Active]]</f>
        <v>5.7417142750763265E-3</v>
      </c>
      <c r="X42" s="9">
        <f>1/Table2[[#This Row],[Percent Active Infected]]</f>
        <v>174.16401306153583</v>
      </c>
    </row>
    <row r="43" spans="1:24" ht="15.95" customHeight="1" thickBot="1" x14ac:dyDescent="0.3">
      <c r="A43" s="45" t="s">
        <v>246</v>
      </c>
      <c r="B43" s="48">
        <v>11194</v>
      </c>
      <c r="C43" s="59">
        <v>79</v>
      </c>
      <c r="D43" s="49">
        <v>578</v>
      </c>
      <c r="E43" s="58">
        <v>1</v>
      </c>
      <c r="F43" s="48">
        <v>8753</v>
      </c>
      <c r="G43" s="48">
        <v>15861</v>
      </c>
      <c r="H43" s="49">
        <v>819</v>
      </c>
      <c r="I43" s="48">
        <v>141607</v>
      </c>
      <c r="J43" s="48">
        <v>200648</v>
      </c>
      <c r="K43" s="43" t="s">
        <v>330</v>
      </c>
      <c r="L43" s="43" t="s">
        <v>242</v>
      </c>
      <c r="M43" s="24">
        <f>Table2[[#This Row],[Active]]/Table2[[#This Row],[Cases]]</f>
        <v>0.78193675183133826</v>
      </c>
      <c r="N43" s="9">
        <f>1000000/Table2[[#This Row],[Cases/1M]]</f>
        <v>63.047727129436986</v>
      </c>
      <c r="O43" s="9">
        <f>1000000/Table2[[#This Row],[Deaths/1M]]</f>
        <v>1221.001221001221</v>
      </c>
      <c r="P43" s="9">
        <f>Table2[[#This Row],[Deaths]]+Table2[[#This Row],[Active]]*Table2[[#This Row],[Death Rate]]</f>
        <v>1029.9594425585135</v>
      </c>
      <c r="Q43" s="10">
        <f>Table2[[#This Row],[Deaths]]/Table2[[#This Row],[Cases]]</f>
        <v>5.1634804359478294E-2</v>
      </c>
      <c r="R43" s="9">
        <f>Table2[[#This Row],[Cases]]/Table2[[#This Row],[Deaths]]</f>
        <v>19.366782006920417</v>
      </c>
      <c r="S43" s="12">
        <f>Table2[[#This Row],[Cases/1M]]/1000000</f>
        <v>1.5861E-2</v>
      </c>
      <c r="T43" s="12">
        <f>Table2[[#This Row],[Deaths/1M]]/1000000</f>
        <v>8.1899999999999996E-4</v>
      </c>
      <c r="U43" s="13">
        <f>1-Table2[[#This Row],[Deaths]]/Table2[[#This Row],[Ex(Deaths)]]</f>
        <v>0.43881285406326764</v>
      </c>
      <c r="V43" s="13">
        <f>Table2[[#This Row],[Cases]]/Table2[[#This Row],[Tests]]</f>
        <v>7.904976448904362E-2</v>
      </c>
      <c r="W43" s="12">
        <f>Table2[[#This Row],[Percent Infected]]*Table2[[#This Row],[% Active]]</f>
        <v>1.2402298820796857E-2</v>
      </c>
      <c r="X43" s="9">
        <f>1/Table2[[#This Row],[Percent Active Infected]]</f>
        <v>80.630213353926365</v>
      </c>
    </row>
    <row r="44" spans="1:24" ht="15.95" customHeight="1" thickBot="1" x14ac:dyDescent="0.3">
      <c r="A44" s="45" t="s">
        <v>278</v>
      </c>
      <c r="B44" s="48">
        <v>7789</v>
      </c>
      <c r="C44" s="49"/>
      <c r="D44" s="49">
        <v>116</v>
      </c>
      <c r="E44" s="49"/>
      <c r="F44" s="49">
        <v>865</v>
      </c>
      <c r="G44" s="48">
        <v>8805</v>
      </c>
      <c r="H44" s="49">
        <v>131</v>
      </c>
      <c r="I44" s="48">
        <v>95974</v>
      </c>
      <c r="J44" s="48">
        <v>108487</v>
      </c>
      <c r="K44" s="43" t="s">
        <v>330</v>
      </c>
      <c r="L44" s="43" t="s">
        <v>242</v>
      </c>
      <c r="M44" s="27">
        <f>Table2[[#This Row],[Active]]/Table2[[#This Row],[Cases]]</f>
        <v>0.11105405058415714</v>
      </c>
      <c r="N44" s="9">
        <f>1000000/Table2[[#This Row],[Cases/1M]]</f>
        <v>113.57183418512209</v>
      </c>
      <c r="O44" s="9">
        <f>1000000/Table2[[#This Row],[Deaths/1M]]</f>
        <v>7633.5877862595416</v>
      </c>
      <c r="P44" s="9">
        <f>Table2[[#This Row],[Deaths]]+Table2[[#This Row],[Active]]*Table2[[#This Row],[Death Rate]]</f>
        <v>128.88226986776223</v>
      </c>
      <c r="Q44" s="10">
        <f>Table2[[#This Row],[Deaths]]/Table2[[#This Row],[Cases]]</f>
        <v>1.4892797534985236E-2</v>
      </c>
      <c r="R44" s="9">
        <f>Table2[[#This Row],[Cases]]/Table2[[#This Row],[Deaths]]</f>
        <v>67.146551724137936</v>
      </c>
      <c r="S44" s="12">
        <f>Table2[[#This Row],[Cases/1M]]/1000000</f>
        <v>8.8050000000000003E-3</v>
      </c>
      <c r="T44" s="12">
        <f>Table2[[#This Row],[Deaths/1M]]/1000000</f>
        <v>1.3100000000000001E-4</v>
      </c>
      <c r="U44" s="13">
        <f>1-Table2[[#This Row],[Deaths]]/Table2[[#This Row],[Ex(Deaths)]]</f>
        <v>9.9953778599491616E-2</v>
      </c>
      <c r="V44" s="13">
        <f>Table2[[#This Row],[Cases]]/Table2[[#This Row],[Tests]]</f>
        <v>8.1157396794965309E-2</v>
      </c>
      <c r="W44" s="12">
        <f>Table2[[#This Row],[Percent Infected]]*Table2[[#This Row],[% Active]]</f>
        <v>9.7783091539350368E-4</v>
      </c>
      <c r="X44" s="9">
        <f>1/Table2[[#This Row],[Percent Active Infected]]</f>
        <v>1022.6716953386311</v>
      </c>
    </row>
    <row r="45" spans="1:24" ht="15.95" customHeight="1" thickBot="1" x14ac:dyDescent="0.3">
      <c r="A45" s="45" t="s">
        <v>259</v>
      </c>
      <c r="B45" s="48">
        <v>6165</v>
      </c>
      <c r="C45" s="49"/>
      <c r="D45" s="49">
        <v>395</v>
      </c>
      <c r="E45" s="49"/>
      <c r="F45" s="49">
        <v>582</v>
      </c>
      <c r="G45" s="48">
        <v>4534</v>
      </c>
      <c r="H45" s="49">
        <v>291</v>
      </c>
      <c r="I45" s="48">
        <v>166879</v>
      </c>
      <c r="J45" s="48">
        <v>122731</v>
      </c>
      <c r="K45" s="43" t="s">
        <v>330</v>
      </c>
      <c r="L45" s="43" t="s">
        <v>242</v>
      </c>
      <c r="M45" s="27">
        <f>Table2[[#This Row],[Active]]/Table2[[#This Row],[Cases]]</f>
        <v>9.4403892944038933E-2</v>
      </c>
      <c r="N45" s="9">
        <f>1000000/Table2[[#This Row],[Cases/1M]]</f>
        <v>220.55580061755623</v>
      </c>
      <c r="O45" s="9">
        <f>1000000/Table2[[#This Row],[Deaths/1M]]</f>
        <v>3436.4261168384878</v>
      </c>
      <c r="P45" s="9">
        <f>Table2[[#This Row],[Deaths]]+Table2[[#This Row],[Active]]*Table2[[#This Row],[Death Rate]]</f>
        <v>432.28953771289537</v>
      </c>
      <c r="Q45" s="10">
        <f>Table2[[#This Row],[Deaths]]/Table2[[#This Row],[Cases]]</f>
        <v>6.4071370640713707E-2</v>
      </c>
      <c r="R45" s="9">
        <f>Table2[[#This Row],[Cases]]/Table2[[#This Row],[Deaths]]</f>
        <v>15.60759493670886</v>
      </c>
      <c r="S45" s="12">
        <f>Table2[[#This Row],[Cases/1M]]/1000000</f>
        <v>4.5339999999999998E-3</v>
      </c>
      <c r="T45" s="12">
        <f>Table2[[#This Row],[Deaths/1M]]/1000000</f>
        <v>2.9100000000000003E-4</v>
      </c>
      <c r="U45" s="13">
        <f>1-Table2[[#This Row],[Deaths]]/Table2[[#This Row],[Ex(Deaths)]]</f>
        <v>8.6260560248999529E-2</v>
      </c>
      <c r="V45" s="13">
        <f>Table2[[#This Row],[Cases]]/Table2[[#This Row],[Tests]]</f>
        <v>3.6942934701190686E-2</v>
      </c>
      <c r="W45" s="12">
        <f>Table2[[#This Row],[Percent Infected]]*Table2[[#This Row],[% Active]]</f>
        <v>4.2802725060827251E-4</v>
      </c>
      <c r="X45" s="9">
        <f>1/Table2[[#This Row],[Percent Active Infected]]</f>
        <v>2336.2998467478251</v>
      </c>
    </row>
    <row r="46" spans="1:24" ht="15.95" customHeight="1" thickBot="1" x14ac:dyDescent="0.3">
      <c r="A46" s="45" t="s">
        <v>277</v>
      </c>
      <c r="B46" s="48">
        <v>4907</v>
      </c>
      <c r="C46" s="59">
        <v>115</v>
      </c>
      <c r="D46" s="49">
        <v>90</v>
      </c>
      <c r="E46" s="49"/>
      <c r="F46" s="49">
        <v>914</v>
      </c>
      <c r="G46" s="48">
        <v>6439</v>
      </c>
      <c r="H46" s="49">
        <v>118</v>
      </c>
      <c r="I46" s="48">
        <v>129475</v>
      </c>
      <c r="J46" s="48">
        <v>169901</v>
      </c>
      <c r="K46" s="43" t="s">
        <v>330</v>
      </c>
      <c r="L46" s="43" t="s">
        <v>242</v>
      </c>
      <c r="M46" s="27">
        <f>Table2[[#This Row],[Active]]/Table2[[#This Row],[Cases]]</f>
        <v>0.18626452007336458</v>
      </c>
      <c r="N46" s="9">
        <f>1000000/Table2[[#This Row],[Cases/1M]]</f>
        <v>155.30361857431279</v>
      </c>
      <c r="O46" s="9">
        <f>1000000/Table2[[#This Row],[Deaths/1M]]</f>
        <v>8474.5762711864409</v>
      </c>
      <c r="P46" s="9">
        <f>Table2[[#This Row],[Deaths]]+Table2[[#This Row],[Active]]*Table2[[#This Row],[Death Rate]]</f>
        <v>106.76380680660282</v>
      </c>
      <c r="Q46" s="10">
        <f>Table2[[#This Row],[Deaths]]/Table2[[#This Row],[Cases]]</f>
        <v>1.8341145302628897E-2</v>
      </c>
      <c r="R46" s="9">
        <f>Table2[[#This Row],[Cases]]/Table2[[#This Row],[Deaths]]</f>
        <v>54.522222222222226</v>
      </c>
      <c r="S46" s="12">
        <f>Table2[[#This Row],[Cases/1M]]/1000000</f>
        <v>6.4390000000000003E-3</v>
      </c>
      <c r="T46" s="12">
        <f>Table2[[#This Row],[Deaths/1M]]/1000000</f>
        <v>1.18E-4</v>
      </c>
      <c r="U46" s="13">
        <f>1-Table2[[#This Row],[Deaths]]/Table2[[#This Row],[Ex(Deaths)]]</f>
        <v>0.15701769455420034</v>
      </c>
      <c r="V46" s="13">
        <f>Table2[[#This Row],[Cases]]/Table2[[#This Row],[Tests]]</f>
        <v>3.7899208341378644E-2</v>
      </c>
      <c r="W46" s="12">
        <f>Table2[[#This Row],[Percent Infected]]*Table2[[#This Row],[% Active]]</f>
        <v>1.1993572447523946E-3</v>
      </c>
      <c r="X46" s="9">
        <f>1/Table2[[#This Row],[Percent Active Infected]]</f>
        <v>833.77993035465295</v>
      </c>
    </row>
    <row r="47" spans="1:24" ht="15.95" customHeight="1" thickBot="1" x14ac:dyDescent="0.3">
      <c r="A47" s="45" t="s">
        <v>282</v>
      </c>
      <c r="B47" s="48">
        <v>4894</v>
      </c>
      <c r="C47" s="59">
        <v>111</v>
      </c>
      <c r="D47" s="49">
        <v>100</v>
      </c>
      <c r="E47" s="49"/>
      <c r="F47" s="48">
        <v>1167</v>
      </c>
      <c r="G47" s="48">
        <v>2731</v>
      </c>
      <c r="H47" s="49">
        <v>56</v>
      </c>
      <c r="I47" s="48">
        <v>222427</v>
      </c>
      <c r="J47" s="48">
        <v>124112</v>
      </c>
      <c r="K47" s="57" t="s">
        <v>337</v>
      </c>
      <c r="L47" s="43" t="s">
        <v>242</v>
      </c>
      <c r="M47" s="27">
        <f>Table2[[#This Row],[Active]]/Table2[[#This Row],[Cases]]</f>
        <v>0.23845525132815693</v>
      </c>
      <c r="N47" s="9">
        <f>1000000/Table2[[#This Row],[Cases/1M]]</f>
        <v>366.16623947272063</v>
      </c>
      <c r="O47" s="9">
        <f>1000000/Table2[[#This Row],[Deaths/1M]]</f>
        <v>17857.142857142859</v>
      </c>
      <c r="P47" s="9">
        <f>Table2[[#This Row],[Deaths]]+Table2[[#This Row],[Active]]*Table2[[#This Row],[Death Rate]]</f>
        <v>123.84552513281569</v>
      </c>
      <c r="Q47" s="10">
        <f>Table2[[#This Row],[Deaths]]/Table2[[#This Row],[Cases]]</f>
        <v>2.0433183489987738E-2</v>
      </c>
      <c r="R47" s="9">
        <f>Table2[[#This Row],[Cases]]/Table2[[#This Row],[Deaths]]</f>
        <v>48.94</v>
      </c>
      <c r="S47" s="12">
        <f>Table2[[#This Row],[Cases/1M]]/1000000</f>
        <v>2.7309999999999999E-3</v>
      </c>
      <c r="T47" s="12">
        <f>Table2[[#This Row],[Deaths/1M]]/1000000</f>
        <v>5.5999999999999999E-5</v>
      </c>
      <c r="U47" s="13">
        <f>1-Table2[[#This Row],[Deaths]]/Table2[[#This Row],[Ex(Deaths)]]</f>
        <v>0.192542484738492</v>
      </c>
      <c r="V47" s="13">
        <f>Table2[[#This Row],[Cases]]/Table2[[#This Row],[Tests]]</f>
        <v>2.2002724489383032E-2</v>
      </c>
      <c r="W47" s="12">
        <f>Table2[[#This Row],[Percent Infected]]*Table2[[#This Row],[% Active]]</f>
        <v>6.5122129137719657E-4</v>
      </c>
      <c r="X47" s="9">
        <f>1/Table2[[#This Row],[Percent Active Infected]]</f>
        <v>1535.5763290312723</v>
      </c>
    </row>
    <row r="48" spans="1:24" ht="16.5" thickBot="1" x14ac:dyDescent="0.3">
      <c r="A48" s="45" t="s">
        <v>297</v>
      </c>
      <c r="B48" s="48">
        <v>3646</v>
      </c>
      <c r="C48" s="59">
        <v>10</v>
      </c>
      <c r="D48" s="49">
        <v>117</v>
      </c>
      <c r="E48" s="58">
        <v>2</v>
      </c>
      <c r="F48" s="49">
        <v>415</v>
      </c>
      <c r="G48" s="48">
        <v>2712</v>
      </c>
      <c r="H48" s="49">
        <v>87</v>
      </c>
      <c r="I48" s="48">
        <v>141394</v>
      </c>
      <c r="J48" s="48">
        <v>105187</v>
      </c>
      <c r="K48" s="43" t="s">
        <v>330</v>
      </c>
      <c r="L48" s="43" t="s">
        <v>242</v>
      </c>
      <c r="M48" s="24">
        <f>Table2[[#This Row],[Active]]/Table2[[#This Row],[Cases]]</f>
        <v>0.1138233680746023</v>
      </c>
      <c r="N48" s="9">
        <f>1000000/Table2[[#This Row],[Cases/1M]]</f>
        <v>368.73156342182892</v>
      </c>
      <c r="O48" s="9">
        <f>1000000/Table2[[#This Row],[Deaths/1M]]</f>
        <v>11494.252873563219</v>
      </c>
      <c r="P48" s="9">
        <f>Table2[[#This Row],[Deaths]]+Table2[[#This Row],[Active]]*Table2[[#This Row],[Death Rate]]</f>
        <v>130.31733406472847</v>
      </c>
      <c r="Q48" s="10">
        <f>Table2[[#This Row],[Deaths]]/Table2[[#This Row],[Cases]]</f>
        <v>3.2089961601755347E-2</v>
      </c>
      <c r="R48" s="9">
        <f>Table2[[#This Row],[Cases]]/Table2[[#This Row],[Deaths]]</f>
        <v>31.162393162393162</v>
      </c>
      <c r="S48" s="12">
        <f>Table2[[#This Row],[Cases/1M]]/1000000</f>
        <v>2.712E-3</v>
      </c>
      <c r="T48" s="12">
        <f>Table2[[#This Row],[Deaths/1M]]/1000000</f>
        <v>8.7000000000000001E-5</v>
      </c>
      <c r="U48" s="13">
        <f>1-Table2[[#This Row],[Deaths]]/Table2[[#This Row],[Ex(Deaths)]]</f>
        <v>0.10219157842895843</v>
      </c>
      <c r="V48" s="13">
        <f>Table2[[#This Row],[Cases]]/Table2[[#This Row],[Tests]]</f>
        <v>2.5786101248992176E-2</v>
      </c>
      <c r="W48" s="12">
        <f>Table2[[#This Row],[Percent Infected]]*Table2[[#This Row],[% Active]]</f>
        <v>3.0868897421832146E-4</v>
      </c>
      <c r="X48" s="9">
        <f>1/Table2[[#This Row],[Percent Active Infected]]</f>
        <v>3239.506699363827</v>
      </c>
    </row>
    <row r="49" spans="1:24" ht="16.5" thickBot="1" x14ac:dyDescent="0.3">
      <c r="A49" s="45" t="s">
        <v>288</v>
      </c>
      <c r="B49" s="48">
        <v>2471</v>
      </c>
      <c r="C49" s="59">
        <v>105</v>
      </c>
      <c r="D49" s="49">
        <v>37</v>
      </c>
      <c r="E49" s="49"/>
      <c r="F49" s="48">
        <v>1442</v>
      </c>
      <c r="G49" s="48">
        <v>2312</v>
      </c>
      <c r="H49" s="49">
        <v>35</v>
      </c>
      <c r="I49" s="48">
        <v>130404</v>
      </c>
      <c r="J49" s="48">
        <v>122012</v>
      </c>
      <c r="K49" s="57" t="s">
        <v>337</v>
      </c>
      <c r="L49" s="43" t="s">
        <v>242</v>
      </c>
      <c r="M49" s="24">
        <f>Table2[[#This Row],[Active]]/Table2[[#This Row],[Cases]]</f>
        <v>0.58356940509915012</v>
      </c>
      <c r="N49" s="9">
        <f>1000000/Table2[[#This Row],[Cases/1M]]</f>
        <v>432.52595155709344</v>
      </c>
      <c r="O49" s="9">
        <f>1000000/Table2[[#This Row],[Deaths/1M]]</f>
        <v>28571.428571428572</v>
      </c>
      <c r="P49" s="9">
        <f>Table2[[#This Row],[Deaths]]+Table2[[#This Row],[Active]]*Table2[[#This Row],[Death Rate]]</f>
        <v>58.592067988668553</v>
      </c>
      <c r="Q49" s="10">
        <f>Table2[[#This Row],[Deaths]]/Table2[[#This Row],[Cases]]</f>
        <v>1.4973694860380412E-2</v>
      </c>
      <c r="R49" s="9">
        <f>Table2[[#This Row],[Cases]]/Table2[[#This Row],[Deaths]]</f>
        <v>66.78378378378379</v>
      </c>
      <c r="S49" s="12">
        <f>Table2[[#This Row],[Cases/1M]]/1000000</f>
        <v>2.3119999999999998E-3</v>
      </c>
      <c r="T49" s="12">
        <f>Table2[[#This Row],[Deaths/1M]]/1000000</f>
        <v>3.4999999999999997E-5</v>
      </c>
      <c r="U49" s="13">
        <f>1-Table2[[#This Row],[Deaths]]/Table2[[#This Row],[Ex(Deaths)]]</f>
        <v>0.36851520572450802</v>
      </c>
      <c r="V49" s="13">
        <f>Table2[[#This Row],[Cases]]/Table2[[#This Row],[Tests]]</f>
        <v>1.8948805251372658E-2</v>
      </c>
      <c r="W49" s="12">
        <f>Table2[[#This Row],[Percent Infected]]*Table2[[#This Row],[% Active]]</f>
        <v>1.3492124645892349E-3</v>
      </c>
      <c r="X49" s="9">
        <f>1/Table2[[#This Row],[Percent Active Infected]]</f>
        <v>741.17311116336896</v>
      </c>
    </row>
    <row r="50" spans="1:24" ht="16.5" thickBot="1" x14ac:dyDescent="0.3">
      <c r="A50" s="45" t="s">
        <v>287</v>
      </c>
      <c r="B50" s="48">
        <v>2108</v>
      </c>
      <c r="C50" s="59">
        <v>39</v>
      </c>
      <c r="D50" s="49">
        <v>24</v>
      </c>
      <c r="E50" s="49"/>
      <c r="F50" s="49">
        <v>494</v>
      </c>
      <c r="G50" s="48">
        <v>3642</v>
      </c>
      <c r="H50" s="49">
        <v>41</v>
      </c>
      <c r="I50" s="48">
        <v>61032</v>
      </c>
      <c r="J50" s="48">
        <v>105453</v>
      </c>
      <c r="K50" s="57" t="s">
        <v>336</v>
      </c>
      <c r="L50" s="43" t="s">
        <v>242</v>
      </c>
      <c r="M50" s="24">
        <f>Table2[[#This Row],[Active]]/Table2[[#This Row],[Cases]]</f>
        <v>0.23434535104364326</v>
      </c>
      <c r="N50" s="9">
        <f>1000000/Table2[[#This Row],[Cases/1M]]</f>
        <v>274.57440966501923</v>
      </c>
      <c r="O50" s="9">
        <f>1000000/Table2[[#This Row],[Deaths/1M]]</f>
        <v>24390.243902439026</v>
      </c>
      <c r="P50" s="9">
        <f>Table2[[#This Row],[Deaths]]+Table2[[#This Row],[Active]]*Table2[[#This Row],[Death Rate]]</f>
        <v>29.624288425047439</v>
      </c>
      <c r="Q50" s="10">
        <f>Table2[[#This Row],[Deaths]]/Table2[[#This Row],[Cases]]</f>
        <v>1.1385199240986717E-2</v>
      </c>
      <c r="R50" s="9">
        <f>Table2[[#This Row],[Cases]]/Table2[[#This Row],[Deaths]]</f>
        <v>87.833333333333329</v>
      </c>
      <c r="S50" s="12">
        <f>Table2[[#This Row],[Cases/1M]]/1000000</f>
        <v>3.6419999999999998E-3</v>
      </c>
      <c r="T50" s="12">
        <f>Table2[[#This Row],[Deaths/1M]]/1000000</f>
        <v>4.1E-5</v>
      </c>
      <c r="U50" s="13">
        <f>1-Table2[[#This Row],[Deaths]]/Table2[[#This Row],[Ex(Deaths)]]</f>
        <v>0.18985395849346653</v>
      </c>
      <c r="V50" s="13">
        <f>Table2[[#This Row],[Cases]]/Table2[[#This Row],[Tests]]</f>
        <v>3.453925809411456E-2</v>
      </c>
      <c r="W50" s="12">
        <f>Table2[[#This Row],[Percent Infected]]*Table2[[#This Row],[% Active]]</f>
        <v>8.5348576850094871E-4</v>
      </c>
      <c r="X50" s="9">
        <f>1/Table2[[#This Row],[Percent Active Infected]]</f>
        <v>1171.6656995422279</v>
      </c>
    </row>
    <row r="51" spans="1:24" ht="16.5" thickBot="1" x14ac:dyDescent="0.3">
      <c r="A51" s="45" t="s">
        <v>289</v>
      </c>
      <c r="B51" s="48">
        <v>1733</v>
      </c>
      <c r="C51" s="49"/>
      <c r="D51" s="49">
        <v>17</v>
      </c>
      <c r="E51" s="49"/>
      <c r="F51" s="48">
        <v>1019</v>
      </c>
      <c r="G51" s="48">
        <v>2369</v>
      </c>
      <c r="H51" s="49">
        <v>23</v>
      </c>
      <c r="I51" s="48">
        <v>165414</v>
      </c>
      <c r="J51" s="48">
        <v>226116</v>
      </c>
      <c r="K51" s="57" t="s">
        <v>337</v>
      </c>
      <c r="L51" s="43" t="s">
        <v>242</v>
      </c>
      <c r="M51" s="24">
        <f>Table2[[#This Row],[Active]]/Table2[[#This Row],[Cases]]</f>
        <v>0.58799769186382</v>
      </c>
      <c r="N51" s="9">
        <f>1000000/Table2[[#This Row],[Cases/1M]]</f>
        <v>422.11903756859436</v>
      </c>
      <c r="O51" s="9">
        <f>1000000/Table2[[#This Row],[Deaths/1M]]</f>
        <v>43478.260869565216</v>
      </c>
      <c r="P51" s="9">
        <f>Table2[[#This Row],[Deaths]]+Table2[[#This Row],[Active]]*Table2[[#This Row],[Death Rate]]</f>
        <v>26.995960761684941</v>
      </c>
      <c r="Q51" s="10">
        <f>Table2[[#This Row],[Deaths]]/Table2[[#This Row],[Cases]]</f>
        <v>9.8095787651471429E-3</v>
      </c>
      <c r="R51" s="9">
        <f>Table2[[#This Row],[Cases]]/Table2[[#This Row],[Deaths]]</f>
        <v>101.94117647058823</v>
      </c>
      <c r="S51" s="12">
        <f>Table2[[#This Row],[Cases/1M]]/1000000</f>
        <v>2.369E-3</v>
      </c>
      <c r="T51" s="12">
        <f>Table2[[#This Row],[Deaths/1M]]/1000000</f>
        <v>2.3E-5</v>
      </c>
      <c r="U51" s="13">
        <f>1-Table2[[#This Row],[Deaths]]/Table2[[#This Row],[Ex(Deaths)]]</f>
        <v>0.37027616279069775</v>
      </c>
      <c r="V51" s="13">
        <f>Table2[[#This Row],[Cases]]/Table2[[#This Row],[Tests]]</f>
        <v>1.0476743201905522E-2</v>
      </c>
      <c r="W51" s="12">
        <f>Table2[[#This Row],[Percent Infected]]*Table2[[#This Row],[% Active]]</f>
        <v>1.3929665320253895E-3</v>
      </c>
      <c r="X51" s="9">
        <f>1/Table2[[#This Row],[Percent Active Infected]]</f>
        <v>717.89233769025907</v>
      </c>
    </row>
    <row r="52" spans="1:24" ht="16.5" thickBot="1" x14ac:dyDescent="0.3">
      <c r="A52" s="45" t="s">
        <v>298</v>
      </c>
      <c r="B52" s="48">
        <v>1338</v>
      </c>
      <c r="C52" s="59">
        <v>4</v>
      </c>
      <c r="D52" s="49">
        <v>56</v>
      </c>
      <c r="E52" s="49"/>
      <c r="F52" s="49">
        <v>161</v>
      </c>
      <c r="G52" s="48">
        <v>2144</v>
      </c>
      <c r="H52" s="49">
        <v>90</v>
      </c>
      <c r="I52" s="48">
        <v>79366</v>
      </c>
      <c r="J52" s="48">
        <v>127191</v>
      </c>
      <c r="K52" s="43" t="s">
        <v>330</v>
      </c>
      <c r="L52" s="43" t="s">
        <v>242</v>
      </c>
      <c r="M52" s="24">
        <f>Table2[[#This Row],[Active]]/Table2[[#This Row],[Cases]]</f>
        <v>0.1203288490284006</v>
      </c>
      <c r="N52" s="9">
        <f>1000000/Table2[[#This Row],[Cases/1M]]</f>
        <v>466.41791044776119</v>
      </c>
      <c r="O52" s="9">
        <f>1000000/Table2[[#This Row],[Deaths/1M]]</f>
        <v>11111.111111111111</v>
      </c>
      <c r="P52" s="9">
        <f>Table2[[#This Row],[Deaths]]+Table2[[#This Row],[Active]]*Table2[[#This Row],[Death Rate]]</f>
        <v>62.738415545590435</v>
      </c>
      <c r="Q52" s="10">
        <f>Table2[[#This Row],[Deaths]]/Table2[[#This Row],[Cases]]</f>
        <v>4.1853512705530643E-2</v>
      </c>
      <c r="R52" s="9">
        <f>Table2[[#This Row],[Cases]]/Table2[[#This Row],[Deaths]]</f>
        <v>23.892857142857142</v>
      </c>
      <c r="S52" s="12">
        <f>Table2[[#This Row],[Cases/1M]]/1000000</f>
        <v>2.1440000000000001E-3</v>
      </c>
      <c r="T52" s="12">
        <f>Table2[[#This Row],[Deaths/1M]]/1000000</f>
        <v>9.0000000000000006E-5</v>
      </c>
      <c r="U52" s="13">
        <f>1-Table2[[#This Row],[Deaths]]/Table2[[#This Row],[Ex(Deaths)]]</f>
        <v>0.1074049366244163</v>
      </c>
      <c r="V52" s="13">
        <f>Table2[[#This Row],[Cases]]/Table2[[#This Row],[Tests]]</f>
        <v>1.6858604440188493E-2</v>
      </c>
      <c r="W52" s="12">
        <f>Table2[[#This Row],[Percent Infected]]*Table2[[#This Row],[% Active]]</f>
        <v>2.5798505231689091E-4</v>
      </c>
      <c r="X52" s="9">
        <f>1/Table2[[#This Row],[Percent Active Infected]]</f>
        <v>3876.1935663298409</v>
      </c>
    </row>
    <row r="53" spans="1:24" ht="16.5" thickBot="1" x14ac:dyDescent="0.3">
      <c r="A53" s="45" t="s">
        <v>290</v>
      </c>
      <c r="B53" s="48">
        <v>1334</v>
      </c>
      <c r="C53" s="49"/>
      <c r="D53" s="49">
        <v>23</v>
      </c>
      <c r="E53" s="49"/>
      <c r="F53" s="49">
        <v>317</v>
      </c>
      <c r="G53" s="49">
        <v>942</v>
      </c>
      <c r="H53" s="49">
        <v>16</v>
      </c>
      <c r="I53" s="48">
        <v>124068</v>
      </c>
      <c r="J53" s="48">
        <v>87627</v>
      </c>
      <c r="K53" s="43" t="s">
        <v>330</v>
      </c>
      <c r="L53" s="43" t="s">
        <v>242</v>
      </c>
      <c r="M53" s="24">
        <f>Table2[[#This Row],[Active]]/Table2[[#This Row],[Cases]]</f>
        <v>0.2376311844077961</v>
      </c>
      <c r="N53" s="9">
        <f>1000000/Table2[[#This Row],[Cases/1M]]</f>
        <v>1061.5711252653928</v>
      </c>
      <c r="O53" s="9">
        <f>1000000/Table2[[#This Row],[Deaths/1M]]</f>
        <v>62500</v>
      </c>
      <c r="P53" s="9">
        <f>Table2[[#This Row],[Deaths]]+Table2[[#This Row],[Active]]*Table2[[#This Row],[Death Rate]]</f>
        <v>28.46551724137931</v>
      </c>
      <c r="Q53" s="10">
        <f>Table2[[#This Row],[Deaths]]/Table2[[#This Row],[Cases]]</f>
        <v>1.7241379310344827E-2</v>
      </c>
      <c r="R53" s="9">
        <f>Table2[[#This Row],[Cases]]/Table2[[#This Row],[Deaths]]</f>
        <v>58</v>
      </c>
      <c r="S53" s="12">
        <f>Table2[[#This Row],[Cases/1M]]/1000000</f>
        <v>9.4200000000000002E-4</v>
      </c>
      <c r="T53" s="12">
        <f>Table2[[#This Row],[Deaths/1M]]/1000000</f>
        <v>1.5999999999999999E-5</v>
      </c>
      <c r="U53" s="13">
        <f>1-Table2[[#This Row],[Deaths]]/Table2[[#This Row],[Ex(Deaths)]]</f>
        <v>0.19200484554815256</v>
      </c>
      <c r="V53" s="13">
        <f>Table2[[#This Row],[Cases]]/Table2[[#This Row],[Tests]]</f>
        <v>1.0752168165844537E-2</v>
      </c>
      <c r="W53" s="12">
        <f>Table2[[#This Row],[Percent Infected]]*Table2[[#This Row],[% Active]]</f>
        <v>2.2384857571214393E-4</v>
      </c>
      <c r="X53" s="9">
        <f>1/Table2[[#This Row],[Percent Active Infected]]</f>
        <v>4467.3056186247131</v>
      </c>
    </row>
    <row r="54" spans="1:24" ht="16.5" thickBot="1" x14ac:dyDescent="0.3">
      <c r="A54" s="64" t="s">
        <v>295</v>
      </c>
      <c r="B54" s="49">
        <v>314</v>
      </c>
      <c r="C54" s="49"/>
      <c r="D54" s="49">
        <v>5</v>
      </c>
      <c r="E54" s="49"/>
      <c r="F54" s="49">
        <v>87</v>
      </c>
      <c r="G54" s="49"/>
      <c r="H54" s="49"/>
      <c r="I54" s="48">
        <v>18389</v>
      </c>
      <c r="J54" s="49"/>
      <c r="K54" s="57" t="s">
        <v>338</v>
      </c>
      <c r="L54" s="43" t="s">
        <v>242</v>
      </c>
      <c r="M54" s="24">
        <f>Table2[[#This Row],[Active]]/Table2[[#This Row],[Cases]]</f>
        <v>0.27707006369426751</v>
      </c>
      <c r="N54" s="9" t="e">
        <f>1000000/Table2[[#This Row],[Cases/1M]]</f>
        <v>#DIV/0!</v>
      </c>
      <c r="O54" s="9" t="e">
        <f>1000000/Table2[[#This Row],[Deaths/1M]]</f>
        <v>#DIV/0!</v>
      </c>
      <c r="P54" s="9">
        <f>Table2[[#This Row],[Deaths]]+Table2[[#This Row],[Active]]*Table2[[#This Row],[Death Rate]]</f>
        <v>6.3853503184713372</v>
      </c>
      <c r="Q54" s="10">
        <f>Table2[[#This Row],[Deaths]]/Table2[[#This Row],[Cases]]</f>
        <v>1.5923566878980892E-2</v>
      </c>
      <c r="R54" s="9">
        <f>Table2[[#This Row],[Cases]]/Table2[[#This Row],[Deaths]]</f>
        <v>62.8</v>
      </c>
      <c r="S54" s="12">
        <f>Table2[[#This Row],[Cases/1M]]/1000000</f>
        <v>0</v>
      </c>
      <c r="T54" s="12">
        <f>Table2[[#This Row],[Deaths/1M]]/1000000</f>
        <v>0</v>
      </c>
      <c r="U54" s="13">
        <f>1-Table2[[#This Row],[Deaths]]/Table2[[#This Row],[Ex(Deaths)]]</f>
        <v>0.21695760598503733</v>
      </c>
      <c r="V54" s="13">
        <f>Table2[[#This Row],[Cases]]/Table2[[#This Row],[Tests]]</f>
        <v>1.7075425526129753E-2</v>
      </c>
      <c r="W54" s="12">
        <f>Table2[[#This Row],[Percent Infected]]*Table2[[#This Row],[% Active]]</f>
        <v>0</v>
      </c>
      <c r="X54" s="9" t="e">
        <f>1/Table2[[#This Row],[Percent Active Infected]]</f>
        <v>#DIV/0!</v>
      </c>
    </row>
    <row r="55" spans="1:24" ht="16.5" thickBot="1" x14ac:dyDescent="0.3">
      <c r="A55" s="64" t="s">
        <v>293</v>
      </c>
      <c r="B55" s="49">
        <v>37</v>
      </c>
      <c r="C55" s="49"/>
      <c r="D55" s="49">
        <v>2</v>
      </c>
      <c r="E55" s="49"/>
      <c r="F55" s="49">
        <v>16</v>
      </c>
      <c r="G55" s="49"/>
      <c r="H55" s="49"/>
      <c r="I55" s="48">
        <v>11335</v>
      </c>
      <c r="J55" s="49"/>
      <c r="K55" s="43" t="s">
        <v>330</v>
      </c>
      <c r="L55" s="57"/>
      <c r="M55" s="24">
        <f>Table2[[#This Row],[Active]]/Table2[[#This Row],[Cases]]</f>
        <v>0.43243243243243246</v>
      </c>
      <c r="N55" s="9" t="e">
        <f>1000000/Table2[[#This Row],[Cases/1M]]</f>
        <v>#DIV/0!</v>
      </c>
      <c r="O55" s="9" t="e">
        <f>1000000/Table2[[#This Row],[Deaths/1M]]</f>
        <v>#DIV/0!</v>
      </c>
      <c r="P55" s="9">
        <f>Table2[[#This Row],[Deaths]]+Table2[[#This Row],[Active]]*Table2[[#This Row],[Death Rate]]</f>
        <v>2.8648648648648649</v>
      </c>
      <c r="Q55" s="10">
        <f>Table2[[#This Row],[Deaths]]/Table2[[#This Row],[Cases]]</f>
        <v>5.4054054054054057E-2</v>
      </c>
      <c r="R55" s="9">
        <f>Table2[[#This Row],[Cases]]/Table2[[#This Row],[Deaths]]</f>
        <v>18.5</v>
      </c>
      <c r="S55" s="12">
        <f>Table2[[#This Row],[Cases/1M]]/1000000</f>
        <v>0</v>
      </c>
      <c r="T55" s="12">
        <f>Table2[[#This Row],[Deaths/1M]]/1000000</f>
        <v>0</v>
      </c>
      <c r="U55" s="13">
        <f>1-Table2[[#This Row],[Deaths]]/Table2[[#This Row],[Ex(Deaths)]]</f>
        <v>0.30188679245283023</v>
      </c>
      <c r="V55" s="13">
        <f>Table2[[#This Row],[Cases]]/Table2[[#This Row],[Tests]]</f>
        <v>3.2642258491398322E-3</v>
      </c>
      <c r="W55" s="12">
        <f>Table2[[#This Row],[Percent Infected]]*Table2[[#This Row],[% Active]]</f>
        <v>0</v>
      </c>
      <c r="X55" s="9" t="e">
        <f>1/Table2[[#This Row],[Percent Active Infected]]</f>
        <v>#DIV/0!</v>
      </c>
    </row>
    <row r="56" spans="1:24" ht="16.5" thickBot="1" x14ac:dyDescent="0.3">
      <c r="A56" s="64" t="s">
        <v>284</v>
      </c>
      <c r="B56" s="48">
        <v>11453</v>
      </c>
      <c r="C56" s="59">
        <v>333</v>
      </c>
      <c r="D56" s="49">
        <v>178</v>
      </c>
      <c r="E56" s="58">
        <v>1</v>
      </c>
      <c r="F56" s="48">
        <v>9916</v>
      </c>
      <c r="G56" s="48">
        <v>3382</v>
      </c>
      <c r="H56" s="49">
        <v>53</v>
      </c>
      <c r="I56" s="48">
        <v>359473</v>
      </c>
      <c r="J56" s="48">
        <v>106135</v>
      </c>
      <c r="K56" s="57" t="s">
        <v>338</v>
      </c>
      <c r="L56" s="57"/>
      <c r="M56" s="24">
        <f>Table2[[#This Row],[Active]]/Table2[[#This Row],[Cases]]</f>
        <v>0.8657993538810792</v>
      </c>
      <c r="N56" s="9">
        <f>1000000/Table2[[#This Row],[Cases/1M]]</f>
        <v>295.68302779420463</v>
      </c>
      <c r="O56" s="9">
        <f>1000000/Table2[[#This Row],[Deaths/1M]]</f>
        <v>18867.924528301886</v>
      </c>
      <c r="P56" s="9">
        <f>Table2[[#This Row],[Deaths]]+Table2[[#This Row],[Active]]*Table2[[#This Row],[Death Rate]]</f>
        <v>332.11228499083211</v>
      </c>
      <c r="Q56" s="10">
        <f>Table2[[#This Row],[Deaths]]/Table2[[#This Row],[Cases]]</f>
        <v>1.5541779446433248E-2</v>
      </c>
      <c r="R56" s="9">
        <f>Table2[[#This Row],[Cases]]/Table2[[#This Row],[Deaths]]</f>
        <v>64.342696629213478</v>
      </c>
      <c r="S56" s="12">
        <f>Table2[[#This Row],[Cases/1M]]/1000000</f>
        <v>3.382E-3</v>
      </c>
      <c r="T56" s="12">
        <f>Table2[[#This Row],[Deaths/1M]]/1000000</f>
        <v>5.3000000000000001E-5</v>
      </c>
      <c r="U56" s="13">
        <f>1-Table2[[#This Row],[Deaths]]/Table2[[#This Row],[Ex(Deaths)]]</f>
        <v>0.46403668866114467</v>
      </c>
      <c r="V56" s="13">
        <f>Table2[[#This Row],[Cases]]/Table2[[#This Row],[Tests]]</f>
        <v>3.1860529163525497E-2</v>
      </c>
      <c r="W56" s="12">
        <f>Table2[[#This Row],[Percent Infected]]*Table2[[#This Row],[% Active]]</f>
        <v>2.9281334148258099E-3</v>
      </c>
      <c r="X56" s="9">
        <f>1/Table2[[#This Row],[Percent Active Infected]]</f>
        <v>341.51449347791703</v>
      </c>
    </row>
    <row r="57" spans="1:24" ht="30.75" thickBot="1" x14ac:dyDescent="0.3">
      <c r="A57" s="64" t="s">
        <v>296</v>
      </c>
      <c r="B57" s="49">
        <v>283</v>
      </c>
      <c r="C57" s="59">
        <v>20</v>
      </c>
      <c r="D57" s="49">
        <v>6</v>
      </c>
      <c r="E57" s="49"/>
      <c r="F57" s="49">
        <v>144</v>
      </c>
      <c r="G57" s="49"/>
      <c r="H57" s="49"/>
      <c r="I57" s="48">
        <v>6654</v>
      </c>
      <c r="J57" s="49"/>
      <c r="K57" s="57" t="s">
        <v>336</v>
      </c>
      <c r="L57" s="57"/>
      <c r="M57" s="24">
        <f>Table2[[#This Row],[Active]]/Table2[[#This Row],[Cases]]</f>
        <v>0.50883392226148405</v>
      </c>
      <c r="N57" s="9" t="e">
        <f>1000000/Table2[[#This Row],[Cases/1M]]</f>
        <v>#DIV/0!</v>
      </c>
      <c r="O57" s="9" t="e">
        <f>1000000/Table2[[#This Row],[Deaths/1M]]</f>
        <v>#DIV/0!</v>
      </c>
      <c r="P57" s="9">
        <f>Table2[[#This Row],[Deaths]]+Table2[[#This Row],[Active]]*Table2[[#This Row],[Death Rate]]</f>
        <v>9.053003533568905</v>
      </c>
      <c r="Q57" s="10">
        <f>Table2[[#This Row],[Deaths]]/Table2[[#This Row],[Cases]]</f>
        <v>2.1201413427561839E-2</v>
      </c>
      <c r="R57" s="9">
        <f>Table2[[#This Row],[Cases]]/Table2[[#This Row],[Deaths]]</f>
        <v>47.166666666666664</v>
      </c>
      <c r="S57" s="12">
        <f>Table2[[#This Row],[Cases/1M]]/1000000</f>
        <v>0</v>
      </c>
      <c r="T57" s="12">
        <f>Table2[[#This Row],[Deaths/1M]]/1000000</f>
        <v>0</v>
      </c>
      <c r="U57" s="13">
        <f>1-Table2[[#This Row],[Deaths]]/Table2[[#This Row],[Ex(Deaths)]]</f>
        <v>0.33723653395784547</v>
      </c>
      <c r="V57" s="13">
        <f>Table2[[#This Row],[Cases]]/Table2[[#This Row],[Tests]]</f>
        <v>4.2530808536218816E-2</v>
      </c>
      <c r="W57" s="12">
        <f>Table2[[#This Row],[Percent Infected]]*Table2[[#This Row],[% Active]]</f>
        <v>0</v>
      </c>
      <c r="X57" s="9" t="e">
        <f>1/Table2[[#This Row],[Percent Active Infected]]</f>
        <v>#DIV/0!</v>
      </c>
    </row>
    <row r="58" spans="1:24" ht="16.5" thickBot="1" x14ac:dyDescent="0.3">
      <c r="A58" s="65" t="s">
        <v>294</v>
      </c>
      <c r="B58" s="48">
        <v>32077</v>
      </c>
      <c r="C58" s="59">
        <v>219</v>
      </c>
      <c r="D58" s="48">
        <v>1873</v>
      </c>
      <c r="E58" s="58">
        <v>13</v>
      </c>
      <c r="F58" s="48">
        <v>6140</v>
      </c>
      <c r="G58" s="49"/>
      <c r="H58" s="49"/>
      <c r="I58" s="48">
        <v>404329</v>
      </c>
      <c r="J58" s="49"/>
      <c r="K58" s="43" t="s">
        <v>330</v>
      </c>
      <c r="L58" s="57"/>
      <c r="M58" s="24">
        <f>Table2[[#This Row],[Active]]/Table2[[#This Row],[Cases]]</f>
        <v>0.19141440907815568</v>
      </c>
      <c r="N58" s="9" t="e">
        <f>1000000/Table2[[#This Row],[Cases/1M]]</f>
        <v>#DIV/0!</v>
      </c>
      <c r="O58" s="9" t="e">
        <f>1000000/Table2[[#This Row],[Deaths/1M]]</f>
        <v>#DIV/0!</v>
      </c>
      <c r="P58" s="9">
        <f>Table2[[#This Row],[Deaths]]+Table2[[#This Row],[Active]]*Table2[[#This Row],[Death Rate]]</f>
        <v>2231.5191882033855</v>
      </c>
      <c r="Q58" s="10">
        <f>Table2[[#This Row],[Deaths]]/Table2[[#This Row],[Cases]]</f>
        <v>5.8390747264395047E-2</v>
      </c>
      <c r="R58" s="9">
        <f>Table2[[#This Row],[Cases]]/Table2[[#This Row],[Deaths]]</f>
        <v>17.12600106780566</v>
      </c>
      <c r="S58" s="12">
        <f>Table2[[#This Row],[Cases/1M]]/1000000</f>
        <v>0</v>
      </c>
      <c r="T58" s="12">
        <f>Table2[[#This Row],[Deaths/1M]]/1000000</f>
        <v>0</v>
      </c>
      <c r="U58" s="13">
        <f>1-Table2[[#This Row],[Deaths]]/Table2[[#This Row],[Ex(Deaths)]]</f>
        <v>0.1606614857262475</v>
      </c>
      <c r="V58" s="13">
        <f>Table2[[#This Row],[Cases]]/Table2[[#This Row],[Tests]]</f>
        <v>7.9333908772311654E-2</v>
      </c>
      <c r="W58" s="12">
        <f>Table2[[#This Row],[Percent Infected]]*Table2[[#This Row],[% Active]]</f>
        <v>0</v>
      </c>
      <c r="X58" s="9" t="e">
        <f>1/Table2[[#This Row],[Percent Active Infected]]</f>
        <v>#DIV/0!</v>
      </c>
    </row>
    <row r="59" spans="1:24" ht="16.5" thickBot="1" x14ac:dyDescent="0.3">
      <c r="A59" s="65" t="s">
        <v>292</v>
      </c>
      <c r="B59" s="48">
        <v>29047</v>
      </c>
      <c r="C59" s="49"/>
      <c r="D59" s="49">
        <v>46</v>
      </c>
      <c r="E59" s="49"/>
      <c r="F59" s="48">
        <v>17086</v>
      </c>
      <c r="G59" s="49"/>
      <c r="H59" s="49"/>
      <c r="I59" s="49"/>
      <c r="J59" s="49"/>
      <c r="K59" s="57" t="s">
        <v>338</v>
      </c>
      <c r="L59" s="57"/>
      <c r="M59" s="24">
        <f>Table2[[#This Row],[Active]]/Table2[[#This Row],[Cases]]</f>
        <v>0.5882190931937894</v>
      </c>
      <c r="N59" s="9" t="e">
        <f>1000000/Table2[[#This Row],[Cases/1M]]</f>
        <v>#DIV/0!</v>
      </c>
      <c r="O59" s="9" t="e">
        <f>1000000/Table2[[#This Row],[Deaths/1M]]</f>
        <v>#DIV/0!</v>
      </c>
      <c r="P59" s="9">
        <f>Table2[[#This Row],[Deaths]]+Table2[[#This Row],[Active]]*Table2[[#This Row],[Death Rate]]</f>
        <v>73.058078286914309</v>
      </c>
      <c r="Q59" s="10">
        <f>Table2[[#This Row],[Deaths]]/Table2[[#This Row],[Cases]]</f>
        <v>1.5836403070885118E-3</v>
      </c>
      <c r="R59" s="9">
        <f>Table2[[#This Row],[Cases]]/Table2[[#This Row],[Deaths]]</f>
        <v>631.45652173913038</v>
      </c>
      <c r="S59" s="12">
        <f>Table2[[#This Row],[Cases/1M]]/1000000</f>
        <v>0</v>
      </c>
      <c r="T59" s="12">
        <f>Table2[[#This Row],[Deaths/1M]]/1000000</f>
        <v>0</v>
      </c>
      <c r="U59" s="13">
        <f>1-Table2[[#This Row],[Deaths]]/Table2[[#This Row],[Ex(Deaths)]]</f>
        <v>0.37036394771638526</v>
      </c>
      <c r="V59" s="13" t="e">
        <f>Table2[[#This Row],[Cases]]/Table2[[#This Row],[Tests]]</f>
        <v>#DIV/0!</v>
      </c>
      <c r="W59" s="12">
        <f>Table2[[#This Row],[Percent Infected]]*Table2[[#This Row],[% Active]]</f>
        <v>0</v>
      </c>
      <c r="X59" s="9" t="e">
        <f>1/Table2[[#This Row],[Percent Active Infected]]</f>
        <v>#DIV/0!</v>
      </c>
    </row>
    <row r="60" spans="1:24" ht="16.5" thickBot="1" x14ac:dyDescent="0.3">
      <c r="A60" s="65" t="s">
        <v>299</v>
      </c>
      <c r="B60" s="48">
        <v>10069</v>
      </c>
      <c r="C60" s="49"/>
      <c r="D60" s="49">
        <v>98</v>
      </c>
      <c r="E60" s="49"/>
      <c r="F60" s="48">
        <v>3906</v>
      </c>
      <c r="G60" s="49"/>
      <c r="H60" s="49"/>
      <c r="I60" s="48">
        <v>31534</v>
      </c>
      <c r="J60" s="49"/>
      <c r="K60" s="57" t="s">
        <v>338</v>
      </c>
      <c r="L60" s="57"/>
      <c r="M60" s="24">
        <f>Table2[[#This Row],[Active]]/Table2[[#This Row],[Cases]]</f>
        <v>0.38792332902969512</v>
      </c>
      <c r="N60" s="9" t="e">
        <f>1000000/Table2[[#This Row],[Cases/1M]]</f>
        <v>#DIV/0!</v>
      </c>
      <c r="O60" s="9" t="e">
        <f>1000000/Table2[[#This Row],[Deaths/1M]]</f>
        <v>#DIV/0!</v>
      </c>
      <c r="P60" s="9">
        <f>Table2[[#This Row],[Deaths]]+Table2[[#This Row],[Active]]*Table2[[#This Row],[Death Rate]]</f>
        <v>136.01648624491011</v>
      </c>
      <c r="Q60" s="10">
        <f>Table2[[#This Row],[Deaths]]/Table2[[#This Row],[Cases]]</f>
        <v>9.7328433806733537E-3</v>
      </c>
      <c r="R60" s="9">
        <f>Table2[[#This Row],[Cases]]/Table2[[#This Row],[Deaths]]</f>
        <v>102.74489795918367</v>
      </c>
      <c r="S60" s="12">
        <f>Table2[[#This Row],[Cases/1M]]/1000000</f>
        <v>0</v>
      </c>
      <c r="T60" s="12">
        <f>Table2[[#This Row],[Deaths/1M]]/1000000</f>
        <v>0</v>
      </c>
      <c r="U60" s="13">
        <f>1-Table2[[#This Row],[Deaths]]/Table2[[#This Row],[Ex(Deaths)]]</f>
        <v>0.27949910554561708</v>
      </c>
      <c r="V60" s="13">
        <f>Table2[[#This Row],[Cases]]/Table2[[#This Row],[Tests]]</f>
        <v>0.3193061457474472</v>
      </c>
      <c r="W60" s="12">
        <f>Table2[[#This Row],[Percent Infected]]*Table2[[#This Row],[% Active]]</f>
        <v>0</v>
      </c>
      <c r="X60" s="9" t="e">
        <f>1/Table2[[#This Row],[Percent Active Infected]]</f>
        <v>#DIV/0!</v>
      </c>
    </row>
    <row r="61" spans="1:24" ht="16.5" thickBot="1" x14ac:dyDescent="0.3">
      <c r="A61" s="66" t="s">
        <v>291</v>
      </c>
      <c r="B61" s="67">
        <v>8486</v>
      </c>
      <c r="C61" s="68"/>
      <c r="D61" s="68">
        <v>407</v>
      </c>
      <c r="E61" s="68"/>
      <c r="F61" s="67">
        <v>4948</v>
      </c>
      <c r="G61" s="68"/>
      <c r="H61" s="68"/>
      <c r="I61" s="67">
        <v>65759</v>
      </c>
      <c r="J61" s="68"/>
      <c r="K61" s="43" t="s">
        <v>330</v>
      </c>
      <c r="L61" s="57"/>
      <c r="M61" s="24">
        <f>Table2[[#This Row],[Active]]/Table2[[#This Row],[Cases]]</f>
        <v>0.58307801084138577</v>
      </c>
      <c r="N61" s="9" t="e">
        <f>1000000/Table2[[#This Row],[Cases/1M]]</f>
        <v>#DIV/0!</v>
      </c>
      <c r="O61" s="9" t="e">
        <f>1000000/Table2[[#This Row],[Deaths/1M]]</f>
        <v>#DIV/0!</v>
      </c>
      <c r="P61" s="9">
        <f>Table2[[#This Row],[Deaths]]+Table2[[#This Row],[Active]]*Table2[[#This Row],[Death Rate]]</f>
        <v>644.31275041244407</v>
      </c>
      <c r="Q61" s="10">
        <f>Table2[[#This Row],[Deaths]]/Table2[[#This Row],[Cases]]</f>
        <v>4.7961348102757484E-2</v>
      </c>
      <c r="R61" s="9">
        <f>Table2[[#This Row],[Cases]]/Table2[[#This Row],[Deaths]]</f>
        <v>20.850122850122851</v>
      </c>
      <c r="S61" s="12">
        <f>Table2[[#This Row],[Cases/1M]]/1000000</f>
        <v>0</v>
      </c>
      <c r="T61" s="12">
        <f>Table2[[#This Row],[Deaths/1M]]/1000000</f>
        <v>0</v>
      </c>
      <c r="U61" s="13">
        <f>1-Table2[[#This Row],[Deaths]]/Table2[[#This Row],[Ex(Deaths)]]</f>
        <v>0.36831919011463454</v>
      </c>
      <c r="V61" s="13">
        <f>Table2[[#This Row],[Cases]]/Table2[[#This Row],[Tests]]</f>
        <v>0.12904697455861555</v>
      </c>
      <c r="W61" s="12">
        <f>Table2[[#This Row],[Percent Infected]]*Table2[[#This Row],[% Active]]</f>
        <v>0</v>
      </c>
      <c r="X61" s="9" t="e">
        <f>1/Table2[[#This Row],[Percent Active Infected]]</f>
        <v>#DIV/0!</v>
      </c>
    </row>
    <row r="62" spans="1:24" ht="15.75" thickBot="1" x14ac:dyDescent="0.3">
      <c r="K62" s="69" t="s">
        <v>337</v>
      </c>
      <c r="L62" s="46"/>
      <c r="M62" s="29"/>
      <c r="P62" s="1">
        <f>Table2[[#This Row],[Deaths]]+Table2[[#This Row],[Active]]*Table2[[#This Row],[Death Rate]]</f>
        <v>0</v>
      </c>
      <c r="W62" s="70">
        <f>Table2[[#This Row],[Percent Infected]]*Table2[[#This Row],[% Active]]</f>
        <v>0</v>
      </c>
      <c r="X62" s="71" t="e">
        <f>1/Table2[[#This Row],[Percent Active Infected]]</f>
        <v>#DIV/0!</v>
      </c>
    </row>
    <row r="63" spans="1:24" ht="15.75" thickBot="1" x14ac:dyDescent="0.3">
      <c r="M63" s="29"/>
    </row>
    <row r="64" spans="1:24" ht="15.75" thickBot="1" x14ac:dyDescent="0.3">
      <c r="M64" s="29"/>
    </row>
    <row r="65" spans="13:13" ht="15.75" thickBot="1" x14ac:dyDescent="0.3">
      <c r="M65" s="29"/>
    </row>
    <row r="66" spans="13:13" ht="15.75" thickBot="1" x14ac:dyDescent="0.3">
      <c r="M66" s="28"/>
    </row>
    <row r="67" spans="13:13" ht="15.75" thickBot="1" x14ac:dyDescent="0.3">
      <c r="M67" s="28"/>
    </row>
    <row r="68" spans="13:13" ht="15.75" thickBot="1" x14ac:dyDescent="0.3">
      <c r="M68" s="28"/>
    </row>
    <row r="69" spans="13:13" ht="15.75" thickBot="1" x14ac:dyDescent="0.3">
      <c r="M69" s="29"/>
    </row>
    <row r="70" spans="13:13" ht="15.75" thickBot="1" x14ac:dyDescent="0.3">
      <c r="M70" s="28"/>
    </row>
    <row r="71" spans="13:13" ht="15.75" thickBot="1" x14ac:dyDescent="0.3">
      <c r="M71" s="28"/>
    </row>
    <row r="72" spans="13:13" ht="15.75" thickBot="1" x14ac:dyDescent="0.3">
      <c r="M72" s="28"/>
    </row>
    <row r="73" spans="13:13" ht="15.75" thickBot="1" x14ac:dyDescent="0.3">
      <c r="M73" s="28"/>
    </row>
    <row r="74" spans="13:13" ht="15.75" thickBot="1" x14ac:dyDescent="0.3">
      <c r="M74" s="28"/>
    </row>
    <row r="75" spans="13:13" ht="15.75" thickBot="1" x14ac:dyDescent="0.3">
      <c r="M75" s="28"/>
    </row>
    <row r="76" spans="13:13" ht="15.75" thickBot="1" x14ac:dyDescent="0.3">
      <c r="M76" s="28"/>
    </row>
    <row r="77" spans="13:13" ht="15.75" thickBot="1" x14ac:dyDescent="0.3">
      <c r="M77" s="28"/>
    </row>
    <row r="78" spans="13:13" ht="15.75" thickBot="1" x14ac:dyDescent="0.3">
      <c r="M78" s="29"/>
    </row>
    <row r="79" spans="13:13" ht="15.75" thickBot="1" x14ac:dyDescent="0.3">
      <c r="M79" s="28"/>
    </row>
    <row r="80" spans="13:13" ht="15.75" thickBot="1" x14ac:dyDescent="0.3">
      <c r="M80" s="29"/>
    </row>
    <row r="81" spans="7:13" ht="15.75" thickBot="1" x14ac:dyDescent="0.3">
      <c r="M81" s="28"/>
    </row>
    <row r="82" spans="7:13" ht="15.75" thickBot="1" x14ac:dyDescent="0.3">
      <c r="M82" s="29"/>
    </row>
    <row r="83" spans="7:13" ht="15.75" thickBot="1" x14ac:dyDescent="0.3">
      <c r="M83" s="28"/>
    </row>
    <row r="84" spans="7:13" ht="15.75" thickBot="1" x14ac:dyDescent="0.3">
      <c r="M84" s="29"/>
    </row>
    <row r="85" spans="7:13" ht="16.5" thickBot="1" x14ac:dyDescent="0.3">
      <c r="H85" s="30"/>
      <c r="I85" s="31">
        <v>3132</v>
      </c>
      <c r="J85" s="31">
        <v>5383</v>
      </c>
      <c r="K85" s="31"/>
      <c r="L85" s="31"/>
      <c r="M85" s="28"/>
    </row>
    <row r="86" spans="7:13" ht="16.5" thickBot="1" x14ac:dyDescent="0.3">
      <c r="H86" s="30">
        <v>4</v>
      </c>
      <c r="I86" s="31">
        <v>6207</v>
      </c>
      <c r="J86" s="31">
        <v>8252</v>
      </c>
      <c r="K86" s="31"/>
      <c r="L86" s="31"/>
      <c r="M86" s="29"/>
    </row>
    <row r="87" spans="7:13" ht="16.5" thickBot="1" x14ac:dyDescent="0.3">
      <c r="H87" s="30">
        <v>7</v>
      </c>
      <c r="I87" s="31">
        <v>6016</v>
      </c>
      <c r="J87" s="31">
        <v>8146</v>
      </c>
      <c r="K87" s="31"/>
      <c r="L87" s="31"/>
      <c r="M87" s="28"/>
    </row>
    <row r="88" spans="7:13" ht="16.5" thickBot="1" x14ac:dyDescent="0.3">
      <c r="G88" s="30"/>
      <c r="H88" s="30"/>
      <c r="I88" s="30">
        <v>500</v>
      </c>
      <c r="J88" s="30"/>
      <c r="K88" s="30"/>
      <c r="L88" s="30"/>
      <c r="M88" s="28"/>
    </row>
    <row r="89" spans="7:13" ht="16.5" thickBot="1" x14ac:dyDescent="0.3">
      <c r="G89" s="30"/>
      <c r="H89" s="30"/>
      <c r="I89" s="30">
        <v>33</v>
      </c>
      <c r="J89" s="30"/>
      <c r="K89" s="30"/>
      <c r="L89" s="30"/>
      <c r="M89" s="29"/>
    </row>
    <row r="90" spans="7:13" ht="16.5" thickBot="1" x14ac:dyDescent="0.3">
      <c r="G90" s="30">
        <v>133</v>
      </c>
      <c r="H90" s="30">
        <v>5</v>
      </c>
      <c r="I90" s="31">
        <v>4190</v>
      </c>
      <c r="J90" s="31">
        <v>1237</v>
      </c>
      <c r="K90" s="31"/>
      <c r="L90" s="31"/>
      <c r="M90" s="28"/>
    </row>
    <row r="91" spans="7:13" ht="16.5" thickBot="1" x14ac:dyDescent="0.3">
      <c r="G91" s="32"/>
      <c r="H91" s="32"/>
      <c r="I91" s="32">
        <v>266</v>
      </c>
      <c r="J91" s="32"/>
      <c r="K91" s="33"/>
      <c r="L91" s="33"/>
      <c r="M91" s="34"/>
    </row>
  </sheetData>
  <conditionalFormatting sqref="M2:M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s://www.worldometers.info/coronavirus/usa/new-york/" xr:uid="{C5687B01-DA1B-40B1-AEA0-E8BFE4B9E759}"/>
    <hyperlink ref="L4" r:id="rId2" display="https://covid19.healthdata.org/united-states-of-america/new-york" xr:uid="{EFB60F34-56FF-4ABC-9298-31C7696A32AA}"/>
    <hyperlink ref="A4" r:id="rId3" display="https://www.worldometers.info/coronavirus/usa/california/" xr:uid="{86729DFC-5588-4798-BE33-50717FC22BA3}"/>
    <hyperlink ref="L5" r:id="rId4" display="https://covid19.healthdata.org/united-states-of-america/california" xr:uid="{2E42B0F9-C6DD-445A-A976-3F8FF57A46AE}"/>
    <hyperlink ref="A5" r:id="rId5" display="https://www.worldometers.info/coronavirus/usa/florida/" xr:uid="{0A1EC260-B1F1-44B5-933F-6736AB79D617}"/>
    <hyperlink ref="L6" r:id="rId6" display="https://covid19.healthdata.org/united-states-of-america/florida" xr:uid="{B9400977-865F-411B-80E2-DBD8122D8614}"/>
    <hyperlink ref="A6" r:id="rId7" display="https://www.worldometers.info/coronavirus/usa/texas/" xr:uid="{0CD6348E-9D7E-4E95-9260-9AC89242419E}"/>
    <hyperlink ref="L7" r:id="rId8" display="https://covid19.healthdata.org/united-states-of-america/texas" xr:uid="{C8181202-7AFC-4A96-BE1B-3E19E5E533CF}"/>
    <hyperlink ref="A7" r:id="rId9" display="https://www.worldometers.info/coronavirus/usa/new-jersey/" xr:uid="{F3C52E16-6BCA-4E4F-A5A8-C26125E762E6}"/>
    <hyperlink ref="L8" r:id="rId10" display="https://covid19.healthdata.org/united-states-of-america/new-jersey" xr:uid="{56DF69B1-9FE7-4E0E-97F4-5E095EB9A8D3}"/>
    <hyperlink ref="A8" r:id="rId11" display="https://www.worldometers.info/coronavirus/usa/illinois/" xr:uid="{5CB3C992-CC5C-47EA-AD13-052A42B31092}"/>
    <hyperlink ref="L9" r:id="rId12" display="https://covid19.healthdata.org/united-states-of-america/illinois" xr:uid="{16AEE684-2166-4079-B2E6-1EE5AFD10A5F}"/>
    <hyperlink ref="A9" r:id="rId13" display="https://www.worldometers.info/coronavirus/usa/arizona/" xr:uid="{3E6401D2-DEEF-4606-9E18-6EA3E0F334C1}"/>
    <hyperlink ref="K10" r:id="rId14" display="https://www.azdhs.gov/preparedness/epidemiology-disease-control/infectious-disease-epidemiology/covid-19/dashboards/index.php" xr:uid="{2E0EB516-14B5-4C89-96D0-DAAF962F520A}"/>
    <hyperlink ref="L10" r:id="rId15" display="https://covid19.healthdata.org/united-states-of-america/arizona" xr:uid="{33C5E034-8CA4-4820-9614-4A1CCE2D6846}"/>
    <hyperlink ref="A10" r:id="rId16" display="https://www.worldometers.info/coronavirus/usa/georgia/" xr:uid="{53EE39A7-94ED-4F92-B483-5A3BF63B1532}"/>
    <hyperlink ref="K11" r:id="rId17" display="https://dph.georgia.gov/covid-19-daily-status-report" xr:uid="{AE6C6C23-AD56-4559-A546-03F2FC1F2A8A}"/>
    <hyperlink ref="L11" r:id="rId18" display="https://covid19.healthdata.org/united-states-of-america/georgia" xr:uid="{67AEEB15-1083-4C54-8A71-34793A7FEF3B}"/>
    <hyperlink ref="A11" r:id="rId19" display="https://www.worldometers.info/coronavirus/usa/massachusetts/" xr:uid="{3FBABD8A-313E-4CA5-BFE6-956EDCA6527B}"/>
    <hyperlink ref="K12" r:id="rId20" display="https://www.mass.gov/doc/covid-19-dashboard-july-17-2020/download" xr:uid="{E7ABE006-0CE1-4363-903B-87A1FEF944C5}"/>
    <hyperlink ref="L12" r:id="rId21" display="https://covid19.healthdata.org/united-states-of-america/massachusetts" xr:uid="{7C714E6E-12B2-4E97-9ED1-CFC4206E1C41}"/>
    <hyperlink ref="A12" r:id="rId22" display="https://www.worldometers.info/coronavirus/usa/pennsylvania/" xr:uid="{32C7234D-4877-4F4F-B7D9-96E903E7CDA6}"/>
    <hyperlink ref="L13" r:id="rId23" display="https://covid19.healthdata.org/united-states-of-america/pennsylvania" xr:uid="{9DD93344-7ECA-44EA-A70A-EC646B3E8C30}"/>
    <hyperlink ref="A13" r:id="rId24" display="https://www.worldometers.info/coronavirus/usa/north-carolina/" xr:uid="{CD179E9E-C869-45C7-A2DF-4CE6CC6456FC}"/>
    <hyperlink ref="L14" r:id="rId25" display="https://covid19.healthdata.org/united-states-of-america/north-carolina" xr:uid="{332C3F73-9E97-437D-A6A9-7B89E9807B63}"/>
    <hyperlink ref="A14" r:id="rId26" display="https://www.worldometers.info/coronavirus/usa/louisiana/" xr:uid="{9C187015-36DA-40D9-B132-9B2CF9D97C1B}"/>
    <hyperlink ref="L15" r:id="rId27" display="https://covid19.healthdata.org/united-states-of-america/louisiana" xr:uid="{737DC6F7-7311-4F3E-96CB-A83DEC2DA109}"/>
    <hyperlink ref="A15" r:id="rId28" display="https://www.worldometers.info/coronavirus/usa/michigan/" xr:uid="{6F51CED8-AAC0-4D3C-AF85-201C50B99FF6}"/>
    <hyperlink ref="L16" r:id="rId29" display="https://covid19.healthdata.org/united-states-of-america/michigan" xr:uid="{EDC674D2-5AB7-4202-BEDC-0A4228A4BE17}"/>
    <hyperlink ref="A16" r:id="rId30" display="https://www.worldometers.info/coronavirus/usa/maryland/" xr:uid="{6A552B3F-DF2A-473B-B851-8442E7274F48}"/>
    <hyperlink ref="K17" r:id="rId31" display="https://coronavirus.maryland.gov/" xr:uid="{0A5137D6-23F8-4586-A762-1C833BD48E66}"/>
    <hyperlink ref="L17" r:id="rId32" display="https://covid19.healthdata.org/united-states-of-america/maryland" xr:uid="{58DA4E5A-9AB1-41F8-B25F-64B0563C09C1}"/>
    <hyperlink ref="A17" r:id="rId33" display="https://www.worldometers.info/coronavirus/usa/virginia/" xr:uid="{7C7A975F-FC9B-4FD5-8C1B-78525F948FFC}"/>
    <hyperlink ref="L18" r:id="rId34" display="https://covid19.healthdata.org/united-states-of-america/virginia" xr:uid="{2EEDE9AB-D8B4-4A77-9DD9-996F70303208}"/>
    <hyperlink ref="A18" r:id="rId35" display="https://www.worldometers.info/coronavirus/usa/tennessee/" xr:uid="{B362803B-EC94-4551-BB52-A4C51B723B01}"/>
    <hyperlink ref="L19" r:id="rId36" display="https://covid19.healthdata.org/united-states-of-america/tennessee" xr:uid="{289BB0A4-A1C4-4FE9-9A2A-7F1B22C8F9F9}"/>
    <hyperlink ref="A19" r:id="rId37" display="https://www.worldometers.info/coronavirus/usa/ohio/" xr:uid="{F4731C4E-9711-4F4A-B3C8-92D86663A2BC}"/>
    <hyperlink ref="L20" r:id="rId38" display="https://covid19.healthdata.org/united-states-of-america/ohio" xr:uid="{1BB2DDEC-A2CF-4255-B1E8-29C8448A960F}"/>
    <hyperlink ref="A20" r:id="rId39" display="https://www.worldometers.info/coronavirus/usa/south-carolina/" xr:uid="{D8B1995B-77CA-4C3F-939A-BF4189AAA164}"/>
    <hyperlink ref="L21" r:id="rId40" display="https://covid19.healthdata.org/united-states-of-america/south-carolina" xr:uid="{1B96477E-617D-431F-BD46-63B4E5ADF70E}"/>
    <hyperlink ref="A21" r:id="rId41" display="https://www.worldometers.info/coronavirus/usa/alabama/" xr:uid="{46974C43-C383-43FC-B20B-D292F7C0AA1F}"/>
    <hyperlink ref="K22" r:id="rId42" location="/6d2771faa9da4a2786a509d82c8cf0f7" display="https://alpublichealth.maps.arcgis.com/apps/opsdashboard/index.html - /6d2771faa9da4a2786a509d82c8cf0f7" xr:uid="{12F20860-3039-4AD2-BC4C-769477D05416}"/>
    <hyperlink ref="L22" r:id="rId43" display="https://covid19.healthdata.org/united-states-of-america/alabama" xr:uid="{CF156233-D2AC-41CC-9D60-021504DC0D3C}"/>
    <hyperlink ref="A22" r:id="rId44" display="https://www.worldometers.info/coronavirus/usa/indiana/" xr:uid="{7DE915D3-CB6A-4605-A877-B23BC159065F}"/>
    <hyperlink ref="L23" r:id="rId45" display="https://covid19.healthdata.org/united-states-of-america/indiana" xr:uid="{0715321A-23B3-40E6-A2C7-0D10429EB0FA}"/>
    <hyperlink ref="A23" r:id="rId46" display="https://www.worldometers.info/coronavirus/usa/connecticut/" xr:uid="{023761ED-D3ED-4A23-A3A1-35A17A410909}"/>
    <hyperlink ref="L24" r:id="rId47" display="https://covid19.healthdata.org/united-states-of-america/connecticut" xr:uid="{69EF8AC9-0067-456E-A290-28EE2B7D4AC9}"/>
    <hyperlink ref="A24" r:id="rId48" display="https://www.worldometers.info/coronavirus/usa/washington/" xr:uid="{3A654AE5-D906-4C09-834E-66AF75371643}"/>
    <hyperlink ref="L25" r:id="rId49" display="https://covid19.healthdata.org/united-states-of-america/washington" xr:uid="{687E70E3-58AE-45DC-AC18-F818EE01C7FC}"/>
    <hyperlink ref="A25" r:id="rId50" display="https://www.worldometers.info/coronavirus/usa/minnesota/" xr:uid="{BFF1743E-4AE4-40B3-994A-A39A1F9E61CE}"/>
    <hyperlink ref="L26" r:id="rId51" display="https://covid19.healthdata.org/united-states-of-america/minnesota" xr:uid="{270EBB3B-D0C0-45BE-A836-BB15225C41E9}"/>
    <hyperlink ref="A26" r:id="rId52" display="https://www.worldometers.info/coronavirus/usa/mississippi/" xr:uid="{FBEFF426-BC1F-4A93-BB2D-5C2AD199087F}"/>
    <hyperlink ref="L27" r:id="rId53" display="https://covid19.healthdata.org/united-states-of-america/mississippi" xr:uid="{C63E887B-FA12-4F99-855A-F2A4D041C3B8}"/>
    <hyperlink ref="A27" r:id="rId54" display="https://www.worldometers.info/coronavirus/usa/wisconsin/" xr:uid="{789AF6DC-AE1C-48F4-B84B-F6622337736B}"/>
    <hyperlink ref="L28" r:id="rId55" display="https://covid19.healthdata.org/united-states-of-america/wisconsin" xr:uid="{A60556AE-D24D-4FDB-AFC4-40D658FA8930}"/>
    <hyperlink ref="A28" r:id="rId56" display="https://www.worldometers.info/coronavirus/usa/colorado/" xr:uid="{7DD1C828-6DD1-440E-B350-CB2E8C2ACBE6}"/>
    <hyperlink ref="K29" r:id="rId57" display="https://covid19.colorado.gov/case-data" xr:uid="{54BFB588-48B2-4F7A-9F32-E8CE42B36C8F}"/>
    <hyperlink ref="L29" r:id="rId58" display="https://covid19.healthdata.org/united-states-of-america/colorado" xr:uid="{0A325BAF-01EE-46D5-A005-D81C9E5EF1DD}"/>
    <hyperlink ref="A29" r:id="rId59" display="https://www.worldometers.info/coronavirus/usa/iowa/" xr:uid="{49E17C32-580D-4039-815F-BFFEA9244CFA}"/>
    <hyperlink ref="L30" r:id="rId60" display="https://covid19.healthdata.org/united-states-of-america/iowa" xr:uid="{E01EBD99-350C-417C-B5CF-C61B62583D58}"/>
    <hyperlink ref="A30" r:id="rId61" display="https://www.worldometers.info/coronavirus/usa/missouri/" xr:uid="{87509D15-1CBD-4F8B-829D-21C1BE7BFA83}"/>
    <hyperlink ref="L31" r:id="rId62" display="https://covid19.healthdata.org/united-states-of-america/missouri" xr:uid="{ED3C9663-B9B8-4C38-A42B-F32AA74EEE3E}"/>
    <hyperlink ref="A31" r:id="rId63" display="https://www.worldometers.info/coronavirus/usa/nevada/" xr:uid="{8C9F7627-970E-4304-9161-CD82D40B1F02}"/>
    <hyperlink ref="L32" r:id="rId64" display="https://covid19.healthdata.org/united-states-of-america/nevada" xr:uid="{10CEB99E-BD95-4637-99D1-49E0A56201CF}"/>
    <hyperlink ref="A32" r:id="rId65" display="https://www.worldometers.info/coronavirus/usa/utah/" xr:uid="{6B80D927-5E99-4493-81EB-F6CC19AC52CD}"/>
    <hyperlink ref="K33" r:id="rId66" display="https://coronavirus.utah.gov/case-counts/" xr:uid="{99D73E01-91C9-481A-985E-74F83D70040D}"/>
    <hyperlink ref="L33" r:id="rId67" display="https://covid19.healthdata.org/united-states-of-america/utah" xr:uid="{047BBF2B-8B95-4A16-985C-B1104220CA82}"/>
    <hyperlink ref="A33" r:id="rId68" display="https://www.worldometers.info/coronavirus/usa/arkansas/" xr:uid="{C06F8A67-0FE8-4102-9D45-F59074FDAB96}"/>
    <hyperlink ref="L34" r:id="rId69" display="https://covid19.healthdata.org/united-states-of-america/arkansas" xr:uid="{FBA48499-C412-4B7C-ABDC-BB9EA5CA75BF}"/>
    <hyperlink ref="A34" r:id="rId70" display="https://www.worldometers.info/coronavirus/usa/oklahoma/" xr:uid="{2A04E649-273D-4369-8BD4-4B8DB1D62529}"/>
    <hyperlink ref="L35" r:id="rId71" display="https://covid19.healthdata.org/united-states-of-america/oklahoma" xr:uid="{9267A4FD-E133-49C1-9638-5A13F2B16047}"/>
    <hyperlink ref="A35" r:id="rId72" display="https://www.worldometers.info/coronavirus/usa/nebraska/" xr:uid="{3EEB9308-1941-4806-8921-47544943ED0A}"/>
    <hyperlink ref="L36" r:id="rId73" display="https://covid19.healthdata.org/united-states-of-america/nebraska" xr:uid="{588F1CE2-AA95-473E-8703-37BCC8E86A82}"/>
    <hyperlink ref="A36" r:id="rId74" display="https://www.worldometers.info/coronavirus/usa/kansas/" xr:uid="{F32F0A11-0084-442A-9D7D-2208F4F48814}"/>
    <hyperlink ref="L37" r:id="rId75" display="https://covid19.healthdata.org/united-states-of-america/kansas" xr:uid="{FF9909DB-EEDB-4198-B3B4-2FFE040F58EE}"/>
    <hyperlink ref="A37" r:id="rId76" display="https://www.worldometers.info/coronavirus/usa/kentucky/" xr:uid="{EE70D051-291D-4343-975B-97E1429D4553}"/>
    <hyperlink ref="L38" r:id="rId77" display="https://covid19.healthdata.org/united-states-of-america/kentucky" xr:uid="{296AE280-8501-4F02-8C71-17A91B2D2B14}"/>
    <hyperlink ref="A38" r:id="rId78" display="https://www.worldometers.info/coronavirus/usa/rhode-island/" xr:uid="{38A32209-12E8-46B0-B850-274C1671A94F}"/>
    <hyperlink ref="K39" r:id="rId79" location="gid=264100583" display="https://docs.google.com/spreadsheets/d/1c2QrNMz8pIbYEKzMJL7Uh2dtThOJa2j1sSMwiDo5Gz4/edit - gid=264100583" xr:uid="{FA5334BA-0017-416A-B9DE-3C5972A7EAE5}"/>
    <hyperlink ref="L39" r:id="rId80" display="https://covid19.healthdata.org/united-states-of-america/rhode-island" xr:uid="{A9FC95E3-1AA7-4F07-ADAC-8923D5D861B3}"/>
    <hyperlink ref="A39" r:id="rId81" display="https://www.worldometers.info/coronavirus/usa/new-mexico/" xr:uid="{4B454555-D7A4-4D14-B6EA-15C5E992D1D7}"/>
    <hyperlink ref="L40" r:id="rId82" display="https://covid19.healthdata.org/united-states-of-america/new-mexico" xr:uid="{48ED1C29-B954-4050-9ED8-B13FBD0EFF08}"/>
    <hyperlink ref="A40" r:id="rId83" display="https://www.worldometers.info/coronavirus/usa/oregon/" xr:uid="{763270BD-9044-4634-8B43-34436D95A882}"/>
    <hyperlink ref="L41" r:id="rId84" display="https://covid19.healthdata.org/united-states-of-america/oregon" xr:uid="{10A94423-B8C7-4720-A4FB-826D498A3FD9}"/>
    <hyperlink ref="A41" r:id="rId85" display="https://www.worldometers.info/coronavirus/usa/idaho/" xr:uid="{67A2C2FD-CFF2-4E98-8EA2-A47079DC59B9}"/>
    <hyperlink ref="L42" r:id="rId86" display="https://covid19.healthdata.org/united-states-of-america/idaho" xr:uid="{938F21CC-08C8-4F99-AA6D-87FEB8BA03C3}"/>
    <hyperlink ref="A42" r:id="rId87" display="https://www.worldometers.info/coronavirus/usa/delaware/" xr:uid="{62DA7821-0CC6-4E33-B4A8-097ECBD22EBD}"/>
    <hyperlink ref="K43" r:id="rId88" display="https://coronavirus.delaware.gov/" xr:uid="{1C25B492-1FCE-45DC-8735-1CC31A727F6D}"/>
    <hyperlink ref="L43" r:id="rId89" display="https://covid19.healthdata.org/united-states-of-america/delaware" xr:uid="{F66767AF-745C-4598-BE4C-C24B48564E11}"/>
    <hyperlink ref="A43" r:id="rId90" display="https://www.worldometers.info/coronavirus/usa/district-of-columbia/" xr:uid="{45C77614-605A-42D6-9619-95C4860C9DDD}"/>
    <hyperlink ref="K44" r:id="rId91" display="https://coronavirus.dc.gov/page/coronavirus-data" xr:uid="{C975167F-66B8-453D-B60C-13A44F870F3A}"/>
    <hyperlink ref="L44" r:id="rId92" display="https://covid19.healthdata.org/united-states-of-america/district-of-columbia" xr:uid="{6289C722-8658-4DEC-B7F9-8BBC0CD0DF8F}"/>
    <hyperlink ref="A44" r:id="rId93" display="https://www.worldometers.info/coronavirus/usa/south-dakota/" xr:uid="{49FED773-35AD-4F26-92F1-D60A65CC726D}"/>
    <hyperlink ref="K45" r:id="rId94" display="https://doh.sd.gov/news/Coronavirus.aspx" xr:uid="{FE652558-DB63-4A22-8073-DBD5D465AB9D}"/>
    <hyperlink ref="L45" r:id="rId95" display="https://covid19.healthdata.org/united-states-of-america/south-dakota" xr:uid="{CE1228D9-52F9-4A07-A028-2167BC572694}"/>
    <hyperlink ref="A45" r:id="rId96" display="https://www.worldometers.info/coronavirus/usa/new-hampshire/" xr:uid="{182EA38B-02F9-4781-A91C-39B7F3EBE434}"/>
    <hyperlink ref="K46" r:id="rId97" display="https://www.nh.gov/covid19/" xr:uid="{02DDDAF3-97CE-4285-8C1D-1BD4FED34EE4}"/>
    <hyperlink ref="L46" r:id="rId98" display="https://covid19.healthdata.org/united-states-of-america/new-hampshire" xr:uid="{1D1623F7-D987-4AE7-8B71-C0A12A71262C}"/>
    <hyperlink ref="A46" r:id="rId99" display="https://www.worldometers.info/coronavirus/usa/north-dakota/" xr:uid="{C163952C-1EC6-467E-BFD7-308FF7A220C1}"/>
    <hyperlink ref="L47" r:id="rId100" display="https://covid19.healthdata.org/united-states-of-america/north-dakota" xr:uid="{50DE872A-2737-464A-A0FC-ECEAE3DE19A5}"/>
    <hyperlink ref="A47" r:id="rId101" display="https://www.worldometers.info/coronavirus/usa/west-virginia/" xr:uid="{319C8372-04CC-4FB5-875B-CCB82B192ABA}"/>
    <hyperlink ref="K48" r:id="rId102" display="https://dhhr.wv.gov/COVID-19/Pages/default.aspx" xr:uid="{B466C9E4-C2B1-432C-A0C8-24846665A189}"/>
    <hyperlink ref="L48" r:id="rId103" display="https://covid19.healthdata.org/united-states-of-america/west-virginia" xr:uid="{9C950157-CA2C-410B-90DA-F09728233D1A}"/>
    <hyperlink ref="A48" r:id="rId104" display="https://www.worldometers.info/coronavirus/usa/maine/" xr:uid="{BEB8A583-AB67-4854-9D64-C77BA88E4F67}"/>
    <hyperlink ref="L49" r:id="rId105" display="https://covid19.healthdata.org/united-states-of-america/maine" xr:uid="{7FB3ECB8-FF86-4EE2-A860-76BBDE31B372}"/>
    <hyperlink ref="A49" r:id="rId106" display="https://www.worldometers.info/coronavirus/usa/montana/" xr:uid="{CA9240E4-1B4E-41AD-8EFA-C4EA09FC9C34}"/>
    <hyperlink ref="L50" r:id="rId107" display="https://covid19.healthdata.org/united-states-of-america/montana" xr:uid="{2543400E-2371-4F1D-8B31-7E88B2C4FA86}"/>
    <hyperlink ref="A50" r:id="rId108" display="https://www.worldometers.info/coronavirus/usa/wyoming/" xr:uid="{137F28C5-6FFC-4B96-90C9-8ED3DB018AFF}"/>
    <hyperlink ref="L51" r:id="rId109" display="https://covid19.healthdata.org/united-states-of-america/wyoming" xr:uid="{47B370C0-A359-49F7-B516-FB90C17065D1}"/>
    <hyperlink ref="A51" r:id="rId110" display="https://www.worldometers.info/coronavirus/usa/alaska/" xr:uid="{D593815B-D087-49A0-9E1F-40F5EF9437AF}"/>
    <hyperlink ref="K52" r:id="rId111" display="http://dhss.alaska.gov/dph/Epi/id/Pages/COVID-19/monitoring.aspx" xr:uid="{370DA334-5E9C-4322-96BC-3EADA5EC5B28}"/>
    <hyperlink ref="L52" r:id="rId112" display="https://covid19.healthdata.org/united-states-of-america/alaska" xr:uid="{81524E29-178B-4DA4-B1A3-155A7A01F302}"/>
    <hyperlink ref="A52" r:id="rId113" display="https://www.worldometers.info/coronavirus/usa/vermont/" xr:uid="{48BD4B6B-B6FE-4EFE-9FBC-7CE97667B9EF}"/>
    <hyperlink ref="K53" r:id="rId114" display="https://www.healthvermont.gov/response/coronavirus-covid-19/current-activity-vermont" xr:uid="{43839153-F35E-4587-A88D-BD6D06B1E6AC}"/>
    <hyperlink ref="L53" r:id="rId115" display="https://covid19.healthdata.org/united-states-of-america/vermont" xr:uid="{3049E54D-11DB-4959-A049-84E027966001}"/>
    <hyperlink ref="A53" r:id="rId116" display="https://www.worldometers.info/coronavirus/usa/hawaii/" xr:uid="{9A0A4840-5DC0-4FA2-AC8B-3A0A4FF33646}"/>
    <hyperlink ref="L54" r:id="rId117" display="https://covid19.healthdata.org/united-states-of-america/hawaii" xr:uid="{E5632396-6171-412C-9597-9BFE17859EF4}"/>
    <hyperlink ref="K55" r:id="rId118" display="http://dphss.guam.gov/covid-19/" xr:uid="{0B4FC1E9-C3BB-4FC0-9895-980F1BA4DEB9}"/>
    <hyperlink ref="K58" r:id="rId119" display="https://www.covid19usvi.com/" xr:uid="{9E790B4F-08FB-419D-B036-63CFB624DEC3}"/>
    <hyperlink ref="K61" r:id="rId120" display="https://www.bop.gov/coronavirus/" xr:uid="{5BC4FD85-D468-4498-A39C-443C12E6F53B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45"/>
  <sheetViews>
    <sheetView topLeftCell="A166" zoomScaleNormal="100" workbookViewId="0">
      <selection activeCell="G7" sqref="G7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300</v>
      </c>
      <c r="C1" t="s">
        <v>4</v>
      </c>
      <c r="D1" t="s">
        <v>2</v>
      </c>
      <c r="E1" t="s">
        <v>301</v>
      </c>
      <c r="F1" t="s">
        <v>302</v>
      </c>
    </row>
    <row r="2" spans="2:7" x14ac:dyDescent="0.25">
      <c r="B2" t="s">
        <v>303</v>
      </c>
      <c r="C2">
        <v>58</v>
      </c>
      <c r="D2" s="35">
        <f>2773</f>
        <v>2773</v>
      </c>
    </row>
    <row r="3" spans="2:7" x14ac:dyDescent="0.25">
      <c r="B3" s="36">
        <v>43905</v>
      </c>
      <c r="C3">
        <v>15</v>
      </c>
      <c r="D3" s="35">
        <v>848</v>
      </c>
      <c r="F3" t="s">
        <v>304</v>
      </c>
      <c r="G3" t="s">
        <v>305</v>
      </c>
    </row>
    <row r="4" spans="2:7" x14ac:dyDescent="0.25">
      <c r="B4" s="36">
        <v>43906</v>
      </c>
      <c r="C4">
        <v>22</v>
      </c>
      <c r="D4" s="35">
        <v>989</v>
      </c>
      <c r="E4" t="s">
        <v>307</v>
      </c>
      <c r="F4" s="37">
        <v>16682</v>
      </c>
      <c r="G4" s="37">
        <v>-12683</v>
      </c>
    </row>
    <row r="5" spans="2:7" x14ac:dyDescent="0.25">
      <c r="B5" s="36">
        <v>43907</v>
      </c>
      <c r="C5">
        <v>26</v>
      </c>
      <c r="D5" s="35">
        <v>1755</v>
      </c>
      <c r="E5" t="s">
        <v>313</v>
      </c>
      <c r="F5" s="37">
        <v>15321</v>
      </c>
      <c r="G5" s="37">
        <v>-14141</v>
      </c>
    </row>
    <row r="6" spans="2:7" x14ac:dyDescent="0.25">
      <c r="B6" s="36">
        <v>43908</v>
      </c>
      <c r="C6">
        <v>50</v>
      </c>
      <c r="D6" s="35">
        <v>2967</v>
      </c>
      <c r="E6" t="s">
        <v>314</v>
      </c>
      <c r="F6">
        <f>F4-F5</f>
        <v>1361</v>
      </c>
      <c r="G6">
        <f>G4-G5</f>
        <v>1458</v>
      </c>
    </row>
    <row r="7" spans="2:7" x14ac:dyDescent="0.25">
      <c r="B7" s="36">
        <v>43909</v>
      </c>
      <c r="C7">
        <v>69</v>
      </c>
      <c r="D7" s="35">
        <v>4602</v>
      </c>
      <c r="E7" t="s">
        <v>315</v>
      </c>
      <c r="F7">
        <f>291557</f>
        <v>291557</v>
      </c>
      <c r="G7">
        <f>140414+74524</f>
        <v>214938</v>
      </c>
    </row>
    <row r="8" spans="2:7" x14ac:dyDescent="0.25">
      <c r="B8" s="36">
        <v>43910</v>
      </c>
      <c r="C8">
        <v>70</v>
      </c>
      <c r="D8" s="35">
        <v>5673</v>
      </c>
      <c r="E8" t="s">
        <v>316</v>
      </c>
      <c r="F8" s="41">
        <f>F7/F6</f>
        <v>214.2226304188097</v>
      </c>
      <c r="G8" s="41">
        <f>G7/G6</f>
        <v>147.41975308641975</v>
      </c>
    </row>
    <row r="9" spans="2:7" x14ac:dyDescent="0.25">
      <c r="B9" s="36">
        <v>43911</v>
      </c>
      <c r="C9">
        <v>66</v>
      </c>
      <c r="D9" s="35">
        <v>4890</v>
      </c>
      <c r="E9" t="s">
        <v>317</v>
      </c>
      <c r="F9">
        <f>F7+113842</f>
        <v>405399</v>
      </c>
      <c r="G9">
        <f>G7+224097+59297</f>
        <v>498332</v>
      </c>
    </row>
    <row r="10" spans="2:7" x14ac:dyDescent="0.25">
      <c r="B10" s="36">
        <v>43912</v>
      </c>
      <c r="C10">
        <v>136</v>
      </c>
      <c r="D10" s="35">
        <v>9448</v>
      </c>
      <c r="E10" t="s">
        <v>318</v>
      </c>
      <c r="F10" s="41">
        <f>F9/F6</f>
        <v>297.86847905951504</v>
      </c>
      <c r="G10" s="41">
        <f>G9/G6</f>
        <v>341.79149519890262</v>
      </c>
    </row>
    <row r="11" spans="2:7" x14ac:dyDescent="0.25">
      <c r="B11" s="36">
        <v>43913</v>
      </c>
      <c r="C11">
        <v>181</v>
      </c>
      <c r="D11" s="35">
        <v>10379</v>
      </c>
      <c r="E11" s="35"/>
    </row>
    <row r="12" spans="2:7" x14ac:dyDescent="0.25">
      <c r="B12" s="36">
        <v>43914</v>
      </c>
      <c r="C12">
        <v>270</v>
      </c>
      <c r="D12" s="35">
        <v>11254</v>
      </c>
      <c r="E12" s="35"/>
    </row>
    <row r="13" spans="2:7" x14ac:dyDescent="0.25">
      <c r="B13" s="36">
        <v>43915</v>
      </c>
      <c r="C13">
        <v>307</v>
      </c>
      <c r="D13" s="35">
        <v>13557</v>
      </c>
      <c r="E13" s="35"/>
    </row>
    <row r="14" spans="2:7" x14ac:dyDescent="0.25">
      <c r="B14" s="36">
        <v>43916</v>
      </c>
      <c r="C14">
        <v>358</v>
      </c>
      <c r="D14" s="35">
        <v>17532</v>
      </c>
      <c r="E14" s="35"/>
      <c r="F14">
        <f t="shared" ref="F14:F45" si="0">D14/AVERAGE(D8:D14)</f>
        <v>1.6873221233827838</v>
      </c>
    </row>
    <row r="15" spans="2:7" x14ac:dyDescent="0.25">
      <c r="B15" s="36">
        <v>43917</v>
      </c>
      <c r="C15">
        <v>501</v>
      </c>
      <c r="D15" s="35">
        <v>18916</v>
      </c>
      <c r="E15" s="35">
        <f t="shared" ref="E15:E46" si="1">C16/D2</f>
        <v>0.23440317345834835</v>
      </c>
      <c r="F15">
        <f t="shared" si="0"/>
        <v>1.5401042151298037</v>
      </c>
    </row>
    <row r="16" spans="2:7" x14ac:dyDescent="0.25">
      <c r="B16" s="36">
        <v>43918</v>
      </c>
      <c r="C16">
        <v>650</v>
      </c>
      <c r="D16" s="35">
        <v>19666</v>
      </c>
      <c r="E16" s="35">
        <f t="shared" si="1"/>
        <v>0.59080188679245282</v>
      </c>
      <c r="F16">
        <f t="shared" si="0"/>
        <v>1.3663450849610925</v>
      </c>
    </row>
    <row r="17" spans="2:6" x14ac:dyDescent="0.25">
      <c r="B17" s="36">
        <v>43919</v>
      </c>
      <c r="C17">
        <v>501</v>
      </c>
      <c r="D17" s="35">
        <v>20276</v>
      </c>
      <c r="E17" s="35">
        <f t="shared" si="1"/>
        <v>0.83114256825075838</v>
      </c>
      <c r="F17">
        <f t="shared" si="0"/>
        <v>1.2720200752823088</v>
      </c>
    </row>
    <row r="18" spans="2:6" x14ac:dyDescent="0.25">
      <c r="B18" s="36">
        <v>43920</v>
      </c>
      <c r="C18">
        <v>822</v>
      </c>
      <c r="D18" s="35">
        <v>23296</v>
      </c>
      <c r="E18" s="35">
        <f t="shared" si="1"/>
        <v>0.62621082621082624</v>
      </c>
      <c r="F18">
        <f t="shared" si="0"/>
        <v>1.3098468236182399</v>
      </c>
    </row>
    <row r="19" spans="2:6" x14ac:dyDescent="0.25">
      <c r="B19" s="36">
        <v>43921</v>
      </c>
      <c r="C19">
        <v>1099</v>
      </c>
      <c r="D19" s="35">
        <v>25292</v>
      </c>
      <c r="E19" s="35">
        <f t="shared" si="1"/>
        <v>0.42433434445567914</v>
      </c>
      <c r="F19">
        <f t="shared" si="0"/>
        <v>1.2779730753961092</v>
      </c>
    </row>
    <row r="20" spans="2:6" x14ac:dyDescent="0.25">
      <c r="B20" s="36">
        <v>43922</v>
      </c>
      <c r="C20">
        <v>1259</v>
      </c>
      <c r="D20" s="35">
        <v>27111</v>
      </c>
      <c r="E20" s="35">
        <f t="shared" si="1"/>
        <v>0.26314645806171227</v>
      </c>
      <c r="F20">
        <f t="shared" si="0"/>
        <v>1.2478022736687071</v>
      </c>
    </row>
    <row r="21" spans="2:6" x14ac:dyDescent="0.25">
      <c r="B21" s="36">
        <v>43923</v>
      </c>
      <c r="C21">
        <v>1211</v>
      </c>
      <c r="D21" s="35">
        <v>30571</v>
      </c>
      <c r="E21" s="35">
        <f t="shared" si="1"/>
        <v>0.22598272518949408</v>
      </c>
      <c r="F21">
        <f t="shared" si="0"/>
        <v>1.2959461750884163</v>
      </c>
    </row>
    <row r="22" spans="2:6" x14ac:dyDescent="0.25">
      <c r="B22" s="36">
        <v>43924</v>
      </c>
      <c r="C22">
        <v>1282</v>
      </c>
      <c r="D22" s="35">
        <v>32963</v>
      </c>
      <c r="E22" s="35">
        <f t="shared" si="1"/>
        <v>0.32249488752556238</v>
      </c>
      <c r="F22">
        <f t="shared" si="0"/>
        <v>1.287796846658295</v>
      </c>
    </row>
    <row r="23" spans="2:6" x14ac:dyDescent="0.25">
      <c r="B23" s="36">
        <v>43925</v>
      </c>
      <c r="C23">
        <v>1577</v>
      </c>
      <c r="D23" s="35">
        <v>34685</v>
      </c>
      <c r="E23" s="35">
        <f t="shared" si="1"/>
        <v>0.15061388653683319</v>
      </c>
      <c r="F23">
        <f t="shared" si="0"/>
        <v>1.2502703482084925</v>
      </c>
    </row>
    <row r="24" spans="2:6" x14ac:dyDescent="0.25">
      <c r="B24" s="36">
        <v>43926</v>
      </c>
      <c r="C24" s="41">
        <v>1423</v>
      </c>
      <c r="D24" s="35">
        <v>25901</v>
      </c>
      <c r="E24" s="35">
        <f t="shared" si="1"/>
        <v>0.14673860680219675</v>
      </c>
      <c r="F24">
        <f t="shared" si="0"/>
        <v>0.90735615732237673</v>
      </c>
    </row>
    <row r="25" spans="2:6" x14ac:dyDescent="0.25">
      <c r="B25" s="36">
        <v>43927</v>
      </c>
      <c r="C25" s="41">
        <v>1523</v>
      </c>
      <c r="D25" s="35">
        <v>31750</v>
      </c>
      <c r="E25" s="35">
        <f t="shared" si="1"/>
        <v>0.20143948818197974</v>
      </c>
      <c r="F25">
        <f t="shared" si="0"/>
        <v>1.0671090347764713</v>
      </c>
    </row>
    <row r="26" spans="2:6" x14ac:dyDescent="0.25">
      <c r="B26" s="36">
        <v>43928</v>
      </c>
      <c r="C26" s="41">
        <v>2267</v>
      </c>
      <c r="D26" s="35">
        <v>34071</v>
      </c>
      <c r="E26" s="35">
        <f t="shared" si="1"/>
        <v>0.16301541639005679</v>
      </c>
      <c r="F26">
        <f t="shared" si="0"/>
        <v>1.098801208926893</v>
      </c>
    </row>
    <row r="27" spans="2:6" x14ac:dyDescent="0.25">
      <c r="B27" s="36">
        <v>43929</v>
      </c>
      <c r="C27" s="41">
        <v>2210</v>
      </c>
      <c r="D27" s="35">
        <v>32514</v>
      </c>
      <c r="E27" s="35">
        <f t="shared" si="1"/>
        <v>0.12240474560803102</v>
      </c>
      <c r="F27">
        <f t="shared" si="0"/>
        <v>1.0231192825515274</v>
      </c>
    </row>
    <row r="28" spans="2:6" x14ac:dyDescent="0.25">
      <c r="B28" s="36">
        <v>43930</v>
      </c>
      <c r="C28" s="41">
        <v>2146</v>
      </c>
      <c r="D28" s="35">
        <v>34086</v>
      </c>
      <c r="E28" s="35">
        <f t="shared" si="1"/>
        <v>0.12053288221611334</v>
      </c>
      <c r="F28">
        <f t="shared" si="0"/>
        <v>1.0559012258264371</v>
      </c>
    </row>
    <row r="29" spans="2:6" x14ac:dyDescent="0.25">
      <c r="B29" s="36">
        <v>43931</v>
      </c>
      <c r="C29" s="41">
        <v>2280</v>
      </c>
      <c r="D29" s="42">
        <v>34244</v>
      </c>
      <c r="E29" s="35">
        <f t="shared" si="1"/>
        <v>0.10505440862402116</v>
      </c>
      <c r="F29">
        <f t="shared" si="0"/>
        <v>1.0548160404134634</v>
      </c>
    </row>
    <row r="30" spans="2:6" x14ac:dyDescent="0.25">
      <c r="B30" s="36">
        <v>43932</v>
      </c>
      <c r="C30" s="41">
        <v>2066</v>
      </c>
      <c r="D30" s="41">
        <v>30488</v>
      </c>
      <c r="E30" s="35">
        <f t="shared" si="1"/>
        <v>8.6604853028210693E-2</v>
      </c>
      <c r="F30">
        <f t="shared" si="0"/>
        <v>0.95679073228904221</v>
      </c>
    </row>
    <row r="31" spans="2:6" x14ac:dyDescent="0.25">
      <c r="B31" s="36">
        <v>43933</v>
      </c>
      <c r="C31" s="41">
        <v>1756</v>
      </c>
      <c r="D31" s="41">
        <v>27860</v>
      </c>
      <c r="E31" s="35">
        <f t="shared" si="1"/>
        <v>7.4948489010989008E-2</v>
      </c>
      <c r="F31">
        <f t="shared" si="0"/>
        <v>0.86670547923897734</v>
      </c>
    </row>
    <row r="32" spans="2:6" x14ac:dyDescent="0.25">
      <c r="B32" s="36">
        <v>43934</v>
      </c>
      <c r="C32" s="41">
        <v>1746</v>
      </c>
      <c r="D32" s="41">
        <v>27094</v>
      </c>
      <c r="E32" s="35">
        <f t="shared" si="1"/>
        <v>0.10382729716906532</v>
      </c>
      <c r="F32">
        <f t="shared" si="0"/>
        <v>0.8606851608979974</v>
      </c>
    </row>
    <row r="33" spans="2:6" x14ac:dyDescent="0.25">
      <c r="B33" s="36">
        <v>43935</v>
      </c>
      <c r="C33" s="41">
        <v>2626</v>
      </c>
      <c r="D33" s="41">
        <v>27441</v>
      </c>
      <c r="E33" s="35">
        <f t="shared" si="1"/>
        <v>9.9221718121795588E-2</v>
      </c>
      <c r="F33">
        <f t="shared" si="0"/>
        <v>0.89874933911017318</v>
      </c>
    </row>
    <row r="34" spans="2:6" x14ac:dyDescent="0.25">
      <c r="B34" s="36">
        <v>43936</v>
      </c>
      <c r="C34" s="41">
        <v>2690</v>
      </c>
      <c r="D34" s="41">
        <v>30676</v>
      </c>
      <c r="E34" s="35">
        <f t="shared" si="1"/>
        <v>7.3730005560825623E-2</v>
      </c>
      <c r="F34">
        <f t="shared" si="0"/>
        <v>1.013417402507917</v>
      </c>
    </row>
    <row r="35" spans="2:6" x14ac:dyDescent="0.25">
      <c r="B35" s="36">
        <v>43937</v>
      </c>
      <c r="C35" s="41">
        <v>2254</v>
      </c>
      <c r="D35" s="41">
        <v>30143</v>
      </c>
      <c r="E35" s="35">
        <f t="shared" si="1"/>
        <v>7.8754967691047534E-2</v>
      </c>
      <c r="F35">
        <f t="shared" si="0"/>
        <v>1.0146913140911584</v>
      </c>
    </row>
    <row r="36" spans="2:6" x14ac:dyDescent="0.25">
      <c r="B36" s="36">
        <v>43938</v>
      </c>
      <c r="C36" s="41">
        <v>2596</v>
      </c>
      <c r="D36" s="41">
        <v>32496</v>
      </c>
      <c r="E36" s="35">
        <f t="shared" si="1"/>
        <v>5.5384171832204121E-2</v>
      </c>
      <c r="F36">
        <f t="shared" si="0"/>
        <v>1.1031726786874752</v>
      </c>
    </row>
    <row r="37" spans="2:6" x14ac:dyDescent="0.25">
      <c r="B37" s="36">
        <v>43939</v>
      </c>
      <c r="C37" s="41">
        <v>1921</v>
      </c>
      <c r="D37" s="41">
        <v>29193</v>
      </c>
      <c r="E37" s="35">
        <f t="shared" si="1"/>
        <v>6.1542025404424543E-2</v>
      </c>
      <c r="F37">
        <f t="shared" si="0"/>
        <v>0.99730604237126841</v>
      </c>
    </row>
    <row r="38" spans="2:6" x14ac:dyDescent="0.25">
      <c r="B38" s="36">
        <v>43940</v>
      </c>
      <c r="C38" s="41">
        <v>1594</v>
      </c>
      <c r="D38" s="41">
        <v>26197</v>
      </c>
      <c r="E38" s="35">
        <f t="shared" si="1"/>
        <v>6.2393700787401578E-2</v>
      </c>
      <c r="F38">
        <f t="shared" si="0"/>
        <v>0.90227809486321597</v>
      </c>
    </row>
    <row r="39" spans="2:6" x14ac:dyDescent="0.25">
      <c r="B39" s="36">
        <v>43941</v>
      </c>
      <c r="C39" s="41">
        <v>1981</v>
      </c>
      <c r="D39" s="41">
        <v>28222</v>
      </c>
      <c r="E39" s="35">
        <f t="shared" si="1"/>
        <v>8.0684453053916819E-2</v>
      </c>
      <c r="F39">
        <f t="shared" si="0"/>
        <v>0.96665818523447899</v>
      </c>
    </row>
    <row r="40" spans="2:6" x14ac:dyDescent="0.25">
      <c r="B40" s="36">
        <v>43942</v>
      </c>
      <c r="C40" s="41">
        <v>2749</v>
      </c>
      <c r="D40" s="41">
        <v>26238</v>
      </c>
      <c r="E40" s="35">
        <f t="shared" si="1"/>
        <v>7.4091160730762134E-2</v>
      </c>
      <c r="F40">
        <f t="shared" si="0"/>
        <v>0.90402382300100903</v>
      </c>
    </row>
    <row r="41" spans="2:6" x14ac:dyDescent="0.25">
      <c r="B41" s="36">
        <v>43943</v>
      </c>
      <c r="C41" s="41">
        <v>2409</v>
      </c>
      <c r="D41" s="41">
        <v>30305</v>
      </c>
      <c r="E41" s="35">
        <f t="shared" si="1"/>
        <v>7.0468814175908001E-2</v>
      </c>
      <c r="F41">
        <f t="shared" si="0"/>
        <v>1.0460615205578074</v>
      </c>
    </row>
    <row r="42" spans="2:6" x14ac:dyDescent="0.25">
      <c r="B42" s="36">
        <v>43944</v>
      </c>
      <c r="C42" s="41">
        <v>2402</v>
      </c>
      <c r="D42" s="41">
        <v>32073</v>
      </c>
      <c r="E42" s="35">
        <f t="shared" si="1"/>
        <v>5.8170774442238053E-2</v>
      </c>
      <c r="F42">
        <f t="shared" si="0"/>
        <v>1.0966520779195406</v>
      </c>
    </row>
    <row r="43" spans="2:6" x14ac:dyDescent="0.25">
      <c r="B43" s="36">
        <v>43945</v>
      </c>
      <c r="C43" s="41">
        <v>1992</v>
      </c>
      <c r="D43" s="41">
        <v>39123</v>
      </c>
      <c r="E43" s="35">
        <f t="shared" si="1"/>
        <v>6.9207557071634743E-2</v>
      </c>
      <c r="F43">
        <f t="shared" si="0"/>
        <v>1.2957639187891232</v>
      </c>
    </row>
    <row r="44" spans="2:6" x14ac:dyDescent="0.25">
      <c r="B44" s="36">
        <v>43946</v>
      </c>
      <c r="C44" s="41">
        <v>2110</v>
      </c>
      <c r="D44" s="41">
        <v>35523</v>
      </c>
      <c r="E44" s="35">
        <f t="shared" si="1"/>
        <v>4.1995692749461591E-2</v>
      </c>
      <c r="F44">
        <f t="shared" si="0"/>
        <v>1.1423183465713591</v>
      </c>
    </row>
    <row r="45" spans="2:6" x14ac:dyDescent="0.25">
      <c r="B45" s="36">
        <v>43947</v>
      </c>
      <c r="C45" s="41">
        <v>1170</v>
      </c>
      <c r="D45" s="41">
        <v>26588</v>
      </c>
      <c r="E45" s="35">
        <f t="shared" si="1"/>
        <v>5.1782682512733449E-2</v>
      </c>
      <c r="F45">
        <f t="shared" si="0"/>
        <v>0.85346124215855312</v>
      </c>
    </row>
    <row r="46" spans="2:6" x14ac:dyDescent="0.25">
      <c r="B46" s="36">
        <v>43948</v>
      </c>
      <c r="C46" s="41">
        <v>1403</v>
      </c>
      <c r="D46" s="41">
        <v>23267</v>
      </c>
      <c r="E46" s="35">
        <f t="shared" si="1"/>
        <v>9.2452898946831383E-2</v>
      </c>
      <c r="F46">
        <f t="shared" ref="F46:F77" si="2">D46/AVERAGE(D40:D46)</f>
        <v>0.76422340779947162</v>
      </c>
    </row>
    <row r="47" spans="2:6" x14ac:dyDescent="0.25">
      <c r="B47" s="36">
        <v>43949</v>
      </c>
      <c r="C47" s="41">
        <v>2537</v>
      </c>
      <c r="D47" s="41">
        <v>25573</v>
      </c>
      <c r="E47" s="35">
        <f t="shared" ref="E47:E78" si="3">C48/D34</f>
        <v>7.9606206806624072E-2</v>
      </c>
      <c r="F47">
        <f t="shared" si="2"/>
        <v>0.84259503323103568</v>
      </c>
    </row>
    <row r="48" spans="2:6" x14ac:dyDescent="0.25">
      <c r="B48" s="36">
        <v>43950</v>
      </c>
      <c r="C48" s="41">
        <v>2442</v>
      </c>
      <c r="D48" s="41">
        <v>28595</v>
      </c>
      <c r="E48" s="35">
        <f t="shared" si="3"/>
        <v>7.5440400756394521E-2</v>
      </c>
      <c r="F48">
        <f t="shared" si="2"/>
        <v>0.94981066896964061</v>
      </c>
    </row>
    <row r="49" spans="2:6" x14ac:dyDescent="0.25">
      <c r="B49" s="36">
        <v>43951</v>
      </c>
      <c r="C49" s="41">
        <v>2274</v>
      </c>
      <c r="D49" s="41">
        <v>31000</v>
      </c>
      <c r="E49" s="35">
        <f t="shared" si="3"/>
        <v>5.991506646971935E-2</v>
      </c>
      <c r="F49">
        <f t="shared" si="2"/>
        <v>1.0349646347337946</v>
      </c>
    </row>
    <row r="50" spans="2:6" x14ac:dyDescent="0.25">
      <c r="B50" s="36">
        <v>43952</v>
      </c>
      <c r="C50" s="41">
        <v>1947</v>
      </c>
      <c r="D50" s="41">
        <v>36161</v>
      </c>
      <c r="E50" s="35">
        <f t="shared" si="3"/>
        <v>5.9260781694241774E-2</v>
      </c>
      <c r="F50">
        <f t="shared" si="2"/>
        <v>1.2245690760351609</v>
      </c>
    </row>
    <row r="51" spans="2:6" x14ac:dyDescent="0.25">
      <c r="B51" s="36">
        <v>43953</v>
      </c>
      <c r="C51" s="41">
        <v>1730</v>
      </c>
      <c r="D51" s="41">
        <v>29869</v>
      </c>
      <c r="E51" s="35">
        <f t="shared" si="3"/>
        <v>4.4852464022598008E-2</v>
      </c>
      <c r="F51">
        <f t="shared" si="2"/>
        <v>1.0399397173879525</v>
      </c>
    </row>
    <row r="52" spans="2:6" x14ac:dyDescent="0.25">
      <c r="B52" s="36">
        <v>43954</v>
      </c>
      <c r="C52" s="41">
        <v>1175</v>
      </c>
      <c r="D52" s="41">
        <v>27438</v>
      </c>
      <c r="E52" s="35">
        <f t="shared" si="3"/>
        <v>4.740982212458366E-2</v>
      </c>
      <c r="F52">
        <f t="shared" si="2"/>
        <v>0.9512785842706647</v>
      </c>
    </row>
    <row r="53" spans="2:6" x14ac:dyDescent="0.25">
      <c r="B53" s="36">
        <v>43955</v>
      </c>
      <c r="C53" s="41">
        <v>1338</v>
      </c>
      <c r="D53" s="41">
        <v>24759</v>
      </c>
      <c r="E53" s="35">
        <f t="shared" si="3"/>
        <v>9.1622837106486776E-2</v>
      </c>
      <c r="F53">
        <f t="shared" si="2"/>
        <v>0.85210059244327541</v>
      </c>
    </row>
    <row r="54" spans="2:6" x14ac:dyDescent="0.25">
      <c r="B54" s="36">
        <v>43956</v>
      </c>
      <c r="C54" s="41">
        <v>2404</v>
      </c>
      <c r="D54" s="41">
        <v>24909</v>
      </c>
      <c r="E54" s="35">
        <f t="shared" si="3"/>
        <v>8.4936479128856629E-2</v>
      </c>
      <c r="F54">
        <f t="shared" si="2"/>
        <v>0.86007073412551616</v>
      </c>
    </row>
    <row r="55" spans="2:6" x14ac:dyDescent="0.25">
      <c r="B55" s="36">
        <v>43957</v>
      </c>
      <c r="C55" s="41">
        <v>2574</v>
      </c>
      <c r="D55" s="41">
        <v>25578</v>
      </c>
      <c r="E55" s="35">
        <f t="shared" si="3"/>
        <v>6.775169145387086E-2</v>
      </c>
      <c r="F55">
        <f t="shared" si="2"/>
        <v>0.89651201217741372</v>
      </c>
    </row>
    <row r="56" spans="2:6" x14ac:dyDescent="0.25">
      <c r="B56" s="36">
        <v>43958</v>
      </c>
      <c r="C56" s="41">
        <v>2173</v>
      </c>
      <c r="D56" s="41">
        <v>29643</v>
      </c>
      <c r="E56" s="35">
        <f t="shared" si="3"/>
        <v>4.3784985813971319E-2</v>
      </c>
      <c r="F56">
        <f t="shared" si="2"/>
        <v>1.0460987008272962</v>
      </c>
    </row>
    <row r="57" spans="2:6" x14ac:dyDescent="0.25">
      <c r="B57" s="36">
        <v>43959</v>
      </c>
      <c r="C57" s="41">
        <v>1713</v>
      </c>
      <c r="D57" s="41">
        <v>29292</v>
      </c>
      <c r="E57" s="35">
        <f t="shared" si="3"/>
        <v>4.0846775328660302E-2</v>
      </c>
      <c r="F57">
        <f t="shared" si="2"/>
        <v>1.0707929478609626</v>
      </c>
    </row>
    <row r="58" spans="2:6" x14ac:dyDescent="0.25">
      <c r="B58" s="36">
        <v>43960</v>
      </c>
      <c r="C58" s="41">
        <v>1451</v>
      </c>
      <c r="D58" s="41">
        <v>26235</v>
      </c>
      <c r="E58" s="35">
        <f t="shared" si="3"/>
        <v>4.5697307055814651E-2</v>
      </c>
      <c r="F58">
        <f t="shared" si="2"/>
        <v>0.97759430195790353</v>
      </c>
    </row>
    <row r="59" spans="2:6" x14ac:dyDescent="0.25">
      <c r="B59" s="36">
        <v>43961</v>
      </c>
      <c r="C59" s="41">
        <v>1215</v>
      </c>
      <c r="D59" s="41">
        <v>20818</v>
      </c>
      <c r="E59" s="35">
        <f t="shared" si="3"/>
        <v>4.6202776464520569E-2</v>
      </c>
      <c r="F59">
        <f t="shared" si="2"/>
        <v>0.80407649778739088</v>
      </c>
    </row>
    <row r="60" spans="2:6" x14ac:dyDescent="0.25">
      <c r="B60" s="36">
        <v>43962</v>
      </c>
      <c r="C60" s="41">
        <v>1075</v>
      </c>
      <c r="D60" s="41">
        <v>18706</v>
      </c>
      <c r="E60" s="35">
        <f t="shared" si="3"/>
        <v>7.476635514018691E-2</v>
      </c>
      <c r="F60">
        <f t="shared" si="2"/>
        <v>0.74746690565757712</v>
      </c>
    </row>
    <row r="61" spans="2:6" x14ac:dyDescent="0.25">
      <c r="B61" s="36">
        <v>43963</v>
      </c>
      <c r="C61" s="41">
        <v>1912</v>
      </c>
      <c r="D61" s="41">
        <v>23024</v>
      </c>
      <c r="E61" s="35">
        <f t="shared" si="3"/>
        <v>6.4941423325756253E-2</v>
      </c>
      <c r="F61">
        <f t="shared" si="2"/>
        <v>0.93001569568830211</v>
      </c>
    </row>
    <row r="62" spans="2:6" x14ac:dyDescent="0.25">
      <c r="B62" s="36">
        <v>43964</v>
      </c>
      <c r="C62" s="41">
        <v>1857</v>
      </c>
      <c r="D62" s="41">
        <v>22390</v>
      </c>
      <c r="E62" s="35">
        <f t="shared" si="3"/>
        <v>5.7774193548387094E-2</v>
      </c>
      <c r="F62">
        <f t="shared" si="2"/>
        <v>0.92135584452230346</v>
      </c>
    </row>
    <row r="63" spans="2:6" x14ac:dyDescent="0.25">
      <c r="B63" s="36">
        <v>43965</v>
      </c>
      <c r="C63" s="41">
        <v>1791</v>
      </c>
      <c r="D63" s="41">
        <v>28095</v>
      </c>
      <c r="E63" s="35">
        <f t="shared" si="3"/>
        <v>4.5269765769751939E-2</v>
      </c>
      <c r="F63">
        <f t="shared" si="2"/>
        <v>1.1667358803986712</v>
      </c>
    </row>
    <row r="64" spans="2:6" x14ac:dyDescent="0.25">
      <c r="B64" s="36">
        <v>43966</v>
      </c>
      <c r="C64" s="41">
        <v>1637</v>
      </c>
      <c r="D64" s="41">
        <v>27624</v>
      </c>
      <c r="E64" s="35">
        <f t="shared" si="3"/>
        <v>4.1481134286383878E-2</v>
      </c>
      <c r="F64">
        <f t="shared" si="2"/>
        <v>1.1586415166694628</v>
      </c>
    </row>
    <row r="65" spans="2:6" x14ac:dyDescent="0.25">
      <c r="B65" s="36">
        <v>43967</v>
      </c>
      <c r="C65" s="41">
        <v>1239</v>
      </c>
      <c r="D65" s="41">
        <v>24332</v>
      </c>
      <c r="E65" s="35">
        <f t="shared" si="3"/>
        <v>3.2145200087469933E-2</v>
      </c>
      <c r="F65">
        <f t="shared" si="2"/>
        <v>1.0323354890326022</v>
      </c>
    </row>
    <row r="66" spans="2:6" x14ac:dyDescent="0.25">
      <c r="B66" s="36">
        <v>43968</v>
      </c>
      <c r="C66" s="41">
        <v>882</v>
      </c>
      <c r="D66" s="41">
        <v>20201</v>
      </c>
      <c r="E66" s="35">
        <f t="shared" si="3"/>
        <v>4.1116361727048752E-2</v>
      </c>
      <c r="F66">
        <f t="shared" si="2"/>
        <v>0.8602864234784513</v>
      </c>
    </row>
    <row r="67" spans="2:6" x14ac:dyDescent="0.25">
      <c r="B67" s="36">
        <v>43969</v>
      </c>
      <c r="C67" s="41">
        <v>1018</v>
      </c>
      <c r="D67" s="41">
        <v>23543</v>
      </c>
      <c r="E67" s="35">
        <f t="shared" si="3"/>
        <v>6.3511180697739769E-2</v>
      </c>
      <c r="F67">
        <f t="shared" si="2"/>
        <v>0.97394937621521316</v>
      </c>
    </row>
    <row r="68" spans="2:6" x14ac:dyDescent="0.25">
      <c r="B68" s="36">
        <v>43970</v>
      </c>
      <c r="C68" s="41">
        <v>1582</v>
      </c>
      <c r="D68" s="41">
        <v>20801</v>
      </c>
      <c r="E68" s="35">
        <f t="shared" si="3"/>
        <v>5.5985612635858939E-2</v>
      </c>
      <c r="F68">
        <f t="shared" si="2"/>
        <v>0.87197130298348358</v>
      </c>
    </row>
    <row r="69" spans="2:6" x14ac:dyDescent="0.25">
      <c r="B69" s="36">
        <v>43971</v>
      </c>
      <c r="C69" s="41">
        <v>1432</v>
      </c>
      <c r="D69" s="41">
        <v>22672</v>
      </c>
      <c r="E69" s="35">
        <f t="shared" si="3"/>
        <v>4.8308200924332897E-2</v>
      </c>
      <c r="F69">
        <f t="shared" si="2"/>
        <v>0.94880072697706674</v>
      </c>
    </row>
    <row r="70" spans="2:6" x14ac:dyDescent="0.25">
      <c r="B70" s="36">
        <v>43972</v>
      </c>
      <c r="C70" s="41">
        <v>1432</v>
      </c>
      <c r="D70" s="41">
        <v>28844</v>
      </c>
      <c r="E70" s="35">
        <f t="shared" si="3"/>
        <v>4.5131776594291954E-2</v>
      </c>
      <c r="F70">
        <f t="shared" si="2"/>
        <v>1.201711731550974</v>
      </c>
    </row>
    <row r="71" spans="2:6" x14ac:dyDescent="0.25">
      <c r="B71" s="36">
        <v>43973</v>
      </c>
      <c r="C71" s="41">
        <v>1322</v>
      </c>
      <c r="D71" s="41">
        <v>24666</v>
      </c>
      <c r="E71" s="35">
        <f t="shared" si="3"/>
        <v>4.0137221269296738E-2</v>
      </c>
      <c r="F71">
        <f t="shared" si="2"/>
        <v>1.0460623171108514</v>
      </c>
    </row>
    <row r="72" spans="2:6" x14ac:dyDescent="0.25">
      <c r="B72" s="36">
        <v>43974</v>
      </c>
      <c r="C72" s="41">
        <v>1053</v>
      </c>
      <c r="D72" s="41">
        <v>21939</v>
      </c>
      <c r="E72" s="35">
        <f t="shared" si="3"/>
        <v>3.0070131616870017E-2</v>
      </c>
      <c r="F72">
        <f t="shared" si="2"/>
        <v>0.9441001807384457</v>
      </c>
    </row>
    <row r="73" spans="2:6" x14ac:dyDescent="0.25">
      <c r="B73" s="36">
        <v>43975</v>
      </c>
      <c r="C73" s="41">
        <v>626</v>
      </c>
      <c r="D73" s="41">
        <v>19930</v>
      </c>
      <c r="E73" s="35">
        <f t="shared" si="3"/>
        <v>3.3999786164866888E-2</v>
      </c>
      <c r="F73">
        <f t="shared" si="2"/>
        <v>0.85907817358908833</v>
      </c>
    </row>
    <row r="74" spans="2:6" x14ac:dyDescent="0.25">
      <c r="B74" s="36">
        <v>43976</v>
      </c>
      <c r="C74" s="41">
        <v>636</v>
      </c>
      <c r="D74" s="41">
        <v>19920</v>
      </c>
      <c r="E74" s="35">
        <f t="shared" si="3"/>
        <v>3.4007991660875606E-2</v>
      </c>
      <c r="F74" s="35">
        <f t="shared" si="2"/>
        <v>0.87824049580530572</v>
      </c>
    </row>
    <row r="75" spans="2:6" x14ac:dyDescent="0.25">
      <c r="B75" s="36">
        <v>43977</v>
      </c>
      <c r="C75" s="41">
        <v>783</v>
      </c>
      <c r="D75" s="41">
        <v>19400</v>
      </c>
      <c r="E75" s="35">
        <f t="shared" si="3"/>
        <v>6.9807949977668607E-2</v>
      </c>
      <c r="F75" s="35">
        <f t="shared" si="2"/>
        <v>0.8629290021668542</v>
      </c>
    </row>
    <row r="76" spans="2:6" x14ac:dyDescent="0.25">
      <c r="B76" s="36">
        <v>43978</v>
      </c>
      <c r="C76" s="41">
        <v>1563</v>
      </c>
      <c r="D76" s="41">
        <v>20754</v>
      </c>
      <c r="E76" s="35">
        <f t="shared" si="3"/>
        <v>4.410037373198078E-2</v>
      </c>
      <c r="F76" s="35">
        <f t="shared" si="2"/>
        <v>0.93454613291477173</v>
      </c>
    </row>
    <row r="77" spans="2:6" x14ac:dyDescent="0.25">
      <c r="B77" s="36">
        <v>43979</v>
      </c>
      <c r="C77" s="41">
        <v>1239</v>
      </c>
      <c r="D77" s="41">
        <v>23085</v>
      </c>
      <c r="E77" s="35">
        <f t="shared" si="3"/>
        <v>4.4671300318563568E-2</v>
      </c>
      <c r="F77" s="35">
        <f t="shared" si="2"/>
        <v>1.0795021844562909</v>
      </c>
    </row>
    <row r="78" spans="2:6" x14ac:dyDescent="0.25">
      <c r="B78" s="36">
        <v>43980</v>
      </c>
      <c r="C78" s="41">
        <v>1234</v>
      </c>
      <c r="D78" s="41">
        <v>25697</v>
      </c>
      <c r="E78" s="35">
        <f t="shared" si="3"/>
        <v>4.2454381061976E-2</v>
      </c>
      <c r="F78" s="35">
        <f t="shared" ref="F78:F109" si="4">D78/AVERAGE(D72:D78)</f>
        <v>1.1934251119588655</v>
      </c>
    </row>
    <row r="79" spans="2:6" x14ac:dyDescent="0.25">
      <c r="B79" s="36">
        <v>43981</v>
      </c>
      <c r="C79" s="41">
        <v>1033</v>
      </c>
      <c r="D79" s="41">
        <v>23763</v>
      </c>
      <c r="E79" s="35">
        <f t="shared" ref="E79:E110" si="5">C80/D66</f>
        <v>3.2226127419434682E-2</v>
      </c>
      <c r="F79" s="35">
        <f t="shared" si="4"/>
        <v>1.09041029439721</v>
      </c>
    </row>
    <row r="80" spans="2:6" x14ac:dyDescent="0.25">
      <c r="B80" s="36">
        <v>43982</v>
      </c>
      <c r="C80" s="41">
        <v>651</v>
      </c>
      <c r="D80" s="41">
        <v>20755</v>
      </c>
      <c r="E80" s="35">
        <f t="shared" si="5"/>
        <v>2.9520451939005224E-2</v>
      </c>
      <c r="F80" s="35">
        <f t="shared" si="4"/>
        <v>0.94725963983465256</v>
      </c>
    </row>
    <row r="81" spans="2:7" x14ac:dyDescent="0.25">
      <c r="B81" s="36">
        <v>43983</v>
      </c>
      <c r="C81" s="41">
        <v>695</v>
      </c>
      <c r="D81" s="41">
        <v>22431</v>
      </c>
      <c r="E81" s="35">
        <f t="shared" si="5"/>
        <v>5.5141579731743669E-2</v>
      </c>
      <c r="F81" s="35">
        <f t="shared" si="4"/>
        <v>1.007261763479488</v>
      </c>
    </row>
    <row r="82" spans="2:7" x14ac:dyDescent="0.25">
      <c r="B82" s="36">
        <v>43984</v>
      </c>
      <c r="C82" s="41">
        <v>1147</v>
      </c>
      <c r="D82" s="41">
        <v>22287</v>
      </c>
      <c r="E82" s="35">
        <f t="shared" si="5"/>
        <v>4.8694424841213835E-2</v>
      </c>
      <c r="F82" s="35">
        <f t="shared" si="4"/>
        <v>0.98259768724964103</v>
      </c>
    </row>
    <row r="83" spans="2:7" x14ac:dyDescent="0.25">
      <c r="B83" s="36">
        <v>43985</v>
      </c>
      <c r="C83" s="41">
        <v>1104</v>
      </c>
      <c r="D83" s="41">
        <v>20831</v>
      </c>
      <c r="E83" s="35">
        <f t="shared" si="5"/>
        <v>3.6402718069615862E-2</v>
      </c>
      <c r="F83" s="35">
        <f t="shared" si="4"/>
        <v>0.91795982348016036</v>
      </c>
    </row>
    <row r="84" spans="2:7" x14ac:dyDescent="0.25">
      <c r="B84" s="36">
        <v>43986</v>
      </c>
      <c r="C84" s="41">
        <v>1050</v>
      </c>
      <c r="D84" s="41">
        <v>22850</v>
      </c>
      <c r="E84" s="35">
        <f t="shared" si="5"/>
        <v>4.0055136625314194E-2</v>
      </c>
      <c r="F84" s="35">
        <f t="shared" si="4"/>
        <v>1.0084229639250002</v>
      </c>
    </row>
    <row r="85" spans="2:7" x14ac:dyDescent="0.25">
      <c r="B85" s="36">
        <v>43987</v>
      </c>
      <c r="C85" s="41">
        <v>988</v>
      </c>
      <c r="D85" s="41">
        <v>25427</v>
      </c>
      <c r="E85" s="35">
        <f t="shared" si="5"/>
        <v>3.2681526049500892E-2</v>
      </c>
      <c r="F85" s="35">
        <f t="shared" si="4"/>
        <v>1.1240653261253979</v>
      </c>
    </row>
    <row r="86" spans="2:7" x14ac:dyDescent="0.25">
      <c r="B86" s="36">
        <v>43988</v>
      </c>
      <c r="C86" s="41">
        <v>717</v>
      </c>
      <c r="D86" s="41">
        <v>22862</v>
      </c>
      <c r="E86" s="35">
        <f t="shared" si="5"/>
        <v>1.9267436026091319E-2</v>
      </c>
      <c r="F86" s="35">
        <f t="shared" si="4"/>
        <v>1.0164567494267767</v>
      </c>
    </row>
    <row r="87" spans="2:7" x14ac:dyDescent="0.25">
      <c r="B87" s="36">
        <v>43989</v>
      </c>
      <c r="C87" s="41">
        <v>384</v>
      </c>
      <c r="D87" s="41">
        <v>18933</v>
      </c>
      <c r="E87" s="35">
        <f t="shared" si="5"/>
        <v>3.0020080321285142E-2</v>
      </c>
      <c r="F87" s="35">
        <f t="shared" si="4"/>
        <v>0.85162670847764765</v>
      </c>
    </row>
    <row r="88" spans="2:7" x14ac:dyDescent="0.25">
      <c r="B88" s="36">
        <v>43990</v>
      </c>
      <c r="C88" s="41">
        <v>598</v>
      </c>
      <c r="D88" s="41">
        <v>19069</v>
      </c>
      <c r="E88" s="35">
        <f t="shared" si="5"/>
        <v>5.6958762886597937E-2</v>
      </c>
      <c r="F88" s="35">
        <f t="shared" si="4"/>
        <v>0.87668380851049854</v>
      </c>
    </row>
    <row r="89" spans="2:7" x14ac:dyDescent="0.25">
      <c r="B89" s="36">
        <v>43991</v>
      </c>
      <c r="C89" s="41">
        <v>1105</v>
      </c>
      <c r="D89" s="41">
        <v>19085</v>
      </c>
      <c r="E89" s="35">
        <f t="shared" si="5"/>
        <v>4.8087115736725451E-2</v>
      </c>
      <c r="F89" s="35">
        <f t="shared" si="4"/>
        <v>0.89626787068034386</v>
      </c>
    </row>
    <row r="90" spans="2:7" x14ac:dyDescent="0.25">
      <c r="B90" s="36">
        <v>43992</v>
      </c>
      <c r="C90" s="41">
        <v>998</v>
      </c>
      <c r="D90" s="41">
        <v>21040</v>
      </c>
      <c r="E90" s="35">
        <f t="shared" si="5"/>
        <v>3.9766081871345033E-2</v>
      </c>
      <c r="F90" s="35">
        <f t="shared" si="4"/>
        <v>0.9866948936797395</v>
      </c>
    </row>
    <row r="91" spans="2:7" x14ac:dyDescent="0.25">
      <c r="B91" s="36">
        <v>43993</v>
      </c>
      <c r="C91" s="41">
        <v>918</v>
      </c>
      <c r="D91" s="41">
        <v>23490</v>
      </c>
      <c r="E91" s="35">
        <f t="shared" si="5"/>
        <v>3.1132038759388254E-2</v>
      </c>
      <c r="F91" s="35">
        <f t="shared" si="4"/>
        <v>1.0968873827598629</v>
      </c>
      <c r="G91" s="41"/>
    </row>
    <row r="92" spans="2:7" x14ac:dyDescent="0.25">
      <c r="B92" s="36">
        <v>43994</v>
      </c>
      <c r="C92" s="41">
        <v>800</v>
      </c>
      <c r="D92" s="41">
        <v>27405</v>
      </c>
      <c r="E92" s="35">
        <f t="shared" si="5"/>
        <v>3.0130875731178723E-2</v>
      </c>
      <c r="F92" s="35">
        <f t="shared" si="4"/>
        <v>1.2630362645176583</v>
      </c>
    </row>
    <row r="93" spans="2:7" x14ac:dyDescent="0.25">
      <c r="B93" s="36">
        <v>43995</v>
      </c>
      <c r="C93" s="41">
        <v>716</v>
      </c>
      <c r="D93" s="41">
        <v>25490</v>
      </c>
      <c r="E93" s="35">
        <f t="shared" si="5"/>
        <v>1.6188870151770656E-2</v>
      </c>
      <c r="F93" s="35">
        <f t="shared" si="4"/>
        <v>1.154797038417728</v>
      </c>
    </row>
    <row r="94" spans="2:7" x14ac:dyDescent="0.25">
      <c r="B94" s="36">
        <v>43996</v>
      </c>
      <c r="C94" s="41">
        <v>336</v>
      </c>
      <c r="D94" s="41">
        <v>20181</v>
      </c>
      <c r="E94" s="35">
        <f t="shared" si="5"/>
        <v>1.9259061120770363E-2</v>
      </c>
      <c r="F94" s="35">
        <f t="shared" si="4"/>
        <v>0.90695300462249606</v>
      </c>
    </row>
    <row r="95" spans="2:7" x14ac:dyDescent="0.25">
      <c r="B95" s="36">
        <v>43997</v>
      </c>
      <c r="C95" s="41">
        <v>432</v>
      </c>
      <c r="D95" s="41">
        <v>20901</v>
      </c>
      <c r="E95" s="35">
        <f t="shared" si="5"/>
        <v>3.8497778974289944E-2</v>
      </c>
      <c r="F95" s="35">
        <f t="shared" si="4"/>
        <v>0.92839103507792264</v>
      </c>
    </row>
    <row r="96" spans="2:7" x14ac:dyDescent="0.25">
      <c r="B96" s="36">
        <v>43998</v>
      </c>
      <c r="C96" s="41">
        <v>858</v>
      </c>
      <c r="D96" s="41">
        <v>25634</v>
      </c>
      <c r="E96" s="35">
        <f t="shared" si="5"/>
        <v>3.9316403437184962E-2</v>
      </c>
      <c r="F96" s="35">
        <f t="shared" si="4"/>
        <v>1.0931942659055325</v>
      </c>
    </row>
    <row r="97" spans="2:6" x14ac:dyDescent="0.25">
      <c r="B97" s="36">
        <v>43999</v>
      </c>
      <c r="C97" s="41">
        <v>819</v>
      </c>
      <c r="D97" s="41">
        <v>26257</v>
      </c>
      <c r="E97" s="35">
        <f t="shared" si="5"/>
        <v>3.3085339168490151E-2</v>
      </c>
      <c r="F97" s="35">
        <f t="shared" si="4"/>
        <v>1.0852690749772671</v>
      </c>
    </row>
    <row r="98" spans="2:6" x14ac:dyDescent="0.25">
      <c r="B98" s="36">
        <v>44000</v>
      </c>
      <c r="C98" s="41">
        <v>756</v>
      </c>
      <c r="D98" s="41">
        <v>27964</v>
      </c>
      <c r="E98" s="35">
        <f t="shared" si="5"/>
        <v>2.8670311086640185E-2</v>
      </c>
      <c r="F98" s="35">
        <f t="shared" si="4"/>
        <v>1.1260757513001058</v>
      </c>
    </row>
    <row r="99" spans="2:6" x14ac:dyDescent="0.25">
      <c r="B99" s="36">
        <v>44001</v>
      </c>
      <c r="C99" s="41">
        <v>729</v>
      </c>
      <c r="D99" s="41">
        <v>33582</v>
      </c>
      <c r="E99" s="35">
        <f t="shared" si="5"/>
        <v>2.5457090368296739E-2</v>
      </c>
      <c r="F99" s="35">
        <f t="shared" si="4"/>
        <v>1.3059013715980867</v>
      </c>
    </row>
    <row r="100" spans="2:6" x14ac:dyDescent="0.25">
      <c r="B100" s="36">
        <v>44002</v>
      </c>
      <c r="C100" s="41">
        <v>582</v>
      </c>
      <c r="D100" s="41">
        <v>33431</v>
      </c>
      <c r="E100" s="35">
        <f t="shared" si="5"/>
        <v>1.4260814450958644E-2</v>
      </c>
      <c r="F100" s="35">
        <f t="shared" si="4"/>
        <v>1.2451024208566108</v>
      </c>
    </row>
    <row r="101" spans="2:6" x14ac:dyDescent="0.25">
      <c r="B101" s="36">
        <v>44003</v>
      </c>
      <c r="C101" s="41">
        <v>270</v>
      </c>
      <c r="D101" s="41">
        <v>26118</v>
      </c>
      <c r="E101" s="35">
        <f t="shared" si="5"/>
        <v>1.9350778750852168E-2</v>
      </c>
      <c r="F101" s="35">
        <f t="shared" si="4"/>
        <v>0.94295130668894767</v>
      </c>
    </row>
    <row r="102" spans="2:6" x14ac:dyDescent="0.25">
      <c r="B102" s="36">
        <v>44004</v>
      </c>
      <c r="C102" s="41">
        <v>369</v>
      </c>
      <c r="D102" s="41">
        <v>31538</v>
      </c>
      <c r="E102" s="35">
        <f t="shared" si="5"/>
        <v>4.563793555148022E-2</v>
      </c>
      <c r="F102" s="35">
        <f t="shared" si="4"/>
        <v>1.0794136629442022</v>
      </c>
    </row>
    <row r="103" spans="2:6" x14ac:dyDescent="0.25">
      <c r="B103" s="36">
        <v>44005</v>
      </c>
      <c r="C103" s="41">
        <v>871</v>
      </c>
      <c r="D103" s="41">
        <v>36066</v>
      </c>
      <c r="E103" s="35">
        <f t="shared" si="5"/>
        <v>3.8925855513307982E-2</v>
      </c>
      <c r="F103" s="35">
        <f t="shared" si="4"/>
        <v>1.1744822196170379</v>
      </c>
    </row>
    <row r="104" spans="2:6" x14ac:dyDescent="0.25">
      <c r="B104" s="36">
        <v>44006</v>
      </c>
      <c r="C104" s="41">
        <v>819</v>
      </c>
      <c r="D104" s="41">
        <v>38434</v>
      </c>
      <c r="E104" s="35">
        <f t="shared" si="5"/>
        <v>2.7799063431247339E-2</v>
      </c>
      <c r="F104" s="35">
        <f t="shared" si="4"/>
        <v>1.1844954277890047</v>
      </c>
    </row>
    <row r="105" spans="2:6" x14ac:dyDescent="0.25">
      <c r="B105" s="36">
        <v>44007</v>
      </c>
      <c r="C105" s="41">
        <v>653</v>
      </c>
      <c r="D105" s="41">
        <v>40236</v>
      </c>
      <c r="E105" s="35">
        <f t="shared" si="5"/>
        <v>2.4192665571975917E-2</v>
      </c>
      <c r="F105" s="35">
        <f t="shared" si="4"/>
        <v>1.1764666569202817</v>
      </c>
    </row>
    <row r="106" spans="2:6" x14ac:dyDescent="0.25">
      <c r="B106" s="36">
        <v>44008</v>
      </c>
      <c r="C106" s="41">
        <v>663</v>
      </c>
      <c r="D106" s="41">
        <v>47365</v>
      </c>
      <c r="E106" s="35">
        <f t="shared" si="5"/>
        <v>2.0086308356218125E-2</v>
      </c>
      <c r="F106" s="35">
        <f t="shared" si="4"/>
        <v>1.3095209883564782</v>
      </c>
    </row>
    <row r="107" spans="2:6" x14ac:dyDescent="0.25">
      <c r="B107" s="36">
        <v>44009</v>
      </c>
      <c r="C107" s="41">
        <v>512</v>
      </c>
      <c r="D107" s="41">
        <v>43599</v>
      </c>
      <c r="E107" s="35">
        <f t="shared" si="5"/>
        <v>1.4122194143005798E-2</v>
      </c>
      <c r="F107" s="35">
        <f t="shared" si="4"/>
        <v>1.1588610094320995</v>
      </c>
    </row>
    <row r="108" spans="2:6" x14ac:dyDescent="0.25">
      <c r="B108" s="36">
        <v>44010</v>
      </c>
      <c r="C108" s="41">
        <v>285</v>
      </c>
      <c r="D108" s="41">
        <v>40563</v>
      </c>
      <c r="E108" s="35">
        <f t="shared" si="5"/>
        <v>1.7511123869671307E-2</v>
      </c>
      <c r="F108" s="35">
        <f t="shared" si="4"/>
        <v>1.0221021522600711</v>
      </c>
    </row>
    <row r="109" spans="2:6" x14ac:dyDescent="0.25">
      <c r="B109" s="36">
        <v>44011</v>
      </c>
      <c r="C109" s="41">
        <v>366</v>
      </c>
      <c r="D109" s="41">
        <v>44764</v>
      </c>
      <c r="E109" s="35">
        <f t="shared" si="5"/>
        <v>2.8321760162284465E-2</v>
      </c>
      <c r="F109" s="35">
        <f t="shared" si="4"/>
        <v>1.0766973511048803</v>
      </c>
    </row>
    <row r="110" spans="2:6" x14ac:dyDescent="0.25">
      <c r="B110" s="36">
        <v>44012</v>
      </c>
      <c r="C110" s="41">
        <v>726</v>
      </c>
      <c r="D110" s="41">
        <v>46075</v>
      </c>
      <c r="E110" s="35">
        <f t="shared" si="5"/>
        <v>2.5745515481585862E-2</v>
      </c>
      <c r="F110" s="35">
        <f t="shared" ref="F110:F119" si="6">D110/AVERAGE(D104:D110)</f>
        <v>1.0713834890179248</v>
      </c>
    </row>
    <row r="111" spans="2:6" x14ac:dyDescent="0.25">
      <c r="B111" s="36">
        <v>44013</v>
      </c>
      <c r="C111" s="41">
        <v>676</v>
      </c>
      <c r="D111" s="41">
        <v>52361</v>
      </c>
      <c r="E111" s="35">
        <f t="shared" ref="E111:E118" si="7">C112/D98</f>
        <v>2.4567300815334002E-2</v>
      </c>
      <c r="F111" s="35">
        <f t="shared" si="6"/>
        <v>1.163714468048628</v>
      </c>
    </row>
    <row r="112" spans="2:6" x14ac:dyDescent="0.25">
      <c r="B112" s="36">
        <v>44014</v>
      </c>
      <c r="C112" s="41">
        <v>687</v>
      </c>
      <c r="D112" s="41">
        <v>57522</v>
      </c>
      <c r="E112" s="35">
        <f t="shared" si="7"/>
        <v>1.8640938598058484E-2</v>
      </c>
      <c r="F112" s="35">
        <f t="shared" si="6"/>
        <v>1.211904324768472</v>
      </c>
    </row>
    <row r="113" spans="2:13" x14ac:dyDescent="0.25">
      <c r="B113" s="36">
        <v>44015</v>
      </c>
      <c r="C113" s="41">
        <v>626</v>
      </c>
      <c r="D113" s="41">
        <v>59619</v>
      </c>
      <c r="E113" s="35">
        <f t="shared" si="7"/>
        <v>7.9566869073614318E-3</v>
      </c>
      <c r="F113" s="35">
        <f t="shared" si="6"/>
        <v>1.2114059964644721</v>
      </c>
    </row>
    <row r="114" spans="2:13" x14ac:dyDescent="0.25">
      <c r="B114" s="36">
        <v>44016</v>
      </c>
      <c r="C114" s="41">
        <v>266</v>
      </c>
      <c r="D114" s="41">
        <v>49999</v>
      </c>
      <c r="E114" s="35">
        <f t="shared" si="7"/>
        <v>1.0069683743012483E-2</v>
      </c>
      <c r="F114" s="35">
        <f t="shared" si="6"/>
        <v>0.99740669073789623</v>
      </c>
    </row>
    <row r="115" spans="2:13" x14ac:dyDescent="0.25">
      <c r="B115" s="36">
        <v>44017</v>
      </c>
      <c r="C115" s="41">
        <v>263</v>
      </c>
      <c r="D115" s="41">
        <v>46036</v>
      </c>
      <c r="E115" s="35">
        <f t="shared" si="7"/>
        <v>1.1985541251823197E-2</v>
      </c>
      <c r="F115" s="35">
        <f t="shared" si="6"/>
        <v>0.9042471995869531</v>
      </c>
    </row>
    <row r="116" spans="2:13" x14ac:dyDescent="0.25">
      <c r="B116" s="36">
        <v>44018</v>
      </c>
      <c r="C116" s="41">
        <v>378</v>
      </c>
      <c r="D116" s="41">
        <v>50771</v>
      </c>
      <c r="E116" s="35">
        <f t="shared" si="7"/>
        <v>2.7532856429878554E-2</v>
      </c>
      <c r="F116" s="35">
        <f t="shared" si="6"/>
        <v>0.9807220537387239</v>
      </c>
    </row>
    <row r="117" spans="2:13" x14ac:dyDescent="0.25">
      <c r="B117" s="36">
        <v>44019</v>
      </c>
      <c r="C117" s="41">
        <v>993</v>
      </c>
      <c r="D117" s="41">
        <v>55856</v>
      </c>
      <c r="E117" s="35">
        <f t="shared" si="7"/>
        <v>2.3182598740698342E-2</v>
      </c>
      <c r="F117" s="35">
        <f t="shared" si="6"/>
        <v>1.0505905998430798</v>
      </c>
    </row>
    <row r="118" spans="2:13" x14ac:dyDescent="0.25">
      <c r="B118" s="36">
        <v>44020</v>
      </c>
      <c r="C118" s="41">
        <v>891</v>
      </c>
      <c r="D118" s="41">
        <v>62298</v>
      </c>
      <c r="E118" s="35">
        <f t="shared" si="7"/>
        <v>2.3884083904960732E-2</v>
      </c>
      <c r="F118" s="35">
        <f t="shared" si="6"/>
        <v>1.1412846341674059</v>
      </c>
    </row>
    <row r="119" spans="2:13" x14ac:dyDescent="0.25">
      <c r="B119" s="36">
        <v>44021</v>
      </c>
      <c r="C119" s="41">
        <v>961</v>
      </c>
      <c r="D119" s="41">
        <v>61574</v>
      </c>
      <c r="E119" s="35">
        <f t="shared" ref="E119:E126" si="8">C120/D106</f>
        <v>1.7903515253879447E-2</v>
      </c>
      <c r="F119" s="35">
        <f t="shared" si="6"/>
        <v>1.1161845175357954</v>
      </c>
    </row>
    <row r="120" spans="2:13" x14ac:dyDescent="0.25">
      <c r="B120" s="36">
        <v>44022</v>
      </c>
      <c r="C120" s="41">
        <v>848</v>
      </c>
      <c r="D120" s="41">
        <v>72278</v>
      </c>
      <c r="E120" s="35">
        <f t="shared" si="8"/>
        <v>1.6789375903117045E-2</v>
      </c>
      <c r="F120" s="35">
        <f t="shared" ref="F120:F127" si="9">D120/AVERAGE(D114:D120)</f>
        <v>1.2686328395334143</v>
      </c>
    </row>
    <row r="121" spans="2:13" x14ac:dyDescent="0.25">
      <c r="B121" s="36">
        <v>44023</v>
      </c>
      <c r="C121" s="41">
        <v>732</v>
      </c>
      <c r="D121" s="41">
        <v>62004</v>
      </c>
      <c r="E121" s="35">
        <f t="shared" si="8"/>
        <v>9.3927963907994971E-3</v>
      </c>
      <c r="F121" s="35">
        <f t="shared" si="9"/>
        <v>1.0564996093150965</v>
      </c>
      <c r="H121" s="75" t="s">
        <v>306</v>
      </c>
      <c r="I121" s="75"/>
      <c r="J121" s="75"/>
      <c r="K121" s="75"/>
      <c r="L121" s="75"/>
      <c r="M121" s="75"/>
    </row>
    <row r="122" spans="2:13" x14ac:dyDescent="0.25">
      <c r="B122" s="36">
        <v>44024</v>
      </c>
      <c r="C122" s="41">
        <v>381</v>
      </c>
      <c r="D122" s="41">
        <v>58621</v>
      </c>
      <c r="E122" s="35">
        <f t="shared" si="8"/>
        <v>1.038781163434903E-2</v>
      </c>
      <c r="F122" s="35">
        <f t="shared" si="9"/>
        <v>0.96916641867539599</v>
      </c>
      <c r="H122" s="74" t="s">
        <v>308</v>
      </c>
      <c r="I122" s="74"/>
      <c r="J122" t="s">
        <v>309</v>
      </c>
      <c r="K122" t="s">
        <v>310</v>
      </c>
      <c r="L122" t="s">
        <v>311</v>
      </c>
      <c r="M122" t="s">
        <v>312</v>
      </c>
    </row>
    <row r="123" spans="2:13" x14ac:dyDescent="0.25">
      <c r="B123" s="36">
        <v>44025</v>
      </c>
      <c r="C123" s="41">
        <v>465</v>
      </c>
      <c r="D123" s="41">
        <v>65789</v>
      </c>
      <c r="E123" s="35">
        <f t="shared" si="8"/>
        <v>2.0314704286489418E-2</v>
      </c>
      <c r="F123" s="35">
        <f t="shared" si="9"/>
        <v>1.0504151270471238</v>
      </c>
      <c r="I123">
        <v>365</v>
      </c>
      <c r="J123" s="38">
        <f>SUM(C2:C127)/365</f>
        <v>389.29863013698628</v>
      </c>
      <c r="K123" s="39">
        <f>J123*365</f>
        <v>142094</v>
      </c>
      <c r="L123" s="40">
        <f>328000000/J123/100</f>
        <v>8425.4085323799736</v>
      </c>
      <c r="M123" s="40">
        <f>L123/365</f>
        <v>23.083311047616366</v>
      </c>
    </row>
    <row r="124" spans="2:13" x14ac:dyDescent="0.25">
      <c r="B124" s="36">
        <v>44026</v>
      </c>
      <c r="C124" s="41">
        <v>936</v>
      </c>
      <c r="D124" s="41">
        <v>66048</v>
      </c>
      <c r="E124" s="35">
        <f t="shared" si="8"/>
        <v>1.9136380130249615E-2</v>
      </c>
      <c r="F124" s="35">
        <f t="shared" si="9"/>
        <v>1.0305921375264149</v>
      </c>
      <c r="H124" s="37">
        <v>43831</v>
      </c>
      <c r="I124" s="41">
        <f ca="1">TODAY()-H124-1</f>
        <v>198</v>
      </c>
      <c r="J124" s="38">
        <f ca="1">SUM(C2:C127)/I124</f>
        <v>717.64646464646466</v>
      </c>
      <c r="K124" s="38">
        <f ca="1">J124*365</f>
        <v>261940.9595959596</v>
      </c>
      <c r="L124" s="40">
        <f ca="1">328000000/J124/100</f>
        <v>4570.4955874280404</v>
      </c>
      <c r="M124" s="40">
        <f ca="1">L124/365</f>
        <v>12.521905718980932</v>
      </c>
    </row>
    <row r="125" spans="2:13" x14ac:dyDescent="0.25">
      <c r="B125" s="36">
        <v>44027</v>
      </c>
      <c r="C125" s="41">
        <v>1002</v>
      </c>
      <c r="D125" s="41">
        <v>72005</v>
      </c>
      <c r="E125" s="35">
        <f t="shared" si="8"/>
        <v>1.6741420673829145E-2</v>
      </c>
      <c r="F125" s="35">
        <f t="shared" si="9"/>
        <v>1.0997471193644601</v>
      </c>
      <c r="H125" s="37">
        <v>43880</v>
      </c>
      <c r="I125" s="41">
        <f ca="1">TODAY()-H125-1</f>
        <v>149</v>
      </c>
      <c r="J125" s="38">
        <f ca="1">SUM(C2:C127)/I127</f>
        <v>1327.981308411215</v>
      </c>
      <c r="K125" s="38">
        <f ca="1">J125*365</f>
        <v>484713.17757009348</v>
      </c>
      <c r="L125" s="40">
        <f ca="1">328000000/J125/100</f>
        <v>2469.914282094951</v>
      </c>
      <c r="M125" s="40">
        <f ca="1">L125/365</f>
        <v>6.7668884440957564</v>
      </c>
    </row>
    <row r="126" spans="2:13" x14ac:dyDescent="0.25">
      <c r="B126" s="36">
        <v>44028</v>
      </c>
      <c r="C126" s="41">
        <v>963</v>
      </c>
      <c r="D126" s="41">
        <v>73388</v>
      </c>
      <c r="E126" s="35">
        <f t="shared" si="8"/>
        <v>1.5867424814237072E-2</v>
      </c>
      <c r="F126" s="35">
        <f t="shared" si="9"/>
        <v>1.092703554100648</v>
      </c>
      <c r="H126" s="37">
        <v>43905</v>
      </c>
      <c r="I126" s="41">
        <f ca="1">TODAY()-H126-1</f>
        <v>124</v>
      </c>
      <c r="J126" s="38">
        <f ca="1">SUM(C3:C127)/I126</f>
        <v>1145.4516129032259</v>
      </c>
      <c r="K126" s="38">
        <f ca="1">J126*365</f>
        <v>418089.83870967745</v>
      </c>
      <c r="L126" s="40">
        <f ca="1">328000000/J126/100</f>
        <v>2863.4993945196993</v>
      </c>
      <c r="M126" s="40">
        <f ca="1">L126/365</f>
        <v>7.8452038206019159</v>
      </c>
    </row>
    <row r="127" spans="2:13" x14ac:dyDescent="0.25">
      <c r="B127" s="36">
        <v>44029</v>
      </c>
      <c r="C127" s="41">
        <v>946</v>
      </c>
      <c r="D127" s="41">
        <v>74987</v>
      </c>
      <c r="E127" s="35">
        <f t="shared" ref="E125:E127" si="10">AVERAGE(E113:E126)</f>
        <v>1.6510348576048932E-2</v>
      </c>
      <c r="F127" s="35">
        <f t="shared" si="9"/>
        <v>1.1101150067041421</v>
      </c>
      <c r="H127" s="37">
        <v>43922</v>
      </c>
      <c r="I127" s="41">
        <f ca="1">TODAY()-H127-1</f>
        <v>107</v>
      </c>
      <c r="J127" s="38">
        <f ca="1">SUM(C20:C127)/I127</f>
        <v>1279.3738317757009</v>
      </c>
      <c r="K127" s="38">
        <f ca="1">J127*365</f>
        <v>466971.44859813084</v>
      </c>
      <c r="L127" s="40">
        <f ca="1">328000000/J127/100</f>
        <v>2563.754172967208</v>
      </c>
      <c r="M127" s="40">
        <f ca="1">L127/365</f>
        <v>7.0239840355265972</v>
      </c>
    </row>
    <row r="128" spans="2:13" x14ac:dyDescent="0.25">
      <c r="B128" s="36">
        <v>44030</v>
      </c>
      <c r="C128" s="40">
        <f>$E$127*D114</f>
        <v>825.50091845387055</v>
      </c>
      <c r="D128" s="40">
        <f>D127*AVERAGE($F$121:$F$127)</f>
        <v>79370.943264050075</v>
      </c>
      <c r="E128" t="s">
        <v>326</v>
      </c>
      <c r="F128" s="38"/>
      <c r="H128" t="s">
        <v>319</v>
      </c>
      <c r="J128" s="38">
        <f>SUM(C2:C19)/31</f>
        <v>167.7741935483871</v>
      </c>
    </row>
    <row r="129" spans="2:13" x14ac:dyDescent="0.25">
      <c r="B129" s="36">
        <v>44031</v>
      </c>
      <c r="C129" s="40">
        <f t="shared" ref="C129:C142" si="11">$E$127*D115</f>
        <v>760.07040704698863</v>
      </c>
      <c r="D129" s="40">
        <f t="shared" ref="D129:D142" si="12">D128*AVERAGE($F$121:$F$127)</f>
        <v>84011.183733514554</v>
      </c>
      <c r="E129" s="38">
        <f>SUM(C$2:C129)</f>
        <v>143679.57132550087</v>
      </c>
      <c r="F129" s="38">
        <f>SUM(D$2:D129)</f>
        <v>3933393.1269975645</v>
      </c>
      <c r="H129" t="s">
        <v>320</v>
      </c>
      <c r="J129" s="38">
        <f>AVERAGE(C20:C49)</f>
        <v>1996.5333333333333</v>
      </c>
    </row>
    <row r="130" spans="2:13" x14ac:dyDescent="0.25">
      <c r="B130" s="36">
        <v>44032</v>
      </c>
      <c r="C130" s="40">
        <f t="shared" si="11"/>
        <v>838.24690755458028</v>
      </c>
      <c r="D130" s="40">
        <f t="shared" si="12"/>
        <v>88922.705237687464</v>
      </c>
      <c r="E130" s="38">
        <f>SUM(C$2:C130)</f>
        <v>144517.81823305544</v>
      </c>
      <c r="F130" s="38">
        <f>SUM(D$2:D130)</f>
        <v>4022315.832235252</v>
      </c>
      <c r="H130" t="s">
        <v>321</v>
      </c>
      <c r="J130" s="38">
        <f>AVERAGE(C50:C80)</f>
        <v>1410.2258064516129</v>
      </c>
    </row>
    <row r="131" spans="2:13" x14ac:dyDescent="0.25">
      <c r="B131" s="36">
        <v>44033</v>
      </c>
      <c r="C131" s="40">
        <f t="shared" si="11"/>
        <v>922.20203006378915</v>
      </c>
      <c r="D131" s="40">
        <f t="shared" si="12"/>
        <v>94121.367601135396</v>
      </c>
      <c r="E131" s="38">
        <f>SUM(C$2:C131)</f>
        <v>145440.02026311922</v>
      </c>
      <c r="F131" s="38">
        <f>SUM(D$2:D131)</f>
        <v>4116437.1998363873</v>
      </c>
      <c r="H131" t="s">
        <v>322</v>
      </c>
      <c r="J131" s="38">
        <f>AVERAGE(C81:C110)</f>
        <v>708.86666666666667</v>
      </c>
    </row>
    <row r="132" spans="2:13" x14ac:dyDescent="0.25">
      <c r="B132" s="36">
        <v>44034</v>
      </c>
      <c r="C132" s="40">
        <f t="shared" si="11"/>
        <v>1028.5616955906964</v>
      </c>
      <c r="D132" s="40">
        <f t="shared" si="12"/>
        <v>99623.957856755413</v>
      </c>
      <c r="E132" s="38">
        <f>SUM(C$2:C132)</f>
        <v>146468.58195870992</v>
      </c>
      <c r="F132" s="38">
        <f>SUM(D$2:D132)</f>
        <v>4216061.157693143</v>
      </c>
      <c r="H132" s="35" t="s">
        <v>327</v>
      </c>
      <c r="J132" s="38">
        <f>AVERAGE(C111:C141)</f>
        <v>851.78423799055975</v>
      </c>
    </row>
    <row r="133" spans="2:13" x14ac:dyDescent="0.25">
      <c r="B133" s="36">
        <v>44035</v>
      </c>
      <c r="C133" s="40">
        <f t="shared" si="11"/>
        <v>1016.6082032216369</v>
      </c>
      <c r="D133" s="40">
        <f t="shared" si="12"/>
        <v>105448.24445288716</v>
      </c>
      <c r="E133" s="38">
        <f>SUM(C$2:C133)</f>
        <v>147485.19016193156</v>
      </c>
      <c r="F133" s="38">
        <f>SUM(D$2:D133)</f>
        <v>4321509.4021460302</v>
      </c>
      <c r="H133" s="75" t="s">
        <v>323</v>
      </c>
      <c r="I133" s="75"/>
      <c r="J133" s="75"/>
      <c r="K133" s="75"/>
      <c r="L133" s="75"/>
      <c r="M133" s="75"/>
    </row>
    <row r="134" spans="2:13" x14ac:dyDescent="0.25">
      <c r="B134" s="36">
        <v>44036</v>
      </c>
      <c r="C134" s="40">
        <f t="shared" si="11"/>
        <v>1193.3349743796648</v>
      </c>
      <c r="D134" s="40">
        <f t="shared" si="12"/>
        <v>111613.03462951965</v>
      </c>
      <c r="E134" s="38">
        <f>SUM(C$2:C134)</f>
        <v>148678.52513631122</v>
      </c>
      <c r="F134" s="38">
        <f>SUM(D$2:D134)</f>
        <v>4433122.4367755502</v>
      </c>
      <c r="K134" t="s">
        <v>310</v>
      </c>
      <c r="L134" t="s">
        <v>324</v>
      </c>
      <c r="M134" t="s">
        <v>325</v>
      </c>
    </row>
    <row r="135" spans="2:13" x14ac:dyDescent="0.25">
      <c r="B135" s="36">
        <v>44037</v>
      </c>
      <c r="C135" s="40">
        <f t="shared" si="11"/>
        <v>1023.707653109338</v>
      </c>
      <c r="D135" s="40">
        <f t="shared" si="12"/>
        <v>118138.23514886662</v>
      </c>
      <c r="E135" s="38">
        <f>SUM(C$2:C135)</f>
        <v>149702.23278942055</v>
      </c>
      <c r="F135" s="38">
        <f>SUM(D$2:D135)</f>
        <v>4551260.6719244169</v>
      </c>
      <c r="I135">
        <v>365</v>
      </c>
      <c r="J135" s="38">
        <f>SUM(D2:D127)/365</f>
        <v>10328.797260273972</v>
      </c>
      <c r="K135" s="39">
        <f>J135*365</f>
        <v>3770010.9999999995</v>
      </c>
      <c r="L135" s="40">
        <f>328000000/J135</f>
        <v>31755.875513360574</v>
      </c>
      <c r="M135" s="40">
        <f>L135/365</f>
        <v>87.0023986667413</v>
      </c>
    </row>
    <row r="136" spans="2:13" x14ac:dyDescent="0.25">
      <c r="B136" s="36">
        <v>44038</v>
      </c>
      <c r="C136" s="40">
        <f t="shared" si="11"/>
        <v>967.85314387656445</v>
      </c>
      <c r="D136" s="40">
        <f t="shared" si="12"/>
        <v>125044.9165764159</v>
      </c>
      <c r="E136" s="38">
        <f>SUM(C$2:C136)</f>
        <v>150670.08593329712</v>
      </c>
      <c r="F136" s="38">
        <f>SUM(D$2:D136)</f>
        <v>4676305.5885008331</v>
      </c>
      <c r="H136" s="37">
        <v>43831</v>
      </c>
      <c r="I136" s="41">
        <f ca="1">TODAY()-H136-1</f>
        <v>198</v>
      </c>
      <c r="J136" s="38">
        <f ca="1">SUM(D2:D127)/I136</f>
        <v>19040.459595959597</v>
      </c>
      <c r="K136" s="38">
        <f ca="1">J136*365</f>
        <v>6949767.7525252532</v>
      </c>
      <c r="L136" s="40">
        <f ca="1">328000000/J136</f>
        <v>17226.474936014776</v>
      </c>
      <c r="M136" s="40">
        <f ca="1">L136/365</f>
        <v>47.195821742506233</v>
      </c>
    </row>
    <row r="137" spans="2:13" x14ac:dyDescent="0.25">
      <c r="B137" s="36">
        <v>44039</v>
      </c>
      <c r="C137" s="40">
        <f t="shared" si="11"/>
        <v>1086.1993224696832</v>
      </c>
      <c r="D137" s="40">
        <f t="shared" si="12"/>
        <v>132355.38132002321</v>
      </c>
      <c r="E137" s="38">
        <f>SUM(C$2:C137)</f>
        <v>151756.28525576679</v>
      </c>
      <c r="F137" s="38">
        <f>SUM(D$2:D137)</f>
        <v>4808660.9698208561</v>
      </c>
      <c r="H137" s="37">
        <v>43880</v>
      </c>
      <c r="I137" s="41">
        <f ca="1">TODAY()-H137-1</f>
        <v>149</v>
      </c>
      <c r="J137" s="38">
        <f ca="1">SUM(D2:D127)/I137</f>
        <v>25302.087248322146</v>
      </c>
      <c r="K137" s="38">
        <f ca="1">J137*365</f>
        <v>9235261.8456375841</v>
      </c>
      <c r="L137" s="40">
        <f ca="1">328000000/J137</f>
        <v>12963.357401344452</v>
      </c>
      <c r="M137" s="40">
        <f ca="1">L137/365</f>
        <v>35.516047674916308</v>
      </c>
    </row>
    <row r="138" spans="2:13" x14ac:dyDescent="0.25">
      <c r="B138" s="36">
        <v>44040</v>
      </c>
      <c r="C138" s="40">
        <f t="shared" si="11"/>
        <v>1090.4755027508797</v>
      </c>
      <c r="D138" s="40">
        <f t="shared" si="12"/>
        <v>140093.23564675578</v>
      </c>
      <c r="E138" s="38">
        <f>SUM(C$2:C138)</f>
        <v>152846.76075851766</v>
      </c>
      <c r="F138" s="38">
        <f>SUM(D$2:D138)</f>
        <v>4948754.2054676116</v>
      </c>
      <c r="H138" s="37">
        <v>43905</v>
      </c>
      <c r="I138" s="41">
        <f ca="1">TODAY()-H138-1</f>
        <v>124</v>
      </c>
      <c r="J138" s="38">
        <f ca="1">SUM(D3:D127)/I138</f>
        <v>30380.951612903227</v>
      </c>
      <c r="K138" s="38">
        <f ca="1">J138*365</f>
        <v>11089047.338709679</v>
      </c>
      <c r="L138" s="40">
        <f ca="1">328000000/J138</f>
        <v>10796.238517449654</v>
      </c>
      <c r="M138" s="40">
        <f ca="1">L138/365</f>
        <v>29.578735664245627</v>
      </c>
    </row>
    <row r="139" spans="2:13" x14ac:dyDescent="0.25">
      <c r="B139" s="36">
        <v>44041</v>
      </c>
      <c r="C139" s="40">
        <f t="shared" si="11"/>
        <v>1188.8276492184034</v>
      </c>
      <c r="D139" s="40">
        <f t="shared" si="12"/>
        <v>148283.46591003574</v>
      </c>
      <c r="E139" s="38">
        <f>SUM(C$2:C139)</f>
        <v>154035.58840773607</v>
      </c>
      <c r="F139" s="38">
        <f>SUM(D$2:D139)</f>
        <v>5097037.6713776477</v>
      </c>
      <c r="H139" s="37">
        <v>43922</v>
      </c>
      <c r="I139" s="41">
        <f ca="1">TODAY()-H139-1</f>
        <v>107</v>
      </c>
      <c r="J139" s="38">
        <f ca="1">SUM(D20:D127)/I139</f>
        <v>33419.607476635516</v>
      </c>
      <c r="K139" s="38">
        <f ca="1">J139*365</f>
        <v>12198156.728971964</v>
      </c>
      <c r="L139" s="40">
        <f ca="1">328000000/J139</f>
        <v>9814.5976199544839</v>
      </c>
      <c r="M139" s="40">
        <f ca="1">L139/365</f>
        <v>26.889308547820505</v>
      </c>
    </row>
    <row r="140" spans="2:13" x14ac:dyDescent="0.25">
      <c r="B140" s="36">
        <v>44042</v>
      </c>
      <c r="C140" s="40">
        <f t="shared" si="11"/>
        <v>1211.6614612990791</v>
      </c>
      <c r="D140" s="40">
        <f t="shared" si="12"/>
        <v>156952.5192332291</v>
      </c>
      <c r="E140" s="38">
        <f>SUM(C$2:C140)</f>
        <v>155247.24986903515</v>
      </c>
      <c r="F140" s="38">
        <f>SUM(D$2:D140)</f>
        <v>5253990.1906108763</v>
      </c>
      <c r="H140" t="s">
        <v>319</v>
      </c>
      <c r="J140" s="38">
        <f>SUM(D2:D19)/31</f>
        <v>6261.7096774193551</v>
      </c>
    </row>
    <row r="141" spans="2:13" x14ac:dyDescent="0.25">
      <c r="B141" s="36">
        <v>44043</v>
      </c>
      <c r="C141" s="40">
        <f t="shared" si="11"/>
        <v>1238.0615086721812</v>
      </c>
      <c r="D141" s="40">
        <f t="shared" si="12"/>
        <v>166128.38891021584</v>
      </c>
      <c r="E141" s="38">
        <f>SUM(C$2:C141)</f>
        <v>156485.31137770734</v>
      </c>
      <c r="F141" s="38">
        <f>SUM(D$2:D141)</f>
        <v>5420118.5795210926</v>
      </c>
      <c r="H141" t="s">
        <v>320</v>
      </c>
      <c r="J141" s="38">
        <f>AVERAGE(D20:D49)</f>
        <v>30199.7</v>
      </c>
    </row>
    <row r="142" spans="2:13" x14ac:dyDescent="0.25">
      <c r="C142" s="40"/>
      <c r="D142" s="40"/>
      <c r="H142" t="s">
        <v>321</v>
      </c>
      <c r="J142" s="38">
        <f>AVERAGE(D50:D80)</f>
        <v>24349.774193548386</v>
      </c>
    </row>
    <row r="143" spans="2:13" x14ac:dyDescent="0.25">
      <c r="H143" t="s">
        <v>322</v>
      </c>
      <c r="J143" s="38">
        <f>AVERAGE(D81:D110)</f>
        <v>29130.266666666666</v>
      </c>
    </row>
    <row r="144" spans="2:13" x14ac:dyDescent="0.25">
      <c r="H144" s="35" t="s">
        <v>327</v>
      </c>
      <c r="J144" s="38">
        <f>AVERAGE(D111:D141)</f>
        <v>86814.954178099739</v>
      </c>
    </row>
    <row r="145" spans="8:13" x14ac:dyDescent="0.25">
      <c r="H145" s="35" t="s">
        <v>332</v>
      </c>
      <c r="I145" s="35"/>
      <c r="J145" s="38">
        <f>AVERAGE(D111:D127)</f>
        <v>61244.470588235294</v>
      </c>
      <c r="K145" s="38">
        <f>J145*365</f>
        <v>22354231.764705881</v>
      </c>
      <c r="L145" s="40">
        <f>328000000/J145</f>
        <v>5355.5855222464261</v>
      </c>
      <c r="M145" s="40">
        <f>L145/365</f>
        <v>14.672837047250482</v>
      </c>
    </row>
  </sheetData>
  <mergeCells count="3">
    <mergeCell ref="H122:I122"/>
    <mergeCell ref="H121:M121"/>
    <mergeCell ref="H133:M133"/>
  </mergeCells>
  <phoneticPr fontId="9" type="noConversion"/>
  <conditionalFormatting sqref="C2:C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"/>
  <sheetViews>
    <sheetView tabSelected="1" topLeftCell="A134" zoomScaleNormal="100" workbookViewId="0">
      <selection activeCell="F153" sqref="F153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300</v>
      </c>
      <c r="B1" t="s">
        <v>4</v>
      </c>
      <c r="C1" t="s">
        <v>2</v>
      </c>
      <c r="D1" t="s">
        <v>301</v>
      </c>
      <c r="E1" t="s">
        <v>302</v>
      </c>
    </row>
    <row r="2" spans="1:7" x14ac:dyDescent="0.25">
      <c r="A2" t="s">
        <v>303</v>
      </c>
      <c r="B2">
        <v>0</v>
      </c>
      <c r="C2" s="35">
        <v>7</v>
      </c>
      <c r="E2" t="s">
        <v>304</v>
      </c>
      <c r="F2" t="s">
        <v>305</v>
      </c>
    </row>
    <row r="3" spans="1:7" x14ac:dyDescent="0.25">
      <c r="A3" s="36">
        <v>43905</v>
      </c>
      <c r="B3">
        <v>0</v>
      </c>
      <c r="C3" s="35">
        <v>6</v>
      </c>
      <c r="D3" t="s">
        <v>307</v>
      </c>
      <c r="E3" s="37">
        <v>16682</v>
      </c>
      <c r="F3" s="37">
        <v>23841</v>
      </c>
    </row>
    <row r="4" spans="1:7" x14ac:dyDescent="0.25">
      <c r="A4" s="36">
        <v>43906</v>
      </c>
      <c r="B4">
        <v>0</v>
      </c>
      <c r="C4" s="35">
        <v>4</v>
      </c>
      <c r="D4" t="s">
        <v>313</v>
      </c>
      <c r="E4" s="37">
        <v>15321</v>
      </c>
      <c r="F4" s="37">
        <v>22383</v>
      </c>
    </row>
    <row r="5" spans="1:7" x14ac:dyDescent="0.25">
      <c r="A5" s="36">
        <v>43907</v>
      </c>
      <c r="B5">
        <v>0</v>
      </c>
      <c r="C5" s="35">
        <v>9</v>
      </c>
      <c r="D5" t="s">
        <v>314</v>
      </c>
      <c r="E5">
        <f>E3-E4</f>
        <v>1361</v>
      </c>
      <c r="F5">
        <f>F3-F4</f>
        <v>1458</v>
      </c>
    </row>
    <row r="6" spans="1:7" x14ac:dyDescent="0.25">
      <c r="A6" s="36">
        <v>43908</v>
      </c>
      <c r="B6">
        <v>0</v>
      </c>
      <c r="C6" s="35">
        <v>13</v>
      </c>
      <c r="D6" t="s">
        <v>315</v>
      </c>
      <c r="E6">
        <f>291557</f>
        <v>291557</v>
      </c>
      <c r="F6">
        <f>140414+74524</f>
        <v>214938</v>
      </c>
    </row>
    <row r="7" spans="1:7" x14ac:dyDescent="0.25">
      <c r="A7" s="36">
        <v>43909</v>
      </c>
      <c r="B7">
        <v>0</v>
      </c>
      <c r="C7" s="35">
        <v>5</v>
      </c>
      <c r="D7" t="s">
        <v>316</v>
      </c>
      <c r="E7" s="41">
        <f>E6/E5</f>
        <v>214.2226304188097</v>
      </c>
      <c r="F7" s="41">
        <f>F6/F5</f>
        <v>147.41975308641975</v>
      </c>
    </row>
    <row r="8" spans="1:7" x14ac:dyDescent="0.25">
      <c r="A8" s="36">
        <v>43910</v>
      </c>
      <c r="B8">
        <v>0</v>
      </c>
      <c r="C8" s="35">
        <v>11</v>
      </c>
      <c r="D8" t="s">
        <v>317</v>
      </c>
      <c r="E8">
        <f>E6+113842</f>
        <v>405399</v>
      </c>
      <c r="F8">
        <f>F6+224097+59297</f>
        <v>498332</v>
      </c>
    </row>
    <row r="9" spans="1:7" x14ac:dyDescent="0.25">
      <c r="A9" s="36">
        <v>43911</v>
      </c>
      <c r="B9">
        <v>0</v>
      </c>
      <c r="C9" s="35">
        <v>10</v>
      </c>
      <c r="D9" t="s">
        <v>318</v>
      </c>
      <c r="E9" s="41">
        <f>E8/E5</f>
        <v>297.86847905951504</v>
      </c>
      <c r="F9" s="41">
        <f>F8/F5</f>
        <v>341.79149519890262</v>
      </c>
    </row>
    <row r="10" spans="1:7" x14ac:dyDescent="0.25">
      <c r="A10" s="36">
        <v>43912</v>
      </c>
      <c r="B10">
        <v>0</v>
      </c>
      <c r="C10" s="35">
        <v>13</v>
      </c>
    </row>
    <row r="11" spans="1:7" x14ac:dyDescent="0.25">
      <c r="A11" s="36">
        <v>43913</v>
      </c>
      <c r="B11">
        <v>1</v>
      </c>
      <c r="C11" s="35">
        <v>23</v>
      </c>
    </row>
    <row r="12" spans="1:7" x14ac:dyDescent="0.25">
      <c r="A12" s="36">
        <v>43914</v>
      </c>
      <c r="B12">
        <v>0</v>
      </c>
      <c r="C12" s="35">
        <v>7</v>
      </c>
    </row>
    <row r="13" spans="1:7" x14ac:dyDescent="0.25">
      <c r="A13" s="36">
        <v>43915</v>
      </c>
      <c r="B13">
        <v>0</v>
      </c>
      <c r="C13" s="35">
        <v>29</v>
      </c>
    </row>
    <row r="14" spans="1:7" x14ac:dyDescent="0.25">
      <c r="A14" s="36">
        <v>43916</v>
      </c>
      <c r="B14">
        <v>0</v>
      </c>
      <c r="C14" s="35">
        <v>21</v>
      </c>
      <c r="E14">
        <f t="shared" ref="E14:E45" si="0">AVERAGE(C12:C14)/AVERAGE(C1:C14)</f>
        <v>1.5632911392405064</v>
      </c>
      <c r="F14" t="str">
        <f>IF(E14&gt;1,"Red","Green")</f>
        <v>Red</v>
      </c>
    </row>
    <row r="15" spans="1:7" x14ac:dyDescent="0.25">
      <c r="A15" s="36">
        <v>43917</v>
      </c>
      <c r="B15">
        <v>1</v>
      </c>
      <c r="C15" s="35">
        <v>29</v>
      </c>
      <c r="E15">
        <f t="shared" si="0"/>
        <v>1.9714795008912653</v>
      </c>
      <c r="F15" s="35" t="str">
        <f t="shared" ref="F15:F78" si="1">IF(E15&gt;1,"Red","Green")</f>
        <v>Red</v>
      </c>
      <c r="G15" s="35"/>
    </row>
    <row r="16" spans="1:7" x14ac:dyDescent="0.25">
      <c r="A16" s="36">
        <v>43918</v>
      </c>
      <c r="B16">
        <v>0</v>
      </c>
      <c r="C16" s="35">
        <v>27</v>
      </c>
      <c r="E16">
        <f t="shared" si="0"/>
        <v>1.7359098228663445</v>
      </c>
      <c r="F16" s="35" t="str">
        <f t="shared" si="1"/>
        <v>Red</v>
      </c>
      <c r="G16" s="35"/>
    </row>
    <row r="17" spans="1:10" x14ac:dyDescent="0.25">
      <c r="A17" s="36">
        <v>43919</v>
      </c>
      <c r="B17">
        <v>1</v>
      </c>
      <c r="C17" s="35">
        <v>44</v>
      </c>
      <c r="E17">
        <f t="shared" si="0"/>
        <v>1.9047619047619049</v>
      </c>
      <c r="F17" s="35" t="str">
        <f t="shared" si="1"/>
        <v>Red</v>
      </c>
      <c r="G17" s="35"/>
    </row>
    <row r="18" spans="1:10" x14ac:dyDescent="0.25">
      <c r="A18" s="36">
        <v>43920</v>
      </c>
      <c r="B18">
        <v>0</v>
      </c>
      <c r="C18" s="35">
        <v>56</v>
      </c>
      <c r="E18">
        <f t="shared" si="0"/>
        <v>1.9955106621773289</v>
      </c>
      <c r="F18" s="35" t="str">
        <f t="shared" si="1"/>
        <v>Red</v>
      </c>
      <c r="G18" s="35"/>
    </row>
    <row r="19" spans="1:10" x14ac:dyDescent="0.25">
      <c r="A19" s="36">
        <v>43921</v>
      </c>
      <c r="B19">
        <v>0</v>
      </c>
      <c r="C19" s="35">
        <v>53</v>
      </c>
      <c r="D19">
        <f t="shared" ref="D19:D50" si="2">AVERAGE(B16:B20)/AVERAGE(C1:C15)</f>
        <v>2.9946524064171122E-2</v>
      </c>
      <c r="E19">
        <f t="shared" si="0"/>
        <v>2.0938416422287389</v>
      </c>
      <c r="F19" s="35" t="str">
        <f t="shared" si="1"/>
        <v>Red</v>
      </c>
      <c r="G19" s="35"/>
    </row>
    <row r="20" spans="1:10" x14ac:dyDescent="0.25">
      <c r="A20" s="36">
        <v>43922</v>
      </c>
      <c r="B20">
        <v>1</v>
      </c>
      <c r="C20" s="35">
        <v>48</v>
      </c>
      <c r="D20">
        <f t="shared" si="2"/>
        <v>4.2056074766355138E-2</v>
      </c>
      <c r="E20">
        <f t="shared" si="0"/>
        <v>1.948581560283688</v>
      </c>
      <c r="F20" s="35" t="str">
        <f t="shared" si="1"/>
        <v>Red</v>
      </c>
      <c r="G20" s="35"/>
    </row>
    <row r="21" spans="1:10" x14ac:dyDescent="0.25">
      <c r="A21" s="36">
        <v>43923</v>
      </c>
      <c r="B21">
        <v>1</v>
      </c>
      <c r="C21" s="35">
        <v>64</v>
      </c>
      <c r="D21">
        <f t="shared" si="2"/>
        <v>4.7808764940239043E-2</v>
      </c>
      <c r="E21">
        <f t="shared" si="0"/>
        <v>1.7701149425287355</v>
      </c>
      <c r="F21" s="35" t="str">
        <f t="shared" si="1"/>
        <v>Red</v>
      </c>
      <c r="G21" s="35"/>
    </row>
    <row r="22" spans="1:10" x14ac:dyDescent="0.25">
      <c r="A22" s="36">
        <v>43924</v>
      </c>
      <c r="B22">
        <v>2</v>
      </c>
      <c r="C22" s="35">
        <v>61</v>
      </c>
      <c r="D22">
        <f t="shared" si="2"/>
        <v>5.9800664451827239E-2</v>
      </c>
      <c r="E22">
        <f t="shared" si="0"/>
        <v>1.6646048109965634</v>
      </c>
      <c r="F22" s="35" t="str">
        <f t="shared" si="1"/>
        <v>Red</v>
      </c>
      <c r="G22" s="35"/>
    </row>
    <row r="23" spans="1:10" x14ac:dyDescent="0.25">
      <c r="A23" s="36">
        <v>43925</v>
      </c>
      <c r="B23">
        <v>2</v>
      </c>
      <c r="C23" s="35">
        <v>81</v>
      </c>
      <c r="D23">
        <f t="shared" si="2"/>
        <v>6.8571428571428575E-2</v>
      </c>
      <c r="E23">
        <f t="shared" si="0"/>
        <v>1.7290167865707435</v>
      </c>
      <c r="F23" s="35" t="str">
        <f t="shared" si="1"/>
        <v>Red</v>
      </c>
      <c r="G23" s="35"/>
    </row>
    <row r="24" spans="1:10" x14ac:dyDescent="0.25">
      <c r="A24" s="36">
        <v>43926</v>
      </c>
      <c r="B24" s="41">
        <v>2</v>
      </c>
      <c r="C24" s="35">
        <v>48</v>
      </c>
      <c r="D24">
        <f t="shared" si="2"/>
        <v>5.3984575835475578E-2</v>
      </c>
      <c r="E24">
        <f t="shared" si="0"/>
        <v>1.5002820078962211</v>
      </c>
      <c r="F24" s="35" t="str">
        <f t="shared" si="1"/>
        <v>Red</v>
      </c>
      <c r="G24" s="35"/>
    </row>
    <row r="25" spans="1:10" x14ac:dyDescent="0.25">
      <c r="A25" s="36">
        <v>43927</v>
      </c>
      <c r="B25" s="41">
        <v>0</v>
      </c>
      <c r="C25" s="35">
        <v>46</v>
      </c>
      <c r="D25">
        <f t="shared" si="2"/>
        <v>6.8181818181818191E-2</v>
      </c>
      <c r="E25">
        <f t="shared" si="0"/>
        <v>1.3300760043431055</v>
      </c>
      <c r="F25" s="35" t="str">
        <f t="shared" si="1"/>
        <v>Red</v>
      </c>
      <c r="G25" s="35"/>
    </row>
    <row r="26" spans="1:10" x14ac:dyDescent="0.25">
      <c r="A26" s="36">
        <v>43928</v>
      </c>
      <c r="B26" s="41">
        <v>4</v>
      </c>
      <c r="C26" s="35">
        <v>32</v>
      </c>
      <c r="D26">
        <f t="shared" si="2"/>
        <v>7.8629032258064516E-2</v>
      </c>
      <c r="E26">
        <f t="shared" si="0"/>
        <v>0.92018779342723001</v>
      </c>
      <c r="F26" s="35" t="str">
        <f t="shared" si="1"/>
        <v>Green</v>
      </c>
      <c r="G26" s="35"/>
      <c r="H26" s="35"/>
      <c r="I26" s="35"/>
      <c r="J26" s="35"/>
    </row>
    <row r="27" spans="1:10" x14ac:dyDescent="0.25">
      <c r="A27" s="36">
        <v>43929</v>
      </c>
      <c r="B27" s="41">
        <v>5</v>
      </c>
      <c r="C27" s="35">
        <v>41</v>
      </c>
      <c r="D27">
        <f t="shared" si="2"/>
        <v>7.4204946996466431E-2</v>
      </c>
      <c r="E27">
        <f t="shared" si="0"/>
        <v>0.8530465949820788</v>
      </c>
      <c r="F27" s="35" t="str">
        <f t="shared" si="1"/>
        <v>Green</v>
      </c>
    </row>
    <row r="28" spans="1:10" x14ac:dyDescent="0.25">
      <c r="A28" s="36">
        <v>43930</v>
      </c>
      <c r="B28" s="41">
        <v>3</v>
      </c>
      <c r="C28" s="35">
        <v>31</v>
      </c>
      <c r="D28">
        <f t="shared" si="2"/>
        <v>6.456953642384107E-2</v>
      </c>
      <c r="E28">
        <f t="shared" si="0"/>
        <v>0.73424104891578412</v>
      </c>
      <c r="F28" s="35" t="str">
        <f t="shared" si="1"/>
        <v>Green</v>
      </c>
    </row>
    <row r="29" spans="1:10" x14ac:dyDescent="0.25">
      <c r="A29" s="36">
        <v>43931</v>
      </c>
      <c r="B29" s="41">
        <v>1</v>
      </c>
      <c r="C29" s="35">
        <v>66</v>
      </c>
      <c r="D29">
        <f t="shared" si="2"/>
        <v>6.5934065934065922E-2</v>
      </c>
      <c r="E29">
        <f t="shared" si="0"/>
        <v>0.92263610315186251</v>
      </c>
      <c r="F29" s="35" t="str">
        <f t="shared" si="1"/>
        <v>Green</v>
      </c>
    </row>
    <row r="30" spans="1:10" x14ac:dyDescent="0.25">
      <c r="A30" s="36">
        <v>43932</v>
      </c>
      <c r="B30" s="41">
        <v>1</v>
      </c>
      <c r="C30" s="35">
        <v>45</v>
      </c>
      <c r="D30">
        <f t="shared" si="2"/>
        <v>4.6439628482972131E-2</v>
      </c>
      <c r="E30">
        <f t="shared" si="0"/>
        <v>0.92551210428305397</v>
      </c>
      <c r="F30" s="35" t="str">
        <f t="shared" si="1"/>
        <v>Green</v>
      </c>
    </row>
    <row r="31" spans="1:10" x14ac:dyDescent="0.25">
      <c r="A31" s="36">
        <v>43933</v>
      </c>
      <c r="B31" s="41">
        <v>0</v>
      </c>
      <c r="C31" s="35">
        <v>57</v>
      </c>
      <c r="D31">
        <f t="shared" si="2"/>
        <v>2.2058823529411763E-2</v>
      </c>
      <c r="E31">
        <f t="shared" si="0"/>
        <v>1.075445816186557</v>
      </c>
      <c r="F31" s="35" t="str">
        <f t="shared" si="1"/>
        <v>Red</v>
      </c>
    </row>
    <row r="32" spans="1:10" x14ac:dyDescent="0.25">
      <c r="A32" s="36">
        <v>43934</v>
      </c>
      <c r="B32" s="41">
        <v>0</v>
      </c>
      <c r="C32" s="35">
        <v>35</v>
      </c>
      <c r="D32">
        <f t="shared" si="2"/>
        <v>2.6392961876832842E-2</v>
      </c>
      <c r="E32">
        <f t="shared" si="0"/>
        <v>0.90301318267419961</v>
      </c>
      <c r="F32" s="35" t="str">
        <f t="shared" si="1"/>
        <v>Green</v>
      </c>
    </row>
    <row r="33" spans="1:6" x14ac:dyDescent="0.25">
      <c r="A33" s="36">
        <v>43935</v>
      </c>
      <c r="B33" s="41">
        <v>4</v>
      </c>
      <c r="C33" s="35">
        <v>73</v>
      </c>
      <c r="D33">
        <f t="shared" si="2"/>
        <v>4.1265474552957357E-2</v>
      </c>
      <c r="E33">
        <f t="shared" si="0"/>
        <v>1.0576923076923077</v>
      </c>
      <c r="F33" s="35" t="str">
        <f t="shared" si="1"/>
        <v>Red</v>
      </c>
    </row>
    <row r="34" spans="1:6" x14ac:dyDescent="0.25">
      <c r="A34" s="36">
        <v>43936</v>
      </c>
      <c r="B34" s="41">
        <v>5</v>
      </c>
      <c r="C34" s="35">
        <v>53</v>
      </c>
      <c r="D34">
        <f t="shared" si="2"/>
        <v>4.4414535666218037E-2</v>
      </c>
      <c r="E34">
        <f t="shared" si="0"/>
        <v>1.0250113688040019</v>
      </c>
      <c r="F34" s="35" t="str">
        <f t="shared" si="1"/>
        <v>Red</v>
      </c>
    </row>
    <row r="35" spans="1:6" x14ac:dyDescent="0.25">
      <c r="A35" s="36">
        <v>43937</v>
      </c>
      <c r="B35" s="41">
        <v>2</v>
      </c>
      <c r="C35" s="35">
        <v>71</v>
      </c>
      <c r="D35">
        <f t="shared" si="2"/>
        <v>5.4333764553686929E-2</v>
      </c>
      <c r="E35">
        <f t="shared" si="0"/>
        <v>1.2423423423423425</v>
      </c>
      <c r="F35" s="35" t="str">
        <f t="shared" si="1"/>
        <v>Red</v>
      </c>
    </row>
    <row r="36" spans="1:6" x14ac:dyDescent="0.25">
      <c r="A36" s="36">
        <v>43938</v>
      </c>
      <c r="B36" s="41">
        <v>3</v>
      </c>
      <c r="C36" s="35">
        <v>78</v>
      </c>
      <c r="D36">
        <f t="shared" si="2"/>
        <v>5.8900523560209431E-2</v>
      </c>
      <c r="E36">
        <f t="shared" si="0"/>
        <v>1.2452664024658739</v>
      </c>
      <c r="F36" s="35" t="str">
        <f t="shared" si="1"/>
        <v>Red</v>
      </c>
    </row>
    <row r="37" spans="1:6" x14ac:dyDescent="0.25">
      <c r="A37" s="36">
        <v>43939</v>
      </c>
      <c r="B37" s="41">
        <v>1</v>
      </c>
      <c r="C37" s="35">
        <v>56</v>
      </c>
      <c r="D37">
        <f t="shared" si="2"/>
        <v>5.3777208706786164E-2</v>
      </c>
      <c r="E37">
        <f t="shared" si="0"/>
        <v>1.3069216757741347</v>
      </c>
      <c r="F37" s="35" t="str">
        <f t="shared" si="1"/>
        <v>Red</v>
      </c>
    </row>
    <row r="38" spans="1:6" x14ac:dyDescent="0.25">
      <c r="A38" s="36">
        <v>43940</v>
      </c>
      <c r="B38" s="41">
        <v>3</v>
      </c>
      <c r="C38" s="35">
        <v>50</v>
      </c>
      <c r="D38">
        <f t="shared" si="2"/>
        <v>3.8412291933418691E-2</v>
      </c>
      <c r="E38">
        <f t="shared" si="0"/>
        <v>1.1698455949137148</v>
      </c>
      <c r="F38" s="35" t="str">
        <f t="shared" si="1"/>
        <v>Red</v>
      </c>
    </row>
    <row r="39" spans="1:6" x14ac:dyDescent="0.25">
      <c r="A39" s="36">
        <v>43941</v>
      </c>
      <c r="B39" s="41">
        <v>1</v>
      </c>
      <c r="C39" s="35">
        <v>56</v>
      </c>
      <c r="D39">
        <f t="shared" si="2"/>
        <v>2.9850746268656716E-2</v>
      </c>
      <c r="E39">
        <f t="shared" si="0"/>
        <v>1.0161290322580645</v>
      </c>
      <c r="F39" s="35" t="str">
        <f t="shared" si="1"/>
        <v>Red</v>
      </c>
    </row>
    <row r="40" spans="1:6" x14ac:dyDescent="0.25">
      <c r="A40" s="36">
        <v>43942</v>
      </c>
      <c r="B40" s="41">
        <v>0</v>
      </c>
      <c r="C40" s="35">
        <v>44</v>
      </c>
      <c r="D40">
        <f t="shared" si="2"/>
        <v>4.0342298288508563E-2</v>
      </c>
      <c r="E40">
        <f t="shared" si="0"/>
        <v>0.92592592592592593</v>
      </c>
      <c r="F40" s="35" t="str">
        <f t="shared" si="1"/>
        <v>Green</v>
      </c>
    </row>
    <row r="41" spans="1:6" x14ac:dyDescent="0.25">
      <c r="A41" s="36">
        <v>43943</v>
      </c>
      <c r="B41" s="41">
        <v>6</v>
      </c>
      <c r="C41" s="35">
        <v>99</v>
      </c>
      <c r="D41">
        <f t="shared" si="2"/>
        <v>4.797047970479705E-2</v>
      </c>
      <c r="E41">
        <f t="shared" si="0"/>
        <v>1.1408681408681407</v>
      </c>
      <c r="F41" s="35" t="str">
        <f t="shared" si="1"/>
        <v>Red</v>
      </c>
    </row>
    <row r="42" spans="1:6" x14ac:dyDescent="0.25">
      <c r="A42" s="36">
        <v>43944</v>
      </c>
      <c r="B42" s="41">
        <v>3</v>
      </c>
      <c r="C42" s="35">
        <v>84</v>
      </c>
      <c r="D42">
        <f t="shared" si="2"/>
        <v>4.6035805626598467E-2</v>
      </c>
      <c r="E42">
        <f t="shared" si="0"/>
        <v>1.221837754709727</v>
      </c>
      <c r="F42" s="35" t="str">
        <f t="shared" si="1"/>
        <v>Red</v>
      </c>
    </row>
    <row r="43" spans="1:6" x14ac:dyDescent="0.25">
      <c r="A43" s="36">
        <v>43945</v>
      </c>
      <c r="B43" s="41">
        <v>2</v>
      </c>
      <c r="C43" s="35">
        <v>53</v>
      </c>
      <c r="D43">
        <f t="shared" si="2"/>
        <v>6.8354430379746839E-2</v>
      </c>
      <c r="E43">
        <f t="shared" si="0"/>
        <v>1.2896174863387979</v>
      </c>
      <c r="F43" s="35" t="str">
        <f t="shared" si="1"/>
        <v>Red</v>
      </c>
    </row>
    <row r="44" spans="1:6" x14ac:dyDescent="0.25">
      <c r="A44" s="36">
        <v>43946</v>
      </c>
      <c r="B44" s="41">
        <v>7</v>
      </c>
      <c r="C44" s="35">
        <v>69</v>
      </c>
      <c r="D44">
        <f t="shared" si="2"/>
        <v>6.8527918781725886E-2</v>
      </c>
      <c r="E44">
        <f t="shared" si="0"/>
        <v>1.0949126803340927</v>
      </c>
      <c r="F44" s="35" t="str">
        <f t="shared" si="1"/>
        <v>Red</v>
      </c>
    </row>
    <row r="45" spans="1:6" x14ac:dyDescent="0.25">
      <c r="A45" s="36">
        <v>43947</v>
      </c>
      <c r="B45" s="41">
        <v>0</v>
      </c>
      <c r="C45" s="35">
        <v>77</v>
      </c>
      <c r="D45">
        <f t="shared" si="2"/>
        <v>4.2105263157894736E-2</v>
      </c>
      <c r="E45">
        <f t="shared" si="0"/>
        <v>1.0341499628804751</v>
      </c>
      <c r="F45" s="35" t="str">
        <f t="shared" si="1"/>
        <v>Red</v>
      </c>
    </row>
    <row r="46" spans="1:6" x14ac:dyDescent="0.25">
      <c r="A46" s="36">
        <v>43948</v>
      </c>
      <c r="B46" s="41">
        <v>0</v>
      </c>
      <c r="C46" s="35">
        <v>75</v>
      </c>
      <c r="D46">
        <f t="shared" si="2"/>
        <v>3.0066815144766147E-2</v>
      </c>
      <c r="E46">
        <f t="shared" ref="E46:E77" si="3">AVERAGE(C44:C46)/AVERAGE(C33:C46)</f>
        <v>1.099502487562189</v>
      </c>
      <c r="F46" s="35" t="str">
        <f t="shared" si="1"/>
        <v>Red</v>
      </c>
    </row>
    <row r="47" spans="1:6" x14ac:dyDescent="0.25">
      <c r="A47" s="36">
        <v>43949</v>
      </c>
      <c r="B47" s="41">
        <v>0</v>
      </c>
      <c r="C47" s="35">
        <v>82</v>
      </c>
      <c r="D47">
        <f t="shared" si="2"/>
        <v>4.2391304347826085E-2</v>
      </c>
      <c r="E47">
        <f t="shared" si="3"/>
        <v>1.1531151003167899</v>
      </c>
      <c r="F47" s="35" t="str">
        <f t="shared" si="1"/>
        <v>Red</v>
      </c>
    </row>
    <row r="48" spans="1:6" x14ac:dyDescent="0.25">
      <c r="A48" s="36">
        <v>43950</v>
      </c>
      <c r="B48" s="41">
        <v>6</v>
      </c>
      <c r="C48" s="35">
        <v>50</v>
      </c>
      <c r="D48">
        <f t="shared" si="2"/>
        <v>3.9003250270855903E-2</v>
      </c>
      <c r="E48">
        <f t="shared" si="3"/>
        <v>1.0233050847457628</v>
      </c>
      <c r="F48" s="35" t="str">
        <f t="shared" si="1"/>
        <v>Red</v>
      </c>
    </row>
    <row r="49" spans="1:6" x14ac:dyDescent="0.25">
      <c r="A49" s="36">
        <v>43951</v>
      </c>
      <c r="B49" s="41">
        <v>6</v>
      </c>
      <c r="C49" s="35">
        <v>96</v>
      </c>
      <c r="D49">
        <f t="shared" si="2"/>
        <v>3.7696335078534031E-2</v>
      </c>
      <c r="E49">
        <f t="shared" si="3"/>
        <v>1.0980392156862746</v>
      </c>
      <c r="F49" s="35" t="str">
        <f t="shared" si="1"/>
        <v>Red</v>
      </c>
    </row>
    <row r="50" spans="1:6" x14ac:dyDescent="0.25">
      <c r="A50" s="36">
        <v>43952</v>
      </c>
      <c r="B50" s="41">
        <v>0</v>
      </c>
      <c r="C50" s="35">
        <v>164</v>
      </c>
      <c r="D50">
        <f t="shared" si="2"/>
        <v>4.6248715313463522E-2</v>
      </c>
      <c r="E50">
        <f t="shared" si="3"/>
        <v>1.3712480252764612</v>
      </c>
      <c r="F50" s="35" t="str">
        <f t="shared" si="1"/>
        <v>Red</v>
      </c>
    </row>
    <row r="51" spans="1:6" x14ac:dyDescent="0.25">
      <c r="A51" s="36">
        <v>43953</v>
      </c>
      <c r="B51" s="41">
        <v>3</v>
      </c>
      <c r="C51" s="35">
        <v>121</v>
      </c>
      <c r="D51">
        <f t="shared" ref="D51:D82" si="4">AVERAGE(B48:B52)/AVERAGE(C33:C47)</f>
        <v>4.9999999999999996E-2</v>
      </c>
      <c r="E51">
        <f t="shared" si="3"/>
        <v>1.5874999999999999</v>
      </c>
      <c r="F51" s="35" t="str">
        <f t="shared" si="1"/>
        <v>Red</v>
      </c>
    </row>
    <row r="52" spans="1:6" x14ac:dyDescent="0.25">
      <c r="A52" s="36">
        <v>43954</v>
      </c>
      <c r="B52" s="41">
        <v>2</v>
      </c>
      <c r="C52" s="35">
        <v>90</v>
      </c>
      <c r="D52">
        <f t="shared" si="4"/>
        <v>3.3099297893681046E-2</v>
      </c>
      <c r="E52">
        <f t="shared" si="3"/>
        <v>1.5086206896551724</v>
      </c>
      <c r="F52" s="35" t="str">
        <f t="shared" si="1"/>
        <v>Red</v>
      </c>
    </row>
    <row r="53" spans="1:6" x14ac:dyDescent="0.25">
      <c r="A53" s="36">
        <v>43955</v>
      </c>
      <c r="B53" s="41">
        <v>0</v>
      </c>
      <c r="C53" s="35">
        <v>72</v>
      </c>
      <c r="D53">
        <f t="shared" si="4"/>
        <v>3.1730769230769236E-2</v>
      </c>
      <c r="E53">
        <f t="shared" si="3"/>
        <v>1.123015873015873</v>
      </c>
      <c r="F53" s="35" t="str">
        <f t="shared" si="1"/>
        <v>Red</v>
      </c>
    </row>
    <row r="54" spans="1:6" x14ac:dyDescent="0.25">
      <c r="A54" s="36">
        <v>43956</v>
      </c>
      <c r="B54" s="41">
        <v>6</v>
      </c>
      <c r="C54" s="35">
        <v>50</v>
      </c>
      <c r="D54">
        <f t="shared" si="4"/>
        <v>7.9435127978817299E-2</v>
      </c>
      <c r="E54">
        <f t="shared" si="3"/>
        <v>0.83699943598420756</v>
      </c>
      <c r="F54" s="35" t="str">
        <f t="shared" si="1"/>
        <v>Green</v>
      </c>
    </row>
    <row r="55" spans="1:6" x14ac:dyDescent="0.25">
      <c r="A55" s="36">
        <v>43957</v>
      </c>
      <c r="B55" s="41">
        <v>19</v>
      </c>
      <c r="C55" s="35">
        <v>108</v>
      </c>
      <c r="D55">
        <f t="shared" si="4"/>
        <v>7.6530612244897947E-2</v>
      </c>
      <c r="E55">
        <f t="shared" si="3"/>
        <v>0.90120347047299199</v>
      </c>
      <c r="F55" s="35" t="str">
        <f t="shared" si="1"/>
        <v>Green</v>
      </c>
    </row>
    <row r="56" spans="1:6" x14ac:dyDescent="0.25">
      <c r="A56" s="36">
        <v>43958</v>
      </c>
      <c r="B56" s="41">
        <v>3</v>
      </c>
      <c r="C56" s="35">
        <v>104</v>
      </c>
      <c r="D56">
        <f t="shared" si="4"/>
        <v>8.677685950413222E-2</v>
      </c>
      <c r="E56">
        <f t="shared" si="3"/>
        <v>1.0096339113680153</v>
      </c>
      <c r="F56" s="35" t="str">
        <f t="shared" si="1"/>
        <v>Red</v>
      </c>
    </row>
    <row r="57" spans="1:6" x14ac:dyDescent="0.25">
      <c r="A57" s="36">
        <v>43959</v>
      </c>
      <c r="B57" s="41">
        <v>7</v>
      </c>
      <c r="C57" s="35">
        <v>104</v>
      </c>
      <c r="D57">
        <f t="shared" si="4"/>
        <v>0.10957792207792207</v>
      </c>
      <c r="E57">
        <f t="shared" si="3"/>
        <v>1.1685155837295298</v>
      </c>
      <c r="F57" s="35" t="str">
        <f t="shared" si="1"/>
        <v>Red</v>
      </c>
    </row>
    <row r="58" spans="1:6" x14ac:dyDescent="0.25">
      <c r="A58" s="36">
        <v>43960</v>
      </c>
      <c r="B58" s="41">
        <v>10</v>
      </c>
      <c r="C58" s="35">
        <v>71</v>
      </c>
      <c r="D58">
        <f t="shared" si="4"/>
        <v>0.10032626427406198</v>
      </c>
      <c r="E58">
        <f t="shared" si="3"/>
        <v>1.0300632911392404</v>
      </c>
      <c r="F58" s="35" t="str">
        <f t="shared" si="1"/>
        <v>Red</v>
      </c>
    </row>
    <row r="59" spans="1:6" x14ac:dyDescent="0.25">
      <c r="A59" s="36">
        <v>43961</v>
      </c>
      <c r="B59" s="41">
        <v>2</v>
      </c>
      <c r="C59" s="35">
        <v>61</v>
      </c>
      <c r="D59">
        <f t="shared" si="4"/>
        <v>5.1162790697674425E-2</v>
      </c>
      <c r="E59">
        <f t="shared" si="3"/>
        <v>0.88247863247863256</v>
      </c>
      <c r="F59" s="35" t="str">
        <f t="shared" si="1"/>
        <v>Green</v>
      </c>
    </row>
    <row r="60" spans="1:6" x14ac:dyDescent="0.25">
      <c r="A60" s="36">
        <v>43962</v>
      </c>
      <c r="B60" s="41">
        <v>0</v>
      </c>
      <c r="C60" s="35">
        <v>89</v>
      </c>
      <c r="D60">
        <f t="shared" si="4"/>
        <v>6.4864864864864868E-2</v>
      </c>
      <c r="E60">
        <f t="shared" si="3"/>
        <v>0.81722134178552575</v>
      </c>
      <c r="F60" s="35" t="str">
        <f t="shared" si="1"/>
        <v>Green</v>
      </c>
    </row>
    <row r="61" spans="1:6" x14ac:dyDescent="0.25">
      <c r="A61" s="36">
        <v>43963</v>
      </c>
      <c r="B61" s="41">
        <v>9</v>
      </c>
      <c r="C61" s="35">
        <v>81</v>
      </c>
      <c r="D61">
        <f t="shared" si="4"/>
        <v>6.6159695817490483E-2</v>
      </c>
      <c r="E61">
        <f t="shared" si="3"/>
        <v>0.85487708168120546</v>
      </c>
      <c r="F61" s="35" t="str">
        <f t="shared" si="1"/>
        <v>Green</v>
      </c>
    </row>
    <row r="62" spans="1:6" x14ac:dyDescent="0.25">
      <c r="A62" s="36">
        <v>43964</v>
      </c>
      <c r="B62" s="41">
        <v>8</v>
      </c>
      <c r="C62" s="35">
        <v>63</v>
      </c>
      <c r="D62">
        <f t="shared" si="4"/>
        <v>4.5011252813203305E-2</v>
      </c>
      <c r="E62">
        <f t="shared" si="3"/>
        <v>0.85347985347985356</v>
      </c>
      <c r="F62" s="35" t="str">
        <f t="shared" si="1"/>
        <v>Green</v>
      </c>
    </row>
    <row r="63" spans="1:6" x14ac:dyDescent="0.25">
      <c r="A63" s="36">
        <v>43965</v>
      </c>
      <c r="B63" s="41">
        <v>1</v>
      </c>
      <c r="C63" s="35">
        <v>84</v>
      </c>
      <c r="D63">
        <f t="shared" si="4"/>
        <v>5.886792452830189E-2</v>
      </c>
      <c r="E63">
        <f t="shared" si="3"/>
        <v>0.84310618066561016</v>
      </c>
      <c r="F63" s="35" t="str">
        <f t="shared" si="1"/>
        <v>Green</v>
      </c>
    </row>
    <row r="64" spans="1:6" x14ac:dyDescent="0.25">
      <c r="A64" s="36">
        <v>43966</v>
      </c>
      <c r="B64" s="41">
        <v>8</v>
      </c>
      <c r="C64" s="35">
        <v>88</v>
      </c>
      <c r="D64">
        <f t="shared" si="4"/>
        <v>8.5265519820493629E-2</v>
      </c>
      <c r="E64">
        <f t="shared" si="3"/>
        <v>0.92467678471051151</v>
      </c>
      <c r="F64" s="35" t="str">
        <f t="shared" si="1"/>
        <v>Green</v>
      </c>
    </row>
    <row r="65" spans="1:6" x14ac:dyDescent="0.25">
      <c r="A65" s="36">
        <v>43967</v>
      </c>
      <c r="B65" s="41">
        <v>12</v>
      </c>
      <c r="C65" s="35">
        <v>98</v>
      </c>
      <c r="D65">
        <f t="shared" si="4"/>
        <v>6.7014147431124355E-2</v>
      </c>
      <c r="E65">
        <f t="shared" si="3"/>
        <v>1.0834049871023217</v>
      </c>
      <c r="F65" s="35" t="str">
        <f t="shared" si="1"/>
        <v>Red</v>
      </c>
    </row>
    <row r="66" spans="1:6" x14ac:dyDescent="0.25">
      <c r="A66" s="36">
        <v>43968</v>
      </c>
      <c r="B66" s="41">
        <v>1</v>
      </c>
      <c r="C66" s="35">
        <v>41</v>
      </c>
      <c r="D66">
        <f t="shared" si="4"/>
        <v>4.9848942598187312E-2</v>
      </c>
      <c r="E66">
        <f t="shared" si="3"/>
        <v>0.95092758827049684</v>
      </c>
      <c r="F66" s="35" t="str">
        <f t="shared" si="1"/>
        <v>Green</v>
      </c>
    </row>
    <row r="67" spans="1:6" x14ac:dyDescent="0.25">
      <c r="A67" s="36">
        <v>43969</v>
      </c>
      <c r="B67" s="41">
        <v>0</v>
      </c>
      <c r="C67" s="35">
        <v>57</v>
      </c>
      <c r="D67">
        <f t="shared" si="4"/>
        <v>6.848306332842416E-2</v>
      </c>
      <c r="E67">
        <f t="shared" si="3"/>
        <v>0.83227176220806787</v>
      </c>
      <c r="F67" s="35" t="str">
        <f t="shared" si="1"/>
        <v>Green</v>
      </c>
    </row>
    <row r="68" spans="1:6" x14ac:dyDescent="0.25">
      <c r="A68" s="36">
        <v>43970</v>
      </c>
      <c r="B68" s="41">
        <v>10</v>
      </c>
      <c r="C68" s="35">
        <v>69</v>
      </c>
      <c r="D68">
        <f t="shared" si="4"/>
        <v>6.8888888888888888E-2</v>
      </c>
      <c r="E68">
        <f t="shared" si="3"/>
        <v>0.69707811568276679</v>
      </c>
      <c r="F68" s="35" t="str">
        <f t="shared" si="1"/>
        <v>Green</v>
      </c>
    </row>
    <row r="69" spans="1:6" x14ac:dyDescent="0.25">
      <c r="A69" s="36">
        <v>43971</v>
      </c>
      <c r="B69" s="41">
        <v>8</v>
      </c>
      <c r="C69" s="35">
        <v>149</v>
      </c>
      <c r="D69">
        <f t="shared" si="4"/>
        <v>6.5420560747663545E-2</v>
      </c>
      <c r="E69">
        <f t="shared" si="3"/>
        <v>1.1072763876905378</v>
      </c>
      <c r="F69" s="35" t="str">
        <f t="shared" si="1"/>
        <v>Red</v>
      </c>
    </row>
    <row r="70" spans="1:6" x14ac:dyDescent="0.25">
      <c r="A70" s="36">
        <v>43972</v>
      </c>
      <c r="B70" s="41">
        <v>9</v>
      </c>
      <c r="C70" s="35">
        <v>67</v>
      </c>
      <c r="D70">
        <f t="shared" si="4"/>
        <v>7.9734219269102999E-2</v>
      </c>
      <c r="E70">
        <f t="shared" si="3"/>
        <v>1.1853832442067738</v>
      </c>
      <c r="F70" s="35" t="str">
        <f t="shared" si="1"/>
        <v>Red</v>
      </c>
    </row>
    <row r="71" spans="1:6" x14ac:dyDescent="0.25">
      <c r="A71" s="36">
        <v>43973</v>
      </c>
      <c r="B71" s="41">
        <v>5</v>
      </c>
      <c r="C71" s="41">
        <v>81</v>
      </c>
      <c r="D71">
        <f t="shared" si="4"/>
        <v>9.2228864218616577E-2</v>
      </c>
      <c r="E71">
        <f t="shared" si="3"/>
        <v>1.2611464968152866</v>
      </c>
      <c r="F71" s="35" t="str">
        <f t="shared" si="1"/>
        <v>Red</v>
      </c>
    </row>
    <row r="72" spans="1:6" x14ac:dyDescent="0.25">
      <c r="A72" s="36">
        <v>43974</v>
      </c>
      <c r="B72" s="41">
        <v>4</v>
      </c>
      <c r="C72" s="41">
        <v>77</v>
      </c>
      <c r="D72">
        <f t="shared" si="4"/>
        <v>6.9349315068493164E-2</v>
      </c>
      <c r="E72">
        <f t="shared" si="3"/>
        <v>0.95022624434389136</v>
      </c>
      <c r="F72" s="35" t="str">
        <f t="shared" si="1"/>
        <v>Green</v>
      </c>
    </row>
    <row r="73" spans="1:6" x14ac:dyDescent="0.25">
      <c r="A73" s="36">
        <v>43975</v>
      </c>
      <c r="B73" s="41">
        <v>1</v>
      </c>
      <c r="C73" s="41">
        <v>63</v>
      </c>
      <c r="D73" s="35">
        <f t="shared" si="4"/>
        <v>4.7355958958168902E-2</v>
      </c>
      <c r="E73">
        <f t="shared" si="3"/>
        <v>0.93164709424872039</v>
      </c>
      <c r="F73" s="35" t="str">
        <f t="shared" si="1"/>
        <v>Green</v>
      </c>
    </row>
    <row r="74" spans="1:6" x14ac:dyDescent="0.25">
      <c r="A74" s="36">
        <v>43976</v>
      </c>
      <c r="B74" s="41">
        <v>1</v>
      </c>
      <c r="C74" s="41">
        <v>50</v>
      </c>
      <c r="D74" s="35">
        <f t="shared" si="4"/>
        <v>3.6704730831973897E-2</v>
      </c>
      <c r="E74" s="35">
        <f t="shared" si="3"/>
        <v>0.83021223470661665</v>
      </c>
      <c r="F74" s="35" t="str">
        <f t="shared" si="1"/>
        <v>Green</v>
      </c>
    </row>
    <row r="75" spans="1:6" x14ac:dyDescent="0.25">
      <c r="A75" s="36">
        <v>43977</v>
      </c>
      <c r="B75" s="41">
        <v>4</v>
      </c>
      <c r="C75" s="41">
        <v>34</v>
      </c>
      <c r="D75" s="35">
        <f t="shared" si="4"/>
        <v>4.738154613466334E-2</v>
      </c>
      <c r="E75" s="35">
        <f t="shared" si="3"/>
        <v>0.67189030362389812</v>
      </c>
      <c r="F75" s="35" t="str">
        <f t="shared" si="1"/>
        <v>Green</v>
      </c>
    </row>
    <row r="76" spans="1:6" x14ac:dyDescent="0.25">
      <c r="A76" s="36">
        <v>43978</v>
      </c>
      <c r="B76" s="41">
        <v>9</v>
      </c>
      <c r="C76" s="41">
        <v>56</v>
      </c>
      <c r="D76" s="35">
        <f t="shared" si="4"/>
        <v>6.1224489795918359E-2</v>
      </c>
      <c r="E76" s="35">
        <f t="shared" si="3"/>
        <v>0.64431295200525962</v>
      </c>
      <c r="F76" s="35" t="str">
        <f t="shared" si="1"/>
        <v>Green</v>
      </c>
    </row>
    <row r="77" spans="1:6" x14ac:dyDescent="0.25">
      <c r="A77" s="36">
        <v>43979</v>
      </c>
      <c r="B77" s="41">
        <v>9</v>
      </c>
      <c r="C77" s="41">
        <v>101</v>
      </c>
      <c r="D77" s="35">
        <f t="shared" si="4"/>
        <v>7.448630136986302E-2</v>
      </c>
      <c r="E77" s="35">
        <f t="shared" si="3"/>
        <v>0.86453281603621079</v>
      </c>
      <c r="F77" s="35" t="str">
        <f t="shared" si="1"/>
        <v>Green</v>
      </c>
    </row>
    <row r="78" spans="1:6" x14ac:dyDescent="0.25">
      <c r="A78" s="36">
        <v>43980</v>
      </c>
      <c r="B78" s="41">
        <v>6</v>
      </c>
      <c r="C78" s="41">
        <v>107</v>
      </c>
      <c r="D78" s="35">
        <f t="shared" si="4"/>
        <v>8.2973206568712182E-2</v>
      </c>
      <c r="E78" s="35">
        <f t="shared" ref="E78:E109" si="5">AVERAGE(C76:C78)/AVERAGE(C65:C78)</f>
        <v>1.1733333333333333</v>
      </c>
      <c r="F78" s="35" t="str">
        <f t="shared" si="1"/>
        <v>Red</v>
      </c>
    </row>
    <row r="79" spans="1:6" x14ac:dyDescent="0.25">
      <c r="A79" s="36">
        <v>43981</v>
      </c>
      <c r="B79" s="41">
        <v>4</v>
      </c>
      <c r="C79" s="41">
        <v>55</v>
      </c>
      <c r="D79" s="35">
        <f t="shared" si="4"/>
        <v>8.4392014519056258E-2</v>
      </c>
      <c r="E79" s="35">
        <f t="shared" si="5"/>
        <v>1.2188017212843429</v>
      </c>
      <c r="F79" s="35" t="str">
        <f t="shared" ref="F79:F130" si="6">IF(E79&gt;1,"Red","Green")</f>
        <v>Red</v>
      </c>
    </row>
    <row r="80" spans="1:6" x14ac:dyDescent="0.25">
      <c r="A80" s="36">
        <v>43982</v>
      </c>
      <c r="B80" s="41">
        <v>3</v>
      </c>
      <c r="C80" s="41">
        <v>106</v>
      </c>
      <c r="D80" s="35">
        <f t="shared" si="4"/>
        <v>6.1281337047353765E-2</v>
      </c>
      <c r="E80" s="35">
        <f t="shared" si="5"/>
        <v>1.1666666666666667</v>
      </c>
      <c r="F80" s="35" t="str">
        <f t="shared" si="6"/>
        <v>Red</v>
      </c>
    </row>
    <row r="81" spans="1:6" x14ac:dyDescent="0.25">
      <c r="A81" s="36">
        <v>43983</v>
      </c>
      <c r="B81" s="41">
        <v>0</v>
      </c>
      <c r="C81" s="41">
        <v>39</v>
      </c>
      <c r="D81" s="35">
        <f t="shared" si="4"/>
        <v>6.4573991031390138E-2</v>
      </c>
      <c r="E81" s="35">
        <f t="shared" si="5"/>
        <v>0.8855154965211891</v>
      </c>
      <c r="F81" s="35" t="str">
        <f t="shared" si="6"/>
        <v>Green</v>
      </c>
    </row>
    <row r="82" spans="1:6" x14ac:dyDescent="0.25">
      <c r="A82" s="36">
        <v>43984</v>
      </c>
      <c r="B82" s="41">
        <v>11</v>
      </c>
      <c r="C82" s="41">
        <v>65</v>
      </c>
      <c r="D82" s="35">
        <f t="shared" si="4"/>
        <v>7.1177504393673124E-2</v>
      </c>
      <c r="E82" s="35">
        <f t="shared" si="5"/>
        <v>0.93333333333333335</v>
      </c>
      <c r="F82" s="35" t="str">
        <f t="shared" si="6"/>
        <v>Green</v>
      </c>
    </row>
    <row r="83" spans="1:6" x14ac:dyDescent="0.25">
      <c r="A83" s="36">
        <v>43985</v>
      </c>
      <c r="B83" s="41">
        <v>9</v>
      </c>
      <c r="C83" s="41">
        <v>47</v>
      </c>
      <c r="D83" s="35">
        <f t="shared" ref="D83:D114" si="7">AVERAGE(B80:B84)/AVERAGE(C65:C79)</f>
        <v>8.4162895927601802E-2</v>
      </c>
      <c r="E83" s="35">
        <f t="shared" si="5"/>
        <v>0.7433192686357244</v>
      </c>
      <c r="F83" s="35" t="str">
        <f t="shared" si="6"/>
        <v>Green</v>
      </c>
    </row>
    <row r="84" spans="1:6" x14ac:dyDescent="0.25">
      <c r="A84" s="36">
        <v>43986</v>
      </c>
      <c r="B84" s="41">
        <v>8</v>
      </c>
      <c r="C84" s="41">
        <v>81</v>
      </c>
      <c r="D84" s="35">
        <f t="shared" si="7"/>
        <v>8.8948787061994605E-2</v>
      </c>
      <c r="E84" s="35">
        <f t="shared" si="5"/>
        <v>0.9362439362439362</v>
      </c>
      <c r="F84" s="35" t="str">
        <f t="shared" si="6"/>
        <v>Green</v>
      </c>
    </row>
    <row r="85" spans="1:6" x14ac:dyDescent="0.25">
      <c r="A85" s="36">
        <v>43987</v>
      </c>
      <c r="B85" s="41">
        <v>5</v>
      </c>
      <c r="C85" s="41">
        <v>80</v>
      </c>
      <c r="D85" s="35">
        <f t="shared" si="7"/>
        <v>0.10261026102610261</v>
      </c>
      <c r="E85" s="35">
        <f t="shared" si="5"/>
        <v>1.0100589663544919</v>
      </c>
      <c r="F85" s="35" t="str">
        <f t="shared" si="6"/>
        <v>Red</v>
      </c>
    </row>
    <row r="86" spans="1:6" x14ac:dyDescent="0.25">
      <c r="A86" s="36">
        <v>43988</v>
      </c>
      <c r="B86" s="41">
        <v>5</v>
      </c>
      <c r="C86" s="41">
        <v>74</v>
      </c>
      <c r="D86" s="35">
        <f t="shared" si="7"/>
        <v>8.0428954423592505E-2</v>
      </c>
      <c r="E86" s="35">
        <f t="shared" si="5"/>
        <v>1.1447459986082114</v>
      </c>
      <c r="F86" s="35" t="str">
        <f t="shared" si="6"/>
        <v>Red</v>
      </c>
    </row>
    <row r="87" spans="1:6" x14ac:dyDescent="0.25">
      <c r="A87" s="36">
        <v>43989</v>
      </c>
      <c r="B87" s="41">
        <v>3</v>
      </c>
      <c r="C87" s="41">
        <v>26</v>
      </c>
      <c r="D87" s="35">
        <f t="shared" si="7"/>
        <v>5.7429352780309931E-2</v>
      </c>
      <c r="E87" s="35">
        <f t="shared" si="5"/>
        <v>0.91205211726384361</v>
      </c>
      <c r="F87" s="35" t="str">
        <f t="shared" si="6"/>
        <v>Green</v>
      </c>
    </row>
    <row r="88" spans="1:6" x14ac:dyDescent="0.25">
      <c r="A88" s="36">
        <v>43990</v>
      </c>
      <c r="B88" s="41">
        <v>0</v>
      </c>
      <c r="C88" s="41">
        <v>37</v>
      </c>
      <c r="D88" s="35">
        <f t="shared" si="7"/>
        <v>6.1224489795918373E-2</v>
      </c>
      <c r="E88" s="35">
        <f t="shared" si="5"/>
        <v>0.70411160058737143</v>
      </c>
      <c r="F88" s="35" t="str">
        <f t="shared" si="6"/>
        <v>Green</v>
      </c>
    </row>
    <row r="89" spans="1:6" x14ac:dyDescent="0.25">
      <c r="A89" s="36">
        <v>43991</v>
      </c>
      <c r="B89" s="41">
        <v>8</v>
      </c>
      <c r="C89" s="41">
        <v>53</v>
      </c>
      <c r="D89" s="35">
        <f t="shared" si="7"/>
        <v>6.6218809980806134E-2</v>
      </c>
      <c r="E89" s="35">
        <f t="shared" si="5"/>
        <v>0.5839626033800791</v>
      </c>
      <c r="F89" s="35" t="str">
        <f t="shared" si="6"/>
        <v>Green</v>
      </c>
    </row>
    <row r="90" spans="1:6" x14ac:dyDescent="0.25">
      <c r="A90" s="36">
        <v>43992</v>
      </c>
      <c r="B90" s="41">
        <v>7</v>
      </c>
      <c r="C90" s="41">
        <v>54</v>
      </c>
      <c r="D90" s="35">
        <f t="shared" si="7"/>
        <v>7.2463768115942032E-2</v>
      </c>
      <c r="E90" s="35">
        <f t="shared" si="5"/>
        <v>0.7264864864864865</v>
      </c>
      <c r="F90" s="35" t="str">
        <f t="shared" si="6"/>
        <v>Green</v>
      </c>
    </row>
    <row r="91" spans="1:6" x14ac:dyDescent="0.25">
      <c r="A91" s="36">
        <v>43993</v>
      </c>
      <c r="B91" s="41">
        <v>7</v>
      </c>
      <c r="C91" s="41">
        <v>34</v>
      </c>
      <c r="D91" s="35">
        <f t="shared" si="7"/>
        <v>8.8414634146341473E-2</v>
      </c>
      <c r="E91" s="35">
        <f t="shared" si="5"/>
        <v>0.76689976689976691</v>
      </c>
      <c r="F91" s="35" t="str">
        <f t="shared" si="6"/>
        <v>Green</v>
      </c>
    </row>
    <row r="92" spans="1:6" x14ac:dyDescent="0.25">
      <c r="A92" s="36">
        <v>43994</v>
      </c>
      <c r="B92" s="41">
        <v>7</v>
      </c>
      <c r="C92" s="41">
        <v>46</v>
      </c>
      <c r="D92" s="35">
        <f t="shared" si="7"/>
        <v>0.10020876826722339</v>
      </c>
      <c r="E92" s="35">
        <f t="shared" si="5"/>
        <v>0.78460895023002919</v>
      </c>
      <c r="F92" s="35" t="str">
        <f t="shared" si="6"/>
        <v>Green</v>
      </c>
    </row>
    <row r="93" spans="1:6" x14ac:dyDescent="0.25">
      <c r="A93" s="36">
        <v>43995</v>
      </c>
      <c r="B93" s="41">
        <v>3</v>
      </c>
      <c r="C93" s="41">
        <v>49</v>
      </c>
      <c r="D93" s="35">
        <f t="shared" si="7"/>
        <v>8.1165452653485959E-2</v>
      </c>
      <c r="E93" s="35">
        <f t="shared" si="5"/>
        <v>0.76106194690265483</v>
      </c>
      <c r="F93" s="35" t="str">
        <f t="shared" si="6"/>
        <v>Green</v>
      </c>
    </row>
    <row r="94" spans="1:6" x14ac:dyDescent="0.25">
      <c r="A94" s="36">
        <v>43996</v>
      </c>
      <c r="B94" s="41">
        <v>2</v>
      </c>
      <c r="C94" s="41">
        <v>21</v>
      </c>
      <c r="D94" s="35">
        <f t="shared" si="7"/>
        <v>5.810397553516819E-2</v>
      </c>
      <c r="E94" s="35">
        <f t="shared" si="5"/>
        <v>0.76676109537299331</v>
      </c>
      <c r="F94" s="35" t="str">
        <f t="shared" si="6"/>
        <v>Green</v>
      </c>
    </row>
    <row r="95" spans="1:6" x14ac:dyDescent="0.25">
      <c r="A95" s="36">
        <v>43997</v>
      </c>
      <c r="B95" s="41">
        <v>0</v>
      </c>
      <c r="C95" s="41">
        <v>27</v>
      </c>
      <c r="D95" s="35">
        <f t="shared" si="7"/>
        <v>5.6308654848800842E-2</v>
      </c>
      <c r="E95" s="35">
        <f t="shared" si="5"/>
        <v>0.65225744476464942</v>
      </c>
      <c r="F95" s="35" t="str">
        <f t="shared" si="6"/>
        <v>Green</v>
      </c>
    </row>
    <row r="96" spans="1:6" x14ac:dyDescent="0.25">
      <c r="A96" s="36">
        <v>43998</v>
      </c>
      <c r="B96" s="41">
        <v>6</v>
      </c>
      <c r="C96" s="41">
        <v>27</v>
      </c>
      <c r="D96" s="35">
        <f t="shared" si="7"/>
        <v>4.9778761061946904E-2</v>
      </c>
      <c r="E96" s="35">
        <f t="shared" si="5"/>
        <v>0.53353658536585369</v>
      </c>
      <c r="F96" s="35" t="str">
        <f t="shared" si="6"/>
        <v>Green</v>
      </c>
    </row>
    <row r="97" spans="1:6" x14ac:dyDescent="0.25">
      <c r="A97" s="36">
        <v>43999</v>
      </c>
      <c r="B97" s="41">
        <v>4</v>
      </c>
      <c r="C97" s="41">
        <v>73</v>
      </c>
      <c r="D97" s="35">
        <f t="shared" si="7"/>
        <v>4.6099290780141848E-2</v>
      </c>
      <c r="E97" s="35">
        <f t="shared" si="5"/>
        <v>0.86901270772238515</v>
      </c>
      <c r="F97" s="35" t="str">
        <f t="shared" si="6"/>
        <v>Green</v>
      </c>
    </row>
    <row r="98" spans="1:6" x14ac:dyDescent="0.25">
      <c r="A98" s="36">
        <v>44000</v>
      </c>
      <c r="B98" s="41">
        <v>1</v>
      </c>
      <c r="C98" s="41">
        <v>17</v>
      </c>
      <c r="D98" s="35">
        <f t="shared" si="7"/>
        <v>6.2807881773399007E-2</v>
      </c>
      <c r="E98" s="35">
        <f t="shared" si="5"/>
        <v>0.8834951456310679</v>
      </c>
      <c r="F98" s="35" t="str">
        <f t="shared" si="6"/>
        <v>Green</v>
      </c>
    </row>
    <row r="99" spans="1:6" x14ac:dyDescent="0.25">
      <c r="A99" s="36">
        <v>44001</v>
      </c>
      <c r="B99" s="41">
        <v>6</v>
      </c>
      <c r="C99" s="41">
        <v>37</v>
      </c>
      <c r="D99" s="35">
        <f t="shared" si="7"/>
        <v>7.7762619372442013E-2</v>
      </c>
      <c r="E99" s="35">
        <f t="shared" si="5"/>
        <v>1.0307246376811596</v>
      </c>
      <c r="F99" s="35" t="str">
        <f t="shared" si="6"/>
        <v>Red</v>
      </c>
    </row>
    <row r="100" spans="1:6" x14ac:dyDescent="0.25">
      <c r="A100" s="36">
        <v>44002</v>
      </c>
      <c r="B100" s="41">
        <v>2</v>
      </c>
      <c r="C100" s="41">
        <v>37</v>
      </c>
      <c r="D100" s="35">
        <f t="shared" si="7"/>
        <v>5.4091539528432729E-2</v>
      </c>
      <c r="E100" s="35">
        <f t="shared" si="5"/>
        <v>0.78934324659231714</v>
      </c>
      <c r="F100" s="35" t="str">
        <f t="shared" si="6"/>
        <v>Green</v>
      </c>
    </row>
    <row r="101" spans="1:6" x14ac:dyDescent="0.25">
      <c r="A101" s="36">
        <v>44003</v>
      </c>
      <c r="B101" s="41">
        <v>0</v>
      </c>
      <c r="C101" s="41">
        <v>27</v>
      </c>
      <c r="D101" s="35">
        <f t="shared" si="7"/>
        <v>3.7037037037037035E-2</v>
      </c>
      <c r="E101" s="35">
        <f t="shared" si="5"/>
        <v>0.87445887445887438</v>
      </c>
      <c r="F101" s="35" t="str">
        <f t="shared" si="6"/>
        <v>Green</v>
      </c>
    </row>
    <row r="102" spans="1:6" x14ac:dyDescent="0.25">
      <c r="A102" s="36">
        <v>44004</v>
      </c>
      <c r="B102" s="41">
        <v>0</v>
      </c>
      <c r="C102" s="41">
        <v>15</v>
      </c>
      <c r="D102" s="35">
        <f t="shared" si="7"/>
        <v>5.1502145922746781E-2</v>
      </c>
      <c r="E102" s="35">
        <f t="shared" si="5"/>
        <v>0.71308833010960659</v>
      </c>
      <c r="F102" s="35" t="str">
        <f t="shared" si="6"/>
        <v>Green</v>
      </c>
    </row>
    <row r="103" spans="1:6" x14ac:dyDescent="0.25">
      <c r="A103" s="36">
        <v>44005</v>
      </c>
      <c r="B103" s="41">
        <v>4</v>
      </c>
      <c r="C103" s="41">
        <v>15</v>
      </c>
      <c r="D103" s="35">
        <f t="shared" si="7"/>
        <v>4.5801526717557252E-2</v>
      </c>
      <c r="E103" s="35">
        <f t="shared" si="5"/>
        <v>0.55532359081419624</v>
      </c>
      <c r="F103" s="35" t="str">
        <f t="shared" si="6"/>
        <v>Green</v>
      </c>
    </row>
    <row r="104" spans="1:6" x14ac:dyDescent="0.25">
      <c r="A104" s="36">
        <v>44006</v>
      </c>
      <c r="B104" s="41">
        <v>4</v>
      </c>
      <c r="C104" s="41">
        <v>27</v>
      </c>
      <c r="D104" s="35">
        <f t="shared" si="7"/>
        <v>8.8235294117647065E-2</v>
      </c>
      <c r="E104" s="35">
        <f t="shared" si="5"/>
        <v>0.58849557522123896</v>
      </c>
      <c r="F104" s="35" t="str">
        <f t="shared" si="6"/>
        <v>Green</v>
      </c>
    </row>
    <row r="105" spans="1:6" x14ac:dyDescent="0.25">
      <c r="A105" s="36">
        <v>44007</v>
      </c>
      <c r="B105" s="41">
        <v>10</v>
      </c>
      <c r="C105" s="41">
        <v>40</v>
      </c>
      <c r="D105" s="35">
        <f t="shared" si="7"/>
        <v>0.13805309734513277</v>
      </c>
      <c r="E105" s="35">
        <f t="shared" si="5"/>
        <v>0.83551673944687044</v>
      </c>
      <c r="F105" s="35" t="str">
        <f t="shared" si="6"/>
        <v>Green</v>
      </c>
    </row>
    <row r="106" spans="1:6" x14ac:dyDescent="0.25">
      <c r="A106" s="36">
        <v>44008</v>
      </c>
      <c r="B106" s="41">
        <v>8</v>
      </c>
      <c r="C106" s="41">
        <v>34</v>
      </c>
      <c r="D106" s="35">
        <f t="shared" si="7"/>
        <v>0.15162454873646211</v>
      </c>
      <c r="E106" s="35">
        <f t="shared" si="5"/>
        <v>1.0568011958146486</v>
      </c>
      <c r="F106" s="35" t="str">
        <f t="shared" si="6"/>
        <v>Red</v>
      </c>
    </row>
    <row r="107" spans="1:6" x14ac:dyDescent="0.25">
      <c r="A107" s="36">
        <v>44009</v>
      </c>
      <c r="B107" s="41">
        <v>2</v>
      </c>
      <c r="C107" s="41">
        <v>51</v>
      </c>
      <c r="D107" s="35">
        <f t="shared" si="7"/>
        <v>0.13533834586466165</v>
      </c>
      <c r="E107" s="35">
        <f t="shared" si="5"/>
        <v>1.3020833333333333</v>
      </c>
      <c r="F107" s="35" t="str">
        <f t="shared" si="6"/>
        <v>Red</v>
      </c>
    </row>
    <row r="108" spans="1:6" x14ac:dyDescent="0.25">
      <c r="A108" s="36">
        <v>44010</v>
      </c>
      <c r="B108" s="41">
        <v>0</v>
      </c>
      <c r="C108" s="41">
        <v>31</v>
      </c>
      <c r="D108" s="35">
        <f t="shared" si="7"/>
        <v>0.11857707509881422</v>
      </c>
      <c r="E108" s="35">
        <f t="shared" si="5"/>
        <v>1.1819505094614264</v>
      </c>
      <c r="F108" s="35" t="str">
        <f t="shared" si="6"/>
        <v>Red</v>
      </c>
    </row>
    <row r="109" spans="1:6" x14ac:dyDescent="0.25">
      <c r="A109" s="36">
        <v>44011</v>
      </c>
      <c r="B109" s="41">
        <v>0</v>
      </c>
      <c r="C109" s="41">
        <v>14</v>
      </c>
      <c r="D109" s="35">
        <f t="shared" si="7"/>
        <v>8.5365853658536592E-2</v>
      </c>
      <c r="E109" s="35">
        <f t="shared" si="5"/>
        <v>1.0067415730337079</v>
      </c>
      <c r="F109" s="35" t="str">
        <f t="shared" si="6"/>
        <v>Red</v>
      </c>
    </row>
    <row r="110" spans="1:6" x14ac:dyDescent="0.25">
      <c r="A110" s="36">
        <v>44012</v>
      </c>
      <c r="B110" s="41">
        <v>4</v>
      </c>
      <c r="C110" s="41">
        <v>22</v>
      </c>
      <c r="D110" s="35">
        <f t="shared" si="7"/>
        <v>4.8780487804878057E-2</v>
      </c>
      <c r="E110" s="35">
        <f t="shared" ref="E110:E117" si="8">AVERAGE(C108:C110)/AVERAGE(C97:C110)</f>
        <v>0.71060606060606057</v>
      </c>
      <c r="F110" s="35" t="str">
        <f t="shared" si="6"/>
        <v>Green</v>
      </c>
    </row>
    <row r="111" spans="1:6" x14ac:dyDescent="0.25">
      <c r="A111" s="36">
        <v>44013</v>
      </c>
      <c r="B111" s="41">
        <v>2</v>
      </c>
      <c r="C111" s="41">
        <v>20</v>
      </c>
      <c r="D111" s="35">
        <f t="shared" si="7"/>
        <v>4.8289738430583505E-2</v>
      </c>
      <c r="E111" s="35">
        <f t="shared" si="8"/>
        <v>0.67527993109388462</v>
      </c>
      <c r="F111" s="35" t="str">
        <f t="shared" si="6"/>
        <v>Green</v>
      </c>
    </row>
    <row r="112" spans="1:6" x14ac:dyDescent="0.25">
      <c r="A112" s="36">
        <v>44014</v>
      </c>
      <c r="B112" s="41">
        <v>2</v>
      </c>
      <c r="C112" s="41">
        <v>21</v>
      </c>
      <c r="D112" s="35">
        <f t="shared" si="7"/>
        <v>5.6367432150313153E-2</v>
      </c>
      <c r="E112" s="35">
        <f t="shared" si="8"/>
        <v>0.751918158567775</v>
      </c>
      <c r="F112" s="35" t="str">
        <f t="shared" si="6"/>
        <v>Green</v>
      </c>
    </row>
    <row r="113" spans="1:6" x14ac:dyDescent="0.25">
      <c r="A113" s="36">
        <v>44015</v>
      </c>
      <c r="B113" s="41">
        <v>1</v>
      </c>
      <c r="C113" s="41">
        <v>38</v>
      </c>
      <c r="D113" s="35">
        <f t="shared" si="7"/>
        <v>8.2627118644067798E-2</v>
      </c>
      <c r="E113" s="35">
        <f t="shared" si="8"/>
        <v>0.94047619047619047</v>
      </c>
      <c r="F113" s="35" t="str">
        <f t="shared" si="6"/>
        <v>Green</v>
      </c>
    </row>
    <row r="114" spans="1:6" x14ac:dyDescent="0.25">
      <c r="A114" s="36">
        <v>44016</v>
      </c>
      <c r="B114" s="41">
        <v>4</v>
      </c>
      <c r="C114" s="41">
        <v>0</v>
      </c>
      <c r="D114" s="35">
        <f t="shared" si="7"/>
        <v>6.4239828693790149E-2</v>
      </c>
      <c r="E114" s="35">
        <f t="shared" si="8"/>
        <v>0.7755868544600939</v>
      </c>
      <c r="F114" s="35" t="str">
        <f t="shared" si="6"/>
        <v>Green</v>
      </c>
    </row>
    <row r="115" spans="1:6" x14ac:dyDescent="0.25">
      <c r="A115" s="36">
        <v>44017</v>
      </c>
      <c r="B115" s="41">
        <v>1</v>
      </c>
      <c r="C115" s="41">
        <v>43</v>
      </c>
      <c r="D115" s="35">
        <f t="shared" ref="D115:D116" si="9">AVERAGE(B112:B116)/AVERAGE(C97:C111)</f>
        <v>5.8695652173913045E-2</v>
      </c>
      <c r="E115" s="35">
        <f t="shared" si="8"/>
        <v>1.0188679245283019</v>
      </c>
      <c r="F115" s="35" t="str">
        <f t="shared" si="6"/>
        <v>Red</v>
      </c>
    </row>
    <row r="116" spans="1:6" x14ac:dyDescent="0.25">
      <c r="A116" s="36">
        <v>44018</v>
      </c>
      <c r="B116" s="41">
        <v>1</v>
      </c>
      <c r="C116" s="41">
        <v>21</v>
      </c>
      <c r="D116" s="35">
        <f t="shared" si="9"/>
        <v>6.6176470588235295E-2</v>
      </c>
      <c r="E116" s="35">
        <f t="shared" si="8"/>
        <v>0.79221927497789568</v>
      </c>
      <c r="F116" s="35" t="str">
        <f t="shared" si="6"/>
        <v>Green</v>
      </c>
    </row>
    <row r="117" spans="1:6" x14ac:dyDescent="0.25">
      <c r="A117" s="36">
        <v>44019</v>
      </c>
      <c r="B117" s="41">
        <v>2</v>
      </c>
      <c r="C117" s="41">
        <v>19</v>
      </c>
      <c r="D117" s="35">
        <f t="shared" ref="D117:D126" si="10">AVERAGE(B114:B118)/AVERAGE(C99:C113)</f>
        <v>6.9930069930069921E-2</v>
      </c>
      <c r="E117" s="35">
        <f t="shared" si="8"/>
        <v>1.0166229221347332</v>
      </c>
      <c r="F117" s="35" t="str">
        <f t="shared" si="6"/>
        <v>Red</v>
      </c>
    </row>
    <row r="118" spans="1:6" x14ac:dyDescent="0.25">
      <c r="A118" s="36">
        <v>44020</v>
      </c>
      <c r="B118" s="41">
        <v>2</v>
      </c>
      <c r="C118" s="41">
        <v>20</v>
      </c>
      <c r="D118" s="35">
        <f t="shared" si="10"/>
        <v>5.3571428571428568E-2</v>
      </c>
      <c r="E118" s="35">
        <f t="shared" ref="E118:E127" si="11">AVERAGE(C116:C118)/AVERAGE(C105:C118)</f>
        <v>0.74866310160427807</v>
      </c>
      <c r="F118" s="35" t="str">
        <f t="shared" si="6"/>
        <v>Green</v>
      </c>
    </row>
    <row r="119" spans="1:6" x14ac:dyDescent="0.25">
      <c r="A119" s="36">
        <v>44021</v>
      </c>
      <c r="B119" s="41">
        <v>1</v>
      </c>
      <c r="C119" s="41">
        <v>21</v>
      </c>
      <c r="D119" s="35">
        <f t="shared" si="10"/>
        <v>6.78391959798995E-2</v>
      </c>
      <c r="E119" s="35">
        <f t="shared" si="11"/>
        <v>0.78873239436619713</v>
      </c>
      <c r="F119" s="35" t="str">
        <f t="shared" si="6"/>
        <v>Green</v>
      </c>
    </row>
    <row r="120" spans="1:6" x14ac:dyDescent="0.25">
      <c r="A120" s="36">
        <v>44022</v>
      </c>
      <c r="B120" s="41">
        <v>3</v>
      </c>
      <c r="C120" s="41">
        <v>18</v>
      </c>
      <c r="D120" s="35">
        <f t="shared" si="10"/>
        <v>6.887755102040817E-2</v>
      </c>
      <c r="E120" s="35">
        <f t="shared" si="11"/>
        <v>0.81219272369714846</v>
      </c>
      <c r="F120" s="35" t="str">
        <f t="shared" si="6"/>
        <v>Green</v>
      </c>
    </row>
    <row r="121" spans="1:6" x14ac:dyDescent="0.25">
      <c r="A121" s="36">
        <v>44023</v>
      </c>
      <c r="B121" s="41">
        <v>1</v>
      </c>
      <c r="C121" s="41">
        <v>33</v>
      </c>
      <c r="D121" s="35">
        <f t="shared" si="10"/>
        <v>5.3030303030303032E-2</v>
      </c>
      <c r="E121" s="35">
        <f t="shared" si="11"/>
        <v>1.0467289719626169</v>
      </c>
      <c r="F121" s="35" t="str">
        <f t="shared" si="6"/>
        <v>Red</v>
      </c>
    </row>
    <row r="122" spans="1:6" x14ac:dyDescent="0.25">
      <c r="A122" s="36">
        <v>44024</v>
      </c>
      <c r="B122" s="41">
        <v>0</v>
      </c>
      <c r="C122" s="41">
        <v>31</v>
      </c>
      <c r="D122" s="35">
        <f t="shared" si="10"/>
        <v>3.7406483790523692E-2</v>
      </c>
      <c r="E122" s="35">
        <f t="shared" si="11"/>
        <v>1.1921079958463137</v>
      </c>
      <c r="F122" s="35" t="str">
        <f t="shared" si="6"/>
        <v>Red</v>
      </c>
    </row>
    <row r="123" spans="1:6" x14ac:dyDescent="0.25">
      <c r="A123" s="36">
        <v>44025</v>
      </c>
      <c r="B123" s="41">
        <v>0</v>
      </c>
      <c r="C123" s="41">
        <v>16</v>
      </c>
      <c r="D123" s="35">
        <f t="shared" si="10"/>
        <v>3.7974683544303799E-2</v>
      </c>
      <c r="E123" s="35">
        <f t="shared" si="11"/>
        <v>1.1558307533539731</v>
      </c>
      <c r="F123" s="35" t="str">
        <f t="shared" si="6"/>
        <v>Red</v>
      </c>
    </row>
    <row r="124" spans="1:6" x14ac:dyDescent="0.25">
      <c r="A124" s="36">
        <v>44026</v>
      </c>
      <c r="B124" s="41">
        <v>1</v>
      </c>
      <c r="C124" s="41">
        <v>23</v>
      </c>
      <c r="D124" s="35">
        <f t="shared" si="10"/>
        <v>3.2171581769436998E-2</v>
      </c>
      <c r="E124" s="35">
        <f t="shared" si="11"/>
        <v>1.0082304526748971</v>
      </c>
      <c r="F124" s="35" t="str">
        <f t="shared" si="6"/>
        <v>Red</v>
      </c>
    </row>
    <row r="125" spans="1:6" x14ac:dyDescent="0.25">
      <c r="A125" s="36">
        <v>44027</v>
      </c>
      <c r="B125" s="41">
        <v>2</v>
      </c>
      <c r="C125" s="41">
        <v>24</v>
      </c>
      <c r="D125" s="35">
        <f t="shared" si="10"/>
        <v>3.2258064516129031E-2</v>
      </c>
      <c r="E125" s="35">
        <f t="shared" si="11"/>
        <v>0.89634146341463417</v>
      </c>
      <c r="F125" s="35" t="str">
        <f t="shared" si="6"/>
        <v>Green</v>
      </c>
    </row>
    <row r="126" spans="1:6" x14ac:dyDescent="0.25">
      <c r="A126" s="36">
        <v>44028</v>
      </c>
      <c r="B126" s="41">
        <v>1</v>
      </c>
      <c r="C126" s="41">
        <v>27</v>
      </c>
      <c r="D126" s="35">
        <f t="shared" si="10"/>
        <v>3.4090909090909095E-2</v>
      </c>
      <c r="E126" s="35">
        <f t="shared" si="11"/>
        <v>1.0339321357285429</v>
      </c>
      <c r="F126" s="35" t="str">
        <f>IF(E126&gt;1,"Red","Green")</f>
        <v>Red</v>
      </c>
    </row>
    <row r="127" spans="1:6" x14ac:dyDescent="0.25">
      <c r="A127" s="36">
        <v>44029</v>
      </c>
      <c r="B127" s="41">
        <v>0</v>
      </c>
      <c r="C127" s="41">
        <v>26</v>
      </c>
      <c r="D127" s="35">
        <f t="shared" ref="D125:D127" si="12">AVERAGE(D113:D126)</f>
        <v>5.4206381524529855E-2</v>
      </c>
      <c r="E127" s="35">
        <f t="shared" si="11"/>
        <v>1.1159420289855073</v>
      </c>
      <c r="F127" s="35" t="str">
        <f t="shared" si="6"/>
        <v>Red</v>
      </c>
    </row>
    <row r="128" spans="1:6" x14ac:dyDescent="0.25">
      <c r="A128" s="36">
        <v>44030</v>
      </c>
      <c r="B128" s="40">
        <f>$D$127*AVERAGE(C121:C127)</f>
        <v>1.3938783820593392</v>
      </c>
      <c r="C128" s="40">
        <f>AVERAGE(C121:C127)*AVERAGE($E$121:$E$127)</f>
        <v>27.364091517427905</v>
      </c>
      <c r="D128" t="s">
        <v>326</v>
      </c>
      <c r="E128" s="38"/>
      <c r="F128" s="35" t="str">
        <f t="shared" si="6"/>
        <v>Green</v>
      </c>
    </row>
    <row r="129" spans="1:12" x14ac:dyDescent="0.25">
      <c r="A129" s="36">
        <v>44031</v>
      </c>
      <c r="B129" s="40">
        <f t="shared" ref="B129:B141" si="13">$D$127*AVERAGE(C122:C128)</f>
        <v>1.3502352098531052</v>
      </c>
      <c r="C129" s="40">
        <f t="shared" ref="C129:C141" si="14">AVERAGE(C122:C128)*AVERAGE($E$121:$E$127)</f>
        <v>26.507305320200398</v>
      </c>
      <c r="D129" s="38">
        <f>SUM(B$2:B129)</f>
        <v>390.74411359191242</v>
      </c>
      <c r="E129" s="38">
        <f>SUM(C$2:C129)</f>
        <v>6403.8713968376287</v>
      </c>
      <c r="F129" s="35" t="str">
        <f t="shared" si="6"/>
        <v>Red</v>
      </c>
    </row>
    <row r="130" spans="1:12" x14ac:dyDescent="0.25">
      <c r="A130" s="36">
        <v>44032</v>
      </c>
      <c r="B130" s="40">
        <f t="shared" si="13"/>
        <v>1.315444821012185</v>
      </c>
      <c r="C130" s="40">
        <f t="shared" si="14"/>
        <v>25.824313606989858</v>
      </c>
      <c r="D130" s="38">
        <f>SUM(B$2:B130)</f>
        <v>392.05955841292462</v>
      </c>
      <c r="E130" s="38">
        <f>SUM(C$2:C130)</f>
        <v>6429.6957104446183</v>
      </c>
      <c r="F130" s="35" t="str">
        <f t="shared" si="6"/>
        <v>Red</v>
      </c>
    </row>
    <row r="131" spans="1:12" x14ac:dyDescent="0.25">
      <c r="A131" s="36">
        <v>44033</v>
      </c>
      <c r="B131" s="40">
        <f t="shared" si="13"/>
        <v>1.3915220340974881</v>
      </c>
      <c r="C131" s="40">
        <f t="shared" si="14"/>
        <v>27.317832588309759</v>
      </c>
      <c r="D131" s="38">
        <f>SUM(B$2:B131)</f>
        <v>393.45108044702209</v>
      </c>
      <c r="E131" s="38">
        <f>SUM(C$2:C131)</f>
        <v>6457.0135430329283</v>
      </c>
      <c r="F131" s="73" t="s">
        <v>342</v>
      </c>
    </row>
    <row r="132" spans="1:12" x14ac:dyDescent="0.25">
      <c r="A132" s="36">
        <v>44034</v>
      </c>
      <c r="B132" s="40">
        <f t="shared" si="13"/>
        <v>1.4249583313319119</v>
      </c>
      <c r="C132" s="40">
        <f t="shared" si="14"/>
        <v>27.974241288884429</v>
      </c>
      <c r="D132" s="38">
        <f>SUM(B$2:B132)</f>
        <v>394.87603877835403</v>
      </c>
      <c r="E132" s="38">
        <f>SUM(C$2:C132)</f>
        <v>6484.9877843218128</v>
      </c>
    </row>
    <row r="133" spans="1:12" x14ac:dyDescent="0.25">
      <c r="A133" s="36">
        <v>44035</v>
      </c>
      <c r="B133" s="40">
        <f t="shared" si="13"/>
        <v>1.4557339369855988</v>
      </c>
      <c r="C133" s="40">
        <f t="shared" si="14"/>
        <v>28.578416301892062</v>
      </c>
      <c r="D133" s="38">
        <f>SUM(B$2:B133)</f>
        <v>396.33177271533964</v>
      </c>
      <c r="E133" s="38">
        <f>SUM(C$2:C133)</f>
        <v>6513.5662006237053</v>
      </c>
    </row>
    <row r="134" spans="1:12" x14ac:dyDescent="0.25">
      <c r="A134" s="36">
        <v>44036</v>
      </c>
      <c r="B134" s="40">
        <f t="shared" si="13"/>
        <v>1.4679568278805846</v>
      </c>
      <c r="C134" s="40">
        <f t="shared" si="14"/>
        <v>28.818371458211928</v>
      </c>
      <c r="D134" s="38">
        <f>SUM(B$2:B134)</f>
        <v>397.79972954322022</v>
      </c>
      <c r="E134" s="38">
        <f>SUM(C$2:C134)</f>
        <v>6542.3845720819172</v>
      </c>
    </row>
    <row r="135" spans="1:12" x14ac:dyDescent="0.25">
      <c r="A135" s="36">
        <v>44037</v>
      </c>
      <c r="B135" s="40">
        <f t="shared" si="13"/>
        <v>1.48978164481511</v>
      </c>
      <c r="C135" s="40">
        <f t="shared" si="14"/>
        <v>29.246827983282017</v>
      </c>
      <c r="D135" s="38">
        <f>SUM(B$2:B135)</f>
        <v>399.28951118803531</v>
      </c>
      <c r="E135" s="38">
        <f>SUM(C$2:C135)</f>
        <v>6571.6314000651992</v>
      </c>
      <c r="G135" s="75" t="s">
        <v>306</v>
      </c>
      <c r="H135" s="75"/>
      <c r="I135" s="75"/>
      <c r="J135" s="75"/>
      <c r="K135" s="75"/>
      <c r="L135" s="75"/>
    </row>
    <row r="136" spans="1:12" x14ac:dyDescent="0.25">
      <c r="A136" s="36">
        <v>44038</v>
      </c>
      <c r="B136" s="40">
        <f t="shared" si="13"/>
        <v>1.5043611206977148</v>
      </c>
      <c r="C136" s="40">
        <f t="shared" si="14"/>
        <v>29.533046721919966</v>
      </c>
      <c r="D136" s="38">
        <f>SUM(B$2:B136)</f>
        <v>400.793872308733</v>
      </c>
      <c r="E136" s="38">
        <f>SUM(C$2:C136)</f>
        <v>6601.1644467871192</v>
      </c>
      <c r="G136" s="74" t="s">
        <v>308</v>
      </c>
      <c r="H136" s="74"/>
      <c r="I136" t="s">
        <v>309</v>
      </c>
      <c r="J136" t="s">
        <v>310</v>
      </c>
      <c r="K136" t="s">
        <v>311</v>
      </c>
      <c r="L136" t="s">
        <v>312</v>
      </c>
    </row>
    <row r="137" spans="1:12" x14ac:dyDescent="0.25">
      <c r="A137" s="36">
        <v>44039</v>
      </c>
      <c r="B137" s="40">
        <f t="shared" si="13"/>
        <v>1.5277917625285973</v>
      </c>
      <c r="C137" s="40">
        <f t="shared" si="14"/>
        <v>29.993028192057327</v>
      </c>
      <c r="D137" s="38">
        <f>SUM(B$2:B137)</f>
        <v>402.32166407126158</v>
      </c>
      <c r="E137" s="38">
        <f>SUM(C$2:C137)</f>
        <v>6631.1574749791762</v>
      </c>
      <c r="H137">
        <v>365</v>
      </c>
      <c r="I137" s="38">
        <f>SUM(B2:B127)/365</f>
        <v>1.0630136986301371</v>
      </c>
      <c r="J137" s="39">
        <f>I137*365</f>
        <v>388</v>
      </c>
      <c r="K137" s="40">
        <f>1360000/I137/100</f>
        <v>12793.81443298969</v>
      </c>
      <c r="L137" s="40">
        <f>K137/365</f>
        <v>35.051546391752574</v>
      </c>
    </row>
    <row r="138" spans="1:12" x14ac:dyDescent="0.25">
      <c r="A138" s="36">
        <v>44040</v>
      </c>
      <c r="B138" s="40">
        <f t="shared" si="13"/>
        <v>1.5600733244236029</v>
      </c>
      <c r="C138" s="40">
        <f t="shared" si="14"/>
        <v>30.626767566589677</v>
      </c>
      <c r="D138" s="38">
        <f>SUM(B$2:B138)</f>
        <v>403.88173739568521</v>
      </c>
      <c r="E138" s="38">
        <f>SUM(C$2:C138)</f>
        <v>6661.7842425457657</v>
      </c>
      <c r="G138" s="37">
        <v>43831</v>
      </c>
      <c r="H138" s="41">
        <f ca="1">TODAY()-G138-1</f>
        <v>198</v>
      </c>
      <c r="I138" s="38">
        <f ca="1">SUM(B2:B127)/H138</f>
        <v>1.9595959595959596</v>
      </c>
      <c r="J138" s="38">
        <f ca="1">I138*365</f>
        <v>715.25252525252529</v>
      </c>
      <c r="K138" s="40">
        <f ca="1">1360000/I138/100</f>
        <v>6940.2061855670099</v>
      </c>
      <c r="L138" s="40">
        <f ca="1">K138/365</f>
        <v>19.014263522101398</v>
      </c>
    </row>
    <row r="139" spans="1:12" x14ac:dyDescent="0.25">
      <c r="A139" s="36">
        <v>44041</v>
      </c>
      <c r="B139" s="40">
        <f t="shared" si="13"/>
        <v>1.5856969518339605</v>
      </c>
      <c r="C139" s="40">
        <f t="shared" si="14"/>
        <v>31.129800897538956</v>
      </c>
      <c r="D139" s="38">
        <f>SUM(B$2:B139)</f>
        <v>405.46743434751914</v>
      </c>
      <c r="E139" s="38">
        <f>SUM(C$2:C139)</f>
        <v>6692.9140434433048</v>
      </c>
      <c r="G139" s="37">
        <v>43880</v>
      </c>
      <c r="H139" s="41">
        <f ca="1">TODAY()-G139-1</f>
        <v>149</v>
      </c>
      <c r="I139" s="38">
        <f ca="1">SUM(B2:B127)/H139</f>
        <v>2.6040268456375837</v>
      </c>
      <c r="J139" s="38">
        <f ca="1">I139*365</f>
        <v>950.469798657718</v>
      </c>
      <c r="K139" s="40">
        <f ca="1">1360000/I139/100</f>
        <v>5222.6804123711345</v>
      </c>
      <c r="L139" s="40">
        <f ca="1">K139/365</f>
        <v>14.308713458551054</v>
      </c>
    </row>
    <row r="140" spans="1:12" x14ac:dyDescent="0.25">
      <c r="A140" s="36">
        <v>44042</v>
      </c>
      <c r="B140" s="40">
        <f t="shared" si="13"/>
        <v>1.6101328758439784</v>
      </c>
      <c r="C140" s="40">
        <f t="shared" si="14"/>
        <v>31.609517685982965</v>
      </c>
      <c r="D140" s="38">
        <f>SUM(B$2:B140)</f>
        <v>407.07756722336313</v>
      </c>
      <c r="E140" s="38">
        <f>SUM(C$2:C140)</f>
        <v>6724.5235611292874</v>
      </c>
      <c r="G140" s="37">
        <v>43905</v>
      </c>
      <c r="H140" s="41">
        <f ca="1">TODAY()-G140-1</f>
        <v>124</v>
      </c>
      <c r="I140" s="38">
        <f ca="1">SUM(B3:B127)/H140</f>
        <v>3.129032258064516</v>
      </c>
      <c r="J140" s="38">
        <f ca="1">I140*365</f>
        <v>1142.0967741935483</v>
      </c>
      <c r="K140" s="40">
        <f ca="1">1360000/I140/100</f>
        <v>4346.3917525773195</v>
      </c>
      <c r="L140" s="40">
        <f ca="1">K140/365</f>
        <v>11.907922609800876</v>
      </c>
    </row>
    <row r="141" spans="1:12" x14ac:dyDescent="0.25">
      <c r="A141" s="36">
        <v>44043</v>
      </c>
      <c r="B141" s="40">
        <f t="shared" si="13"/>
        <v>1.6336050241390583</v>
      </c>
      <c r="C141" s="40">
        <f t="shared" si="14"/>
        <v>32.070313995276663</v>
      </c>
      <c r="D141" s="38">
        <f>SUM(B$2:B141)</f>
        <v>408.71117224750219</v>
      </c>
      <c r="E141" s="38">
        <f>SUM(C$2:C141)</f>
        <v>6756.593875124564</v>
      </c>
      <c r="G141" s="37">
        <v>43922</v>
      </c>
      <c r="H141" s="41">
        <f ca="1">TODAY()-G141-1</f>
        <v>107</v>
      </c>
      <c r="I141" s="38">
        <f ca="1">SUM(B20:B127)/H141</f>
        <v>3.5981308411214954</v>
      </c>
      <c r="J141" s="38">
        <f ca="1">I141*365</f>
        <v>1313.3177570093458</v>
      </c>
      <c r="K141" s="40">
        <f ca="1">1360000/I141/100</f>
        <v>3779.7402597402597</v>
      </c>
      <c r="L141" s="40">
        <f ca="1">K141/365</f>
        <v>10.35545276641167</v>
      </c>
    </row>
    <row r="142" spans="1:12" x14ac:dyDescent="0.25">
      <c r="A142" s="36"/>
      <c r="B142" s="40"/>
      <c r="C142" s="40"/>
      <c r="D142" s="38"/>
      <c r="E142" s="38"/>
      <c r="G142" t="s">
        <v>319</v>
      </c>
      <c r="I142" s="38">
        <f>SUM(B2:B19)/31</f>
        <v>9.6774193548387094E-2</v>
      </c>
    </row>
    <row r="143" spans="1:12" x14ac:dyDescent="0.25">
      <c r="A143" s="36"/>
      <c r="B143" s="40"/>
      <c r="C143" s="40"/>
      <c r="D143" s="38"/>
      <c r="E143" s="38"/>
      <c r="G143" t="s">
        <v>320</v>
      </c>
      <c r="I143" s="38">
        <f>AVERAGE(B20:B49)</f>
        <v>2.3666666666666667</v>
      </c>
    </row>
    <row r="144" spans="1:12" x14ac:dyDescent="0.25">
      <c r="G144" t="s">
        <v>321</v>
      </c>
      <c r="I144" s="38">
        <f>AVERAGE(B50:B80)</f>
        <v>5.290322580645161</v>
      </c>
    </row>
    <row r="145" spans="7:12" x14ac:dyDescent="0.25">
      <c r="G145" t="s">
        <v>322</v>
      </c>
      <c r="I145" s="38">
        <f>AVERAGE(B81:B110)</f>
        <v>4.2</v>
      </c>
    </row>
    <row r="146" spans="7:12" x14ac:dyDescent="0.25">
      <c r="G146" s="35" t="s">
        <v>327</v>
      </c>
      <c r="H146" s="35"/>
      <c r="I146" s="38">
        <f>AVERAGE(B111:B141)</f>
        <v>1.4422958789516851</v>
      </c>
    </row>
    <row r="147" spans="7:12" x14ac:dyDescent="0.25">
      <c r="G147" s="75" t="s">
        <v>323</v>
      </c>
      <c r="H147" s="75"/>
      <c r="I147" s="75"/>
      <c r="J147" s="75"/>
      <c r="K147" s="75"/>
      <c r="L147" s="75"/>
    </row>
    <row r="148" spans="7:12" x14ac:dyDescent="0.25">
      <c r="G148" s="72" t="s">
        <v>308</v>
      </c>
      <c r="H148" s="72"/>
      <c r="I148" s="35" t="s">
        <v>309</v>
      </c>
      <c r="J148" t="s">
        <v>310</v>
      </c>
      <c r="K148" t="s">
        <v>324</v>
      </c>
      <c r="L148" t="s">
        <v>325</v>
      </c>
    </row>
    <row r="149" spans="7:12" x14ac:dyDescent="0.25">
      <c r="G149" s="35"/>
      <c r="H149" s="35">
        <v>365</v>
      </c>
      <c r="I149" s="38">
        <f>SUM(C2:C127)/365</f>
        <v>17.397260273972602</v>
      </c>
      <c r="J149" s="39">
        <f>I149*365</f>
        <v>6350</v>
      </c>
      <c r="K149" s="40">
        <f>1360000/I149</f>
        <v>78173.228346456701</v>
      </c>
      <c r="L149" s="40">
        <f>K149/365</f>
        <v>214.17322834645671</v>
      </c>
    </row>
    <row r="150" spans="7:12" x14ac:dyDescent="0.25">
      <c r="G150" s="37">
        <v>43831</v>
      </c>
      <c r="H150" s="41">
        <f ca="1">TODAY()-G150-1</f>
        <v>198</v>
      </c>
      <c r="I150" s="38">
        <f ca="1">SUM(C2:C127)/H150</f>
        <v>32.070707070707073</v>
      </c>
      <c r="J150" s="38">
        <f ca="1">I150*365</f>
        <v>11705.808080808081</v>
      </c>
      <c r="K150" s="40">
        <f ca="1">1360000/I150</f>
        <v>42406.299212598424</v>
      </c>
      <c r="L150" s="40">
        <f ca="1">K150/365</f>
        <v>116.18164167835185</v>
      </c>
    </row>
    <row r="151" spans="7:12" x14ac:dyDescent="0.25">
      <c r="G151" s="37">
        <v>43880</v>
      </c>
      <c r="H151" s="41">
        <f ca="1">TODAY()-G151-1</f>
        <v>149</v>
      </c>
      <c r="I151" s="38">
        <f ca="1">SUM(C2:C127)/H151</f>
        <v>42.617449664429529</v>
      </c>
      <c r="J151" s="38">
        <f ca="1">I151*365</f>
        <v>15555.369127516778</v>
      </c>
      <c r="K151" s="40">
        <f ca="1">1360000/I151</f>
        <v>31911.811023622049</v>
      </c>
      <c r="L151" s="40">
        <f ca="1">K151/365</f>
        <v>87.429619242800129</v>
      </c>
    </row>
    <row r="152" spans="7:12" x14ac:dyDescent="0.25">
      <c r="G152" s="37">
        <v>43905</v>
      </c>
      <c r="H152" s="41">
        <f ca="1">TODAY()-G152-1</f>
        <v>124</v>
      </c>
      <c r="I152" s="38">
        <f ca="1">SUM(C3:C127)/H152</f>
        <v>51.153225806451616</v>
      </c>
      <c r="J152" s="38">
        <f ca="1">I152*365</f>
        <v>18670.927419354841</v>
      </c>
      <c r="K152" s="40">
        <f ca="1">1360000/I152</f>
        <v>26586.78858584266</v>
      </c>
      <c r="L152" s="40">
        <f ca="1">K152/365</f>
        <v>72.840516673541529</v>
      </c>
    </row>
    <row r="153" spans="7:12" x14ac:dyDescent="0.25">
      <c r="G153" s="37">
        <v>43922</v>
      </c>
      <c r="H153" s="41">
        <f ca="1">TODAY()-G153-1</f>
        <v>107</v>
      </c>
      <c r="I153" s="38">
        <f ca="1">SUM(C20:C127)/H153</f>
        <v>55.915887850467293</v>
      </c>
      <c r="J153" s="38">
        <f ca="1">I153*365</f>
        <v>20409.299065420561</v>
      </c>
      <c r="K153" s="40">
        <f ca="1">1360000/I153</f>
        <v>24322.246364699982</v>
      </c>
      <c r="L153" s="40">
        <f ca="1">K153/365</f>
        <v>66.636291410136934</v>
      </c>
    </row>
    <row r="154" spans="7:12" x14ac:dyDescent="0.25">
      <c r="G154" t="s">
        <v>319</v>
      </c>
      <c r="I154" s="38">
        <f>SUM(C2:C19)/31</f>
        <v>11.838709677419354</v>
      </c>
    </row>
    <row r="155" spans="7:12" x14ac:dyDescent="0.25">
      <c r="G155" t="s">
        <v>320</v>
      </c>
      <c r="I155" s="38">
        <f>AVERAGE(C20:C49)</f>
        <v>60.7</v>
      </c>
    </row>
    <row r="156" spans="7:12" x14ac:dyDescent="0.25">
      <c r="G156" t="s">
        <v>321</v>
      </c>
      <c r="I156" s="38">
        <f>AVERAGE(C50:C80)</f>
        <v>82.612903225806448</v>
      </c>
    </row>
    <row r="157" spans="7:12" x14ac:dyDescent="0.25">
      <c r="G157" t="s">
        <v>322</v>
      </c>
      <c r="I157" s="38">
        <f>AVERAGE(C81:C110)</f>
        <v>40</v>
      </c>
    </row>
    <row r="158" spans="7:12" x14ac:dyDescent="0.25">
      <c r="G158" s="35" t="s">
        <v>327</v>
      </c>
      <c r="H158" s="35"/>
      <c r="I158" s="38">
        <f>AVERAGE(C111:C141)</f>
        <v>26.051415326598839</v>
      </c>
    </row>
  </sheetData>
  <mergeCells count="3">
    <mergeCell ref="G136:H136"/>
    <mergeCell ref="G135:L135"/>
    <mergeCell ref="G147:L147"/>
  </mergeCells>
  <phoneticPr fontId="9" type="noConversion"/>
  <conditionalFormatting sqref="B2:B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2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display="https://www.nhpr.org/post/explore-data-tracking-covid-19-new-hampshire - 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2020-07-18T16:20:42Z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