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ummings\OneDrive\Documents\Personal\COVID-19\SomeCovidAnalyses\"/>
    </mc:Choice>
  </mc:AlternateContent>
  <xr:revisionPtr revIDLastSave="2470" documentId="11_E0DBB201481B1C811047287C66E952F5F4A270EB" xr6:coauthVersionLast="44" xr6:coauthVersionMax="44" xr10:uidLastSave="{96642582-96C8-4131-AC14-81C693160A6E}"/>
  <bookViews>
    <workbookView xWindow="16690" yWindow="-350" windowWidth="19420" windowHeight="10420" tabRatio="500" activeTab="3" xr2:uid="{00000000-000D-0000-FFFF-FFFF00000000}"/>
  </bookViews>
  <sheets>
    <sheet name="International" sheetId="1" r:id="rId1"/>
    <sheet name="USA" sheetId="2" r:id="rId2"/>
    <sheet name="USA Analysis" sheetId="3" r:id="rId3"/>
    <sheet name="NH 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2" i="4" l="1"/>
  <c r="K142" i="4"/>
  <c r="L142" i="4" s="1"/>
  <c r="J143" i="4"/>
  <c r="K143" i="4"/>
  <c r="L143" i="4"/>
  <c r="J144" i="4"/>
  <c r="K144" i="4"/>
  <c r="L144" i="4" s="1"/>
  <c r="J145" i="4"/>
  <c r="K145" i="4"/>
  <c r="L145" i="4"/>
  <c r="J146" i="4"/>
  <c r="K146" i="4"/>
  <c r="L146" i="4"/>
  <c r="J154" i="4"/>
  <c r="K154" i="4"/>
  <c r="L154" i="4" s="1"/>
  <c r="J155" i="4"/>
  <c r="K155" i="4"/>
  <c r="L155" i="4"/>
  <c r="J156" i="4"/>
  <c r="K156" i="4"/>
  <c r="L156" i="4" s="1"/>
  <c r="J157" i="4"/>
  <c r="K157" i="4"/>
  <c r="L157" i="4" s="1"/>
  <c r="J158" i="4"/>
  <c r="K158" i="4"/>
  <c r="L158" i="4" s="1"/>
  <c r="I149" i="4"/>
  <c r="I137" i="4"/>
  <c r="C137" i="4"/>
  <c r="C139" i="4" s="1"/>
  <c r="C138" i="4"/>
  <c r="C136" i="4"/>
  <c r="B137" i="4"/>
  <c r="B136" i="4"/>
  <c r="E130" i="4"/>
  <c r="E131" i="4"/>
  <c r="E132" i="4"/>
  <c r="E133" i="4"/>
  <c r="E134" i="4"/>
  <c r="E135" i="4"/>
  <c r="D129" i="4"/>
  <c r="D130" i="4"/>
  <c r="D131" i="4"/>
  <c r="D132" i="4"/>
  <c r="D133" i="4"/>
  <c r="D134" i="4"/>
  <c r="J145" i="3"/>
  <c r="J132" i="3"/>
  <c r="J135" i="3"/>
  <c r="J123" i="3"/>
  <c r="D137" i="3"/>
  <c r="D138" i="3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136" i="3"/>
  <c r="C150" i="3" s="1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36" i="3"/>
  <c r="F130" i="3"/>
  <c r="F131" i="3"/>
  <c r="F132" i="3"/>
  <c r="F133" i="3"/>
  <c r="F134" i="3"/>
  <c r="F135" i="3"/>
  <c r="E129" i="3"/>
  <c r="E130" i="3"/>
  <c r="E131" i="3"/>
  <c r="E132" i="3"/>
  <c r="E133" i="3"/>
  <c r="E134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" i="1"/>
  <c r="R215" i="1" s="1"/>
  <c r="Q215" i="1"/>
  <c r="C140" i="4" l="1"/>
  <c r="C141" i="4" s="1"/>
  <c r="F128" i="3"/>
  <c r="F129" i="3"/>
  <c r="E127" i="3"/>
  <c r="E128" i="3"/>
  <c r="J78" i="1"/>
  <c r="K78" i="1"/>
  <c r="M78" i="1"/>
  <c r="L78" i="1" s="1"/>
  <c r="Q78" i="1" s="1"/>
  <c r="N78" i="1"/>
  <c r="O78" i="1"/>
  <c r="P78" i="1"/>
  <c r="J208" i="1"/>
  <c r="K208" i="1"/>
  <c r="M208" i="1"/>
  <c r="L208" i="1" s="1"/>
  <c r="Q208" i="1" s="1"/>
  <c r="N208" i="1"/>
  <c r="O208" i="1"/>
  <c r="P208" i="1"/>
  <c r="E128" i="4"/>
  <c r="E129" i="4"/>
  <c r="D127" i="4"/>
  <c r="D128" i="4"/>
  <c r="D135" i="4" l="1"/>
  <c r="E135" i="3"/>
  <c r="S208" i="1"/>
  <c r="T208" i="1" s="1"/>
  <c r="S78" i="1"/>
  <c r="T78" i="1" s="1"/>
  <c r="E125" i="4"/>
  <c r="E126" i="4"/>
  <c r="E127" i="4"/>
  <c r="D124" i="4"/>
  <c r="D125" i="4"/>
  <c r="D126" i="4"/>
  <c r="F126" i="3"/>
  <c r="F127" i="3"/>
  <c r="E125" i="3"/>
  <c r="E126" i="3"/>
  <c r="J174" i="1"/>
  <c r="K174" i="1"/>
  <c r="M174" i="1"/>
  <c r="L174" i="1" s="1"/>
  <c r="Q174" i="1" s="1"/>
  <c r="N174" i="1"/>
  <c r="O174" i="1"/>
  <c r="P174" i="1"/>
  <c r="J70" i="1"/>
  <c r="K70" i="1"/>
  <c r="M70" i="1"/>
  <c r="L70" i="1" s="1"/>
  <c r="Q70" i="1" s="1"/>
  <c r="N70" i="1"/>
  <c r="O70" i="1"/>
  <c r="P70" i="1"/>
  <c r="J179" i="1"/>
  <c r="K179" i="1"/>
  <c r="M179" i="1"/>
  <c r="L179" i="1" s="1"/>
  <c r="Q179" i="1" s="1"/>
  <c r="N179" i="1"/>
  <c r="O179" i="1"/>
  <c r="P179" i="1"/>
  <c r="J164" i="1"/>
  <c r="K164" i="1"/>
  <c r="M164" i="1"/>
  <c r="L164" i="1" s="1"/>
  <c r="Q164" i="1" s="1"/>
  <c r="N164" i="1"/>
  <c r="O164" i="1"/>
  <c r="P164" i="1"/>
  <c r="J149" i="1"/>
  <c r="K149" i="1"/>
  <c r="M149" i="1"/>
  <c r="L149" i="1" s="1"/>
  <c r="Q149" i="1" s="1"/>
  <c r="N149" i="1"/>
  <c r="O149" i="1"/>
  <c r="P149" i="1"/>
  <c r="S174" i="1" l="1"/>
  <c r="T174" i="1" s="1"/>
  <c r="S70" i="1"/>
  <c r="T70" i="1" s="1"/>
  <c r="S179" i="1"/>
  <c r="T179" i="1" s="1"/>
  <c r="S164" i="1"/>
  <c r="T164" i="1" s="1"/>
  <c r="S149" i="1"/>
  <c r="T149" i="1" s="1"/>
  <c r="D121" i="4"/>
  <c r="D122" i="4"/>
  <c r="D123" i="4"/>
  <c r="E122" i="4"/>
  <c r="E123" i="4"/>
  <c r="E124" i="4"/>
  <c r="F122" i="3"/>
  <c r="F123" i="3"/>
  <c r="F124" i="3"/>
  <c r="F125" i="3"/>
  <c r="E121" i="3"/>
  <c r="E122" i="3"/>
  <c r="E123" i="3"/>
  <c r="E124" i="3"/>
  <c r="E118" i="4" l="1"/>
  <c r="E119" i="4"/>
  <c r="E120" i="4"/>
  <c r="E121" i="4"/>
  <c r="D117" i="4"/>
  <c r="D118" i="4"/>
  <c r="D119" i="4"/>
  <c r="D120" i="4"/>
  <c r="F120" i="3"/>
  <c r="F121" i="3"/>
  <c r="E119" i="3"/>
  <c r="E120" i="3"/>
  <c r="C151" i="3" l="1"/>
  <c r="F118" i="3"/>
  <c r="F119" i="3"/>
  <c r="E117" i="3"/>
  <c r="E118" i="3"/>
  <c r="P62" i="2"/>
  <c r="W62" i="2"/>
  <c r="X62" i="2" s="1"/>
  <c r="K127" i="1"/>
  <c r="K76" i="1"/>
  <c r="K177" i="1"/>
  <c r="K113" i="1"/>
  <c r="K81" i="1"/>
  <c r="K4" i="1"/>
  <c r="K30" i="1"/>
  <c r="K91" i="1"/>
  <c r="K163" i="1"/>
  <c r="K22" i="1"/>
  <c r="K54" i="1"/>
  <c r="K17" i="1"/>
  <c r="K136" i="1"/>
  <c r="K103" i="1"/>
  <c r="K97" i="1"/>
  <c r="K16" i="1"/>
  <c r="K133" i="1"/>
  <c r="K101" i="1"/>
  <c r="K65" i="1"/>
  <c r="K39" i="1"/>
  <c r="K131" i="1"/>
  <c r="K121" i="1"/>
  <c r="K145" i="1"/>
  <c r="K49" i="1"/>
  <c r="K196" i="1"/>
  <c r="K146" i="1"/>
  <c r="K68" i="1"/>
  <c r="K172" i="1"/>
  <c r="K90" i="1"/>
  <c r="K203" i="1"/>
  <c r="K167" i="1"/>
  <c r="K102" i="1"/>
  <c r="K204" i="1"/>
  <c r="K26" i="1"/>
  <c r="K96" i="1"/>
  <c r="K201" i="1"/>
  <c r="K170" i="1"/>
  <c r="K28" i="1"/>
  <c r="K99" i="1"/>
  <c r="K83" i="1"/>
  <c r="K107" i="1"/>
  <c r="K110" i="1"/>
  <c r="K75" i="1"/>
  <c r="K104" i="1"/>
  <c r="K66" i="1"/>
  <c r="K132" i="1"/>
  <c r="K159" i="1"/>
  <c r="K210" i="1"/>
  <c r="K46" i="1"/>
  <c r="K61" i="1"/>
  <c r="K194" i="1"/>
  <c r="K122" i="1"/>
  <c r="K119" i="1"/>
  <c r="K10" i="1"/>
  <c r="K134" i="1"/>
  <c r="K7" i="1"/>
  <c r="K23" i="1"/>
  <c r="K105" i="1"/>
  <c r="K86" i="1"/>
  <c r="K38" i="1"/>
  <c r="K21" i="1"/>
  <c r="K84" i="1"/>
  <c r="K108" i="1"/>
  <c r="K125" i="1"/>
  <c r="K60" i="1"/>
  <c r="K151" i="1"/>
  <c r="K14" i="1"/>
  <c r="K33" i="1"/>
  <c r="K191" i="1"/>
  <c r="K152" i="1"/>
  <c r="K45" i="1"/>
  <c r="K2" i="1"/>
  <c r="K50" i="1"/>
  <c r="K88" i="1"/>
  <c r="K195" i="1"/>
  <c r="K40" i="1"/>
  <c r="K144" i="1"/>
  <c r="K138" i="1"/>
  <c r="K181" i="1"/>
  <c r="K89" i="1"/>
  <c r="K153" i="1"/>
  <c r="K140" i="1"/>
  <c r="K109" i="1"/>
  <c r="K57" i="1"/>
  <c r="K34" i="1"/>
  <c r="K169" i="1"/>
  <c r="K156" i="1"/>
  <c r="K94" i="1"/>
  <c r="K31" i="1"/>
  <c r="K154" i="1"/>
  <c r="K43" i="1"/>
  <c r="K115" i="1"/>
  <c r="K160" i="1"/>
  <c r="K19" i="1"/>
  <c r="K35" i="1"/>
  <c r="K63" i="1"/>
  <c r="K79" i="1"/>
  <c r="K126" i="1"/>
  <c r="K118" i="1"/>
  <c r="K82" i="1"/>
  <c r="K150" i="1"/>
  <c r="K20" i="1"/>
  <c r="K69" i="1"/>
  <c r="K148" i="1"/>
  <c r="K114" i="1"/>
  <c r="K186" i="1"/>
  <c r="K25" i="1"/>
  <c r="K42" i="1"/>
  <c r="K117" i="1"/>
  <c r="K198" i="1"/>
  <c r="K124" i="1"/>
  <c r="K161" i="1"/>
  <c r="K6" i="1"/>
  <c r="K36" i="1"/>
  <c r="K100" i="1"/>
  <c r="K92" i="1"/>
  <c r="K11" i="1"/>
  <c r="K202" i="1"/>
  <c r="K123" i="1"/>
  <c r="K142" i="1"/>
  <c r="K64" i="1"/>
  <c r="K15" i="1"/>
  <c r="K182" i="1"/>
  <c r="K139" i="1"/>
  <c r="K178" i="1"/>
  <c r="K168" i="1"/>
  <c r="K77" i="1"/>
  <c r="K44" i="1"/>
  <c r="K106" i="1"/>
  <c r="K183" i="1"/>
  <c r="K192" i="1"/>
  <c r="K87" i="1"/>
  <c r="K157" i="1"/>
  <c r="K3" i="1"/>
  <c r="K206" i="1"/>
  <c r="K180" i="1"/>
  <c r="K211" i="1"/>
  <c r="K48" i="1"/>
  <c r="K166" i="1"/>
  <c r="K200" i="1"/>
  <c r="K162" i="1"/>
  <c r="K41" i="1"/>
  <c r="K59" i="1"/>
  <c r="K32" i="1"/>
  <c r="K175" i="1"/>
  <c r="K173" i="1"/>
  <c r="K52" i="1"/>
  <c r="K12" i="1"/>
  <c r="K155" i="1"/>
  <c r="K112" i="1"/>
  <c r="K185" i="1"/>
  <c r="K85" i="1"/>
  <c r="K98" i="1"/>
  <c r="K209" i="1"/>
  <c r="K62" i="1"/>
  <c r="K176" i="1"/>
  <c r="K129" i="1"/>
  <c r="K199" i="1"/>
  <c r="K212" i="1"/>
  <c r="K47" i="1"/>
  <c r="K37" i="1"/>
  <c r="K74" i="1"/>
  <c r="K190" i="1"/>
  <c r="K213" i="1"/>
  <c r="K27" i="1"/>
  <c r="K128" i="1"/>
  <c r="K111" i="1"/>
  <c r="K197" i="1"/>
  <c r="K116" i="1"/>
  <c r="K93" i="1"/>
  <c r="K171" i="1"/>
  <c r="K135" i="1"/>
  <c r="K56" i="1"/>
  <c r="K18" i="1"/>
  <c r="K73" i="1"/>
  <c r="K130" i="1"/>
  <c r="K184" i="1"/>
  <c r="K29" i="1"/>
  <c r="K67" i="1"/>
  <c r="K207" i="1"/>
  <c r="K143" i="1"/>
  <c r="K188" i="1"/>
  <c r="K165" i="1"/>
  <c r="K120" i="1"/>
  <c r="K158" i="1"/>
  <c r="K55" i="1"/>
  <c r="K205" i="1"/>
  <c r="K71" i="1"/>
  <c r="K58" i="1"/>
  <c r="K187" i="1"/>
  <c r="K8" i="1"/>
  <c r="K5" i="1"/>
  <c r="K189" i="1"/>
  <c r="K141" i="1"/>
  <c r="K53" i="1"/>
  <c r="K214" i="1"/>
  <c r="K24" i="1"/>
  <c r="K9" i="1"/>
  <c r="K51" i="1"/>
  <c r="K95" i="1"/>
  <c r="K13" i="1"/>
  <c r="K193" i="1"/>
  <c r="K137" i="1"/>
  <c r="K72" i="1"/>
  <c r="K80" i="1"/>
  <c r="C152" i="3" l="1"/>
  <c r="F118" i="4"/>
  <c r="E111" i="4"/>
  <c r="F111" i="4" s="1"/>
  <c r="E112" i="4"/>
  <c r="F112" i="4" s="1"/>
  <c r="E113" i="4"/>
  <c r="F113" i="4" s="1"/>
  <c r="E114" i="4"/>
  <c r="F114" i="4" s="1"/>
  <c r="E115" i="4"/>
  <c r="E116" i="4"/>
  <c r="F116" i="4" s="1"/>
  <c r="E117" i="4"/>
  <c r="D110" i="4"/>
  <c r="D111" i="4"/>
  <c r="D112" i="4"/>
  <c r="D113" i="4"/>
  <c r="D114" i="4"/>
  <c r="D115" i="4"/>
  <c r="D116" i="4"/>
  <c r="F113" i="3"/>
  <c r="F114" i="3"/>
  <c r="F115" i="3"/>
  <c r="F116" i="3"/>
  <c r="F117" i="3"/>
  <c r="E112" i="3"/>
  <c r="E113" i="3"/>
  <c r="E114" i="3"/>
  <c r="E115" i="3"/>
  <c r="E116" i="3"/>
  <c r="M61" i="2"/>
  <c r="N61" i="2"/>
  <c r="O61" i="2"/>
  <c r="Q61" i="2"/>
  <c r="P61" i="2" s="1"/>
  <c r="U61" i="2" s="1"/>
  <c r="R61" i="2"/>
  <c r="S61" i="2"/>
  <c r="T61" i="2"/>
  <c r="V61" i="2"/>
  <c r="C153" i="3" l="1"/>
  <c r="F115" i="4"/>
  <c r="W61" i="2"/>
  <c r="X61" i="2" s="1"/>
  <c r="F117" i="4"/>
  <c r="K145" i="3"/>
  <c r="F112" i="3"/>
  <c r="E111" i="3"/>
  <c r="M60" i="2"/>
  <c r="N60" i="2"/>
  <c r="O60" i="2"/>
  <c r="Q60" i="2"/>
  <c r="P60" i="2" s="1"/>
  <c r="U60" i="2" s="1"/>
  <c r="R60" i="2"/>
  <c r="S60" i="2"/>
  <c r="T60" i="2"/>
  <c r="V60" i="2"/>
  <c r="B138" i="4" l="1"/>
  <c r="B140" i="4"/>
  <c r="B139" i="4"/>
  <c r="C154" i="3"/>
  <c r="W60" i="2"/>
  <c r="X60" i="2" s="1"/>
  <c r="L145" i="3"/>
  <c r="M145" i="3" s="1"/>
  <c r="J75" i="1"/>
  <c r="M75" i="1"/>
  <c r="L75" i="1" s="1"/>
  <c r="Q75" i="1" s="1"/>
  <c r="N75" i="1"/>
  <c r="O75" i="1"/>
  <c r="P75" i="1"/>
  <c r="J27" i="1"/>
  <c r="M27" i="1"/>
  <c r="L27" i="1" s="1"/>
  <c r="Q27" i="1" s="1"/>
  <c r="N27" i="1"/>
  <c r="O27" i="1"/>
  <c r="P27" i="1"/>
  <c r="J5" i="1"/>
  <c r="M5" i="1"/>
  <c r="L5" i="1" s="1"/>
  <c r="Q5" i="1" s="1"/>
  <c r="N5" i="1"/>
  <c r="O5" i="1"/>
  <c r="P5" i="1"/>
  <c r="J140" i="1"/>
  <c r="M140" i="1"/>
  <c r="L140" i="1" s="1"/>
  <c r="Q140" i="1" s="1"/>
  <c r="N140" i="1"/>
  <c r="O140" i="1"/>
  <c r="P140" i="1"/>
  <c r="J127" i="1"/>
  <c r="M127" i="1"/>
  <c r="L127" i="1" s="1"/>
  <c r="Q127" i="1" s="1"/>
  <c r="N127" i="1"/>
  <c r="O127" i="1"/>
  <c r="P127" i="1"/>
  <c r="J113" i="1"/>
  <c r="M113" i="1"/>
  <c r="L113" i="1" s="1"/>
  <c r="Q113" i="1" s="1"/>
  <c r="N113" i="1"/>
  <c r="O113" i="1"/>
  <c r="P113" i="1"/>
  <c r="J15" i="1"/>
  <c r="M15" i="1"/>
  <c r="L15" i="1" s="1"/>
  <c r="Q15" i="1" s="1"/>
  <c r="N15" i="1"/>
  <c r="O15" i="1"/>
  <c r="P15" i="1"/>
  <c r="J117" i="1"/>
  <c r="M117" i="1"/>
  <c r="L117" i="1" s="1"/>
  <c r="Q117" i="1" s="1"/>
  <c r="N117" i="1"/>
  <c r="O117" i="1"/>
  <c r="P117" i="1"/>
  <c r="J99" i="1"/>
  <c r="M99" i="1"/>
  <c r="L99" i="1" s="1"/>
  <c r="Q99" i="1" s="1"/>
  <c r="N99" i="1"/>
  <c r="O99" i="1"/>
  <c r="P99" i="1"/>
  <c r="J176" i="1"/>
  <c r="M176" i="1"/>
  <c r="L176" i="1" s="1"/>
  <c r="Q176" i="1" s="1"/>
  <c r="N176" i="1"/>
  <c r="O176" i="1"/>
  <c r="P176" i="1"/>
  <c r="J52" i="1"/>
  <c r="M52" i="1"/>
  <c r="L52" i="1" s="1"/>
  <c r="Q52" i="1" s="1"/>
  <c r="N52" i="1"/>
  <c r="O52" i="1"/>
  <c r="P52" i="1"/>
  <c r="J185" i="1"/>
  <c r="M185" i="1"/>
  <c r="L185" i="1" s="1"/>
  <c r="Q185" i="1" s="1"/>
  <c r="N185" i="1"/>
  <c r="O185" i="1"/>
  <c r="P185" i="1"/>
  <c r="J24" i="1"/>
  <c r="M24" i="1"/>
  <c r="L24" i="1" s="1"/>
  <c r="Q24" i="1" s="1"/>
  <c r="N24" i="1"/>
  <c r="O24" i="1"/>
  <c r="P24" i="1"/>
  <c r="J166" i="1"/>
  <c r="M166" i="1"/>
  <c r="L166" i="1" s="1"/>
  <c r="Q166" i="1" s="1"/>
  <c r="N166" i="1"/>
  <c r="O166" i="1"/>
  <c r="P166" i="1"/>
  <c r="J102" i="1"/>
  <c r="M102" i="1"/>
  <c r="L102" i="1" s="1"/>
  <c r="N102" i="1"/>
  <c r="O102" i="1"/>
  <c r="J31" i="1"/>
  <c r="M31" i="1"/>
  <c r="L31" i="1" s="1"/>
  <c r="N31" i="1"/>
  <c r="O31" i="1"/>
  <c r="J133" i="1"/>
  <c r="M133" i="1"/>
  <c r="L133" i="1" s="1"/>
  <c r="N133" i="1"/>
  <c r="O133" i="1"/>
  <c r="J39" i="1"/>
  <c r="M39" i="1"/>
  <c r="L39" i="1" s="1"/>
  <c r="N39" i="1"/>
  <c r="O39" i="1"/>
  <c r="J210" i="1"/>
  <c r="M210" i="1"/>
  <c r="L210" i="1" s="1"/>
  <c r="N210" i="1"/>
  <c r="O210" i="1"/>
  <c r="J169" i="1"/>
  <c r="M169" i="1"/>
  <c r="L169" i="1" s="1"/>
  <c r="N169" i="1"/>
  <c r="O169" i="1"/>
  <c r="J17" i="1"/>
  <c r="M17" i="1"/>
  <c r="L17" i="1" s="1"/>
  <c r="N17" i="1"/>
  <c r="O17" i="1"/>
  <c r="J131" i="1"/>
  <c r="M131" i="1"/>
  <c r="L131" i="1" s="1"/>
  <c r="N131" i="1"/>
  <c r="O131" i="1"/>
  <c r="J153" i="1"/>
  <c r="M153" i="1"/>
  <c r="L153" i="1" s="1"/>
  <c r="N153" i="1"/>
  <c r="O153" i="1"/>
  <c r="J2" i="1"/>
  <c r="M2" i="1"/>
  <c r="L2" i="1" s="1"/>
  <c r="N2" i="1"/>
  <c r="O2" i="1"/>
  <c r="J114" i="1"/>
  <c r="M114" i="1"/>
  <c r="L114" i="1" s="1"/>
  <c r="N114" i="1"/>
  <c r="O114" i="1"/>
  <c r="J20" i="1"/>
  <c r="M20" i="1"/>
  <c r="L20" i="1" s="1"/>
  <c r="N20" i="1"/>
  <c r="O20" i="1"/>
  <c r="J147" i="1"/>
  <c r="K147" i="1"/>
  <c r="M147" i="1"/>
  <c r="L147" i="1" s="1"/>
  <c r="N147" i="1"/>
  <c r="O147" i="1"/>
  <c r="J105" i="1"/>
  <c r="M105" i="1"/>
  <c r="L105" i="1" s="1"/>
  <c r="N105" i="1"/>
  <c r="O105" i="1"/>
  <c r="J177" i="1"/>
  <c r="M177" i="1"/>
  <c r="L177" i="1" s="1"/>
  <c r="N177" i="1"/>
  <c r="O177" i="1"/>
  <c r="J40" i="1"/>
  <c r="M40" i="1"/>
  <c r="L40" i="1" s="1"/>
  <c r="N40" i="1"/>
  <c r="O40" i="1"/>
  <c r="J76" i="1"/>
  <c r="M76" i="1"/>
  <c r="L76" i="1" s="1"/>
  <c r="N76" i="1"/>
  <c r="O76" i="1"/>
  <c r="J6" i="1"/>
  <c r="M6" i="1"/>
  <c r="L6" i="1" s="1"/>
  <c r="N6" i="1"/>
  <c r="O6" i="1"/>
  <c r="J91" i="1"/>
  <c r="M91" i="1"/>
  <c r="L91" i="1" s="1"/>
  <c r="N91" i="1"/>
  <c r="O91" i="1"/>
  <c r="J54" i="1"/>
  <c r="M54" i="1"/>
  <c r="L54" i="1" s="1"/>
  <c r="N54" i="1"/>
  <c r="O54" i="1"/>
  <c r="J141" i="1"/>
  <c r="M141" i="1"/>
  <c r="L141" i="1" s="1"/>
  <c r="N141" i="1"/>
  <c r="O141" i="1"/>
  <c r="J142" i="1"/>
  <c r="M142" i="1"/>
  <c r="L142" i="1" s="1"/>
  <c r="N142" i="1"/>
  <c r="O142" i="1"/>
  <c r="J10" i="1"/>
  <c r="M10" i="1"/>
  <c r="L10" i="1" s="1"/>
  <c r="N10" i="1"/>
  <c r="O10" i="1"/>
  <c r="J212" i="1"/>
  <c r="M212" i="1"/>
  <c r="L212" i="1" s="1"/>
  <c r="N212" i="1"/>
  <c r="O212" i="1"/>
  <c r="J119" i="1"/>
  <c r="M119" i="1"/>
  <c r="L119" i="1" s="1"/>
  <c r="N119" i="1"/>
  <c r="O119" i="1"/>
  <c r="J55" i="1"/>
  <c r="M55" i="1"/>
  <c r="L55" i="1" s="1"/>
  <c r="N55" i="1"/>
  <c r="O55" i="1"/>
  <c r="J109" i="1"/>
  <c r="M109" i="1"/>
  <c r="L109" i="1" s="1"/>
  <c r="N109" i="1"/>
  <c r="O109" i="1"/>
  <c r="J103" i="1"/>
  <c r="M103" i="1"/>
  <c r="L103" i="1" s="1"/>
  <c r="N103" i="1"/>
  <c r="O103" i="1"/>
  <c r="J200" i="1"/>
  <c r="M200" i="1"/>
  <c r="L200" i="1" s="1"/>
  <c r="N200" i="1"/>
  <c r="O200" i="1"/>
  <c r="J170" i="1"/>
  <c r="M170" i="1"/>
  <c r="L170" i="1" s="1"/>
  <c r="N170" i="1"/>
  <c r="O170" i="1"/>
  <c r="J41" i="1"/>
  <c r="M41" i="1"/>
  <c r="L41" i="1" s="1"/>
  <c r="N41" i="1"/>
  <c r="O41" i="1"/>
  <c r="J65" i="1"/>
  <c r="M65" i="1"/>
  <c r="L65" i="1" s="1"/>
  <c r="N65" i="1"/>
  <c r="O65" i="1"/>
  <c r="J160" i="1"/>
  <c r="M160" i="1"/>
  <c r="L160" i="1" s="1"/>
  <c r="N160" i="1"/>
  <c r="O160" i="1"/>
  <c r="J134" i="1"/>
  <c r="M134" i="1"/>
  <c r="L134" i="1" s="1"/>
  <c r="N134" i="1"/>
  <c r="O134" i="1"/>
  <c r="J47" i="1"/>
  <c r="M47" i="1"/>
  <c r="L47" i="1" s="1"/>
  <c r="N47" i="1"/>
  <c r="O47" i="1"/>
  <c r="J167" i="1"/>
  <c r="M167" i="1"/>
  <c r="L167" i="1" s="1"/>
  <c r="N167" i="1"/>
  <c r="O167" i="1"/>
  <c r="J159" i="1"/>
  <c r="M159" i="1"/>
  <c r="L159" i="1" s="1"/>
  <c r="N159" i="1"/>
  <c r="O159" i="1"/>
  <c r="J46" i="1"/>
  <c r="M46" i="1"/>
  <c r="L46" i="1" s="1"/>
  <c r="N46" i="1"/>
  <c r="O46" i="1"/>
  <c r="J63" i="1"/>
  <c r="M63" i="1"/>
  <c r="L63" i="1" s="1"/>
  <c r="N63" i="1"/>
  <c r="O63" i="1"/>
  <c r="J94" i="1"/>
  <c r="M94" i="1"/>
  <c r="L94" i="1" s="1"/>
  <c r="N94" i="1"/>
  <c r="O94" i="1"/>
  <c r="J101" i="1"/>
  <c r="M101" i="1"/>
  <c r="L101" i="1" s="1"/>
  <c r="N101" i="1"/>
  <c r="O101" i="1"/>
  <c r="J28" i="1"/>
  <c r="M28" i="1"/>
  <c r="L28" i="1" s="1"/>
  <c r="N28" i="1"/>
  <c r="O28" i="1"/>
  <c r="J97" i="1"/>
  <c r="M97" i="1"/>
  <c r="L97" i="1" s="1"/>
  <c r="N97" i="1"/>
  <c r="O97" i="1"/>
  <c r="J132" i="1"/>
  <c r="M132" i="1"/>
  <c r="L132" i="1" s="1"/>
  <c r="N132" i="1"/>
  <c r="O132" i="1"/>
  <c r="J45" i="1"/>
  <c r="M45" i="1"/>
  <c r="L45" i="1" s="1"/>
  <c r="N45" i="1"/>
  <c r="O45" i="1"/>
  <c r="J26" i="1"/>
  <c r="M26" i="1"/>
  <c r="L26" i="1" s="1"/>
  <c r="N26" i="1"/>
  <c r="O26" i="1"/>
  <c r="J198" i="1"/>
  <c r="M198" i="1"/>
  <c r="L198" i="1" s="1"/>
  <c r="N198" i="1"/>
  <c r="O198" i="1"/>
  <c r="J66" i="1"/>
  <c r="M66" i="1"/>
  <c r="L66" i="1" s="1"/>
  <c r="N66" i="1"/>
  <c r="O66" i="1"/>
  <c r="J188" i="1"/>
  <c r="M188" i="1"/>
  <c r="L188" i="1" s="1"/>
  <c r="N188" i="1"/>
  <c r="O188" i="1"/>
  <c r="J16" i="1"/>
  <c r="M16" i="1"/>
  <c r="L16" i="1" s="1"/>
  <c r="N16" i="1"/>
  <c r="O16" i="1"/>
  <c r="J64" i="1"/>
  <c r="M64" i="1"/>
  <c r="L64" i="1" s="1"/>
  <c r="N64" i="1"/>
  <c r="O64" i="1"/>
  <c r="J83" i="1"/>
  <c r="M83" i="1"/>
  <c r="L83" i="1" s="1"/>
  <c r="N83" i="1"/>
  <c r="O83" i="1"/>
  <c r="J86" i="1"/>
  <c r="M86" i="1"/>
  <c r="L86" i="1" s="1"/>
  <c r="N86" i="1"/>
  <c r="O86" i="1"/>
  <c r="J168" i="1"/>
  <c r="M168" i="1"/>
  <c r="L168" i="1" s="1"/>
  <c r="N168" i="1"/>
  <c r="O168" i="1"/>
  <c r="J195" i="1"/>
  <c r="M195" i="1"/>
  <c r="L195" i="1" s="1"/>
  <c r="N195" i="1"/>
  <c r="O195" i="1"/>
  <c r="J175" i="1"/>
  <c r="M175" i="1"/>
  <c r="L175" i="1" s="1"/>
  <c r="N175" i="1"/>
  <c r="O175" i="1"/>
  <c r="J121" i="1"/>
  <c r="M121" i="1"/>
  <c r="L121" i="1" s="1"/>
  <c r="N121" i="1"/>
  <c r="O121" i="1"/>
  <c r="J202" i="1"/>
  <c r="M202" i="1"/>
  <c r="L202" i="1" s="1"/>
  <c r="N202" i="1"/>
  <c r="O202" i="1"/>
  <c r="J171" i="1"/>
  <c r="M171" i="1"/>
  <c r="L171" i="1" s="1"/>
  <c r="N171" i="1"/>
  <c r="O171" i="1"/>
  <c r="J187" i="1"/>
  <c r="M187" i="1"/>
  <c r="L187" i="1" s="1"/>
  <c r="N187" i="1"/>
  <c r="O187" i="1"/>
  <c r="J157" i="1"/>
  <c r="M157" i="1"/>
  <c r="L157" i="1" s="1"/>
  <c r="N157" i="1"/>
  <c r="O157" i="1"/>
  <c r="J30" i="1"/>
  <c r="M30" i="1"/>
  <c r="L30" i="1" s="1"/>
  <c r="N30" i="1"/>
  <c r="O30" i="1"/>
  <c r="J172" i="1"/>
  <c r="M172" i="1"/>
  <c r="L172" i="1" s="1"/>
  <c r="N172" i="1"/>
  <c r="O172" i="1"/>
  <c r="J56" i="1"/>
  <c r="M56" i="1"/>
  <c r="L56" i="1" s="1"/>
  <c r="N56" i="1"/>
  <c r="O56" i="1"/>
  <c r="J130" i="1"/>
  <c r="M130" i="1"/>
  <c r="L130" i="1" s="1"/>
  <c r="N130" i="1"/>
  <c r="O130" i="1"/>
  <c r="J98" i="1"/>
  <c r="M98" i="1"/>
  <c r="L98" i="1" s="1"/>
  <c r="N98" i="1"/>
  <c r="O98" i="1"/>
  <c r="J110" i="1"/>
  <c r="M110" i="1"/>
  <c r="L110" i="1" s="1"/>
  <c r="N110" i="1"/>
  <c r="O110" i="1"/>
  <c r="J50" i="1"/>
  <c r="M50" i="1"/>
  <c r="L50" i="1" s="1"/>
  <c r="N50" i="1"/>
  <c r="O50" i="1"/>
  <c r="J12" i="1"/>
  <c r="M12" i="1"/>
  <c r="L12" i="1" s="1"/>
  <c r="N12" i="1"/>
  <c r="O12" i="1"/>
  <c r="J211" i="1"/>
  <c r="M211" i="1"/>
  <c r="L211" i="1" s="1"/>
  <c r="N211" i="1"/>
  <c r="O211" i="1"/>
  <c r="J93" i="1"/>
  <c r="M93" i="1"/>
  <c r="L93" i="1" s="1"/>
  <c r="N93" i="1"/>
  <c r="O93" i="1"/>
  <c r="J115" i="1"/>
  <c r="M115" i="1"/>
  <c r="L115" i="1" s="1"/>
  <c r="N115" i="1"/>
  <c r="O115" i="1"/>
  <c r="J181" i="1"/>
  <c r="M181" i="1"/>
  <c r="L181" i="1" s="1"/>
  <c r="N181" i="1"/>
  <c r="O181" i="1"/>
  <c r="J180" i="1"/>
  <c r="M180" i="1"/>
  <c r="L180" i="1" s="1"/>
  <c r="N180" i="1"/>
  <c r="O180" i="1"/>
  <c r="J186" i="1"/>
  <c r="M186" i="1"/>
  <c r="L186" i="1" s="1"/>
  <c r="N186" i="1"/>
  <c r="O186" i="1"/>
  <c r="J192" i="1"/>
  <c r="M192" i="1"/>
  <c r="L192" i="1" s="1"/>
  <c r="N192" i="1"/>
  <c r="O192" i="1"/>
  <c r="J22" i="1"/>
  <c r="M22" i="1"/>
  <c r="L22" i="1" s="1"/>
  <c r="N22" i="1"/>
  <c r="O22" i="1"/>
  <c r="J89" i="1"/>
  <c r="M89" i="1"/>
  <c r="L89" i="1" s="1"/>
  <c r="N89" i="1"/>
  <c r="O89" i="1"/>
  <c r="J59" i="1"/>
  <c r="M59" i="1"/>
  <c r="L59" i="1" s="1"/>
  <c r="N59" i="1"/>
  <c r="O59" i="1"/>
  <c r="J206" i="1"/>
  <c r="M206" i="1"/>
  <c r="L206" i="1" s="1"/>
  <c r="N206" i="1"/>
  <c r="O206" i="1"/>
  <c r="J197" i="1"/>
  <c r="M197" i="1"/>
  <c r="L197" i="1" s="1"/>
  <c r="N197" i="1"/>
  <c r="O197" i="1"/>
  <c r="J207" i="1"/>
  <c r="M207" i="1"/>
  <c r="L207" i="1" s="1"/>
  <c r="N207" i="1"/>
  <c r="O207" i="1"/>
  <c r="J49" i="1"/>
  <c r="M49" i="1"/>
  <c r="L49" i="1" s="1"/>
  <c r="N49" i="1"/>
  <c r="O49" i="1"/>
  <c r="J126" i="1"/>
  <c r="M126" i="1"/>
  <c r="L126" i="1" s="1"/>
  <c r="N126" i="1"/>
  <c r="O126" i="1"/>
  <c r="J58" i="1"/>
  <c r="M58" i="1"/>
  <c r="L58" i="1" s="1"/>
  <c r="N58" i="1"/>
  <c r="O58" i="1"/>
  <c r="J144" i="1"/>
  <c r="M144" i="1"/>
  <c r="L144" i="1" s="1"/>
  <c r="N144" i="1"/>
  <c r="O144" i="1"/>
  <c r="J191" i="1"/>
  <c r="M191" i="1"/>
  <c r="L191" i="1" s="1"/>
  <c r="N191" i="1"/>
  <c r="O191" i="1"/>
  <c r="J14" i="1"/>
  <c r="M14" i="1"/>
  <c r="L14" i="1" s="1"/>
  <c r="N14" i="1"/>
  <c r="O14" i="1"/>
  <c r="J146" i="1"/>
  <c r="M146" i="1"/>
  <c r="L146" i="1" s="1"/>
  <c r="N146" i="1"/>
  <c r="O146" i="1"/>
  <c r="J23" i="1"/>
  <c r="M23" i="1"/>
  <c r="L23" i="1" s="1"/>
  <c r="N23" i="1"/>
  <c r="O23" i="1"/>
  <c r="J148" i="1"/>
  <c r="M148" i="1"/>
  <c r="L148" i="1" s="1"/>
  <c r="N148" i="1"/>
  <c r="O148" i="1"/>
  <c r="J118" i="1"/>
  <c r="M118" i="1"/>
  <c r="L118" i="1" s="1"/>
  <c r="N118" i="1"/>
  <c r="O118" i="1"/>
  <c r="J44" i="1"/>
  <c r="M44" i="1"/>
  <c r="L44" i="1" s="1"/>
  <c r="N44" i="1"/>
  <c r="O44" i="1"/>
  <c r="J116" i="1"/>
  <c r="M116" i="1"/>
  <c r="L116" i="1" s="1"/>
  <c r="N116" i="1"/>
  <c r="O116" i="1"/>
  <c r="J182" i="1"/>
  <c r="M182" i="1"/>
  <c r="L182" i="1" s="1"/>
  <c r="N182" i="1"/>
  <c r="O182" i="1"/>
  <c r="J29" i="1"/>
  <c r="M29" i="1"/>
  <c r="L29" i="1" s="1"/>
  <c r="N29" i="1"/>
  <c r="O29" i="1"/>
  <c r="J151" i="1"/>
  <c r="M151" i="1"/>
  <c r="L151" i="1" s="1"/>
  <c r="N151" i="1"/>
  <c r="O151" i="1"/>
  <c r="J108" i="1"/>
  <c r="M108" i="1"/>
  <c r="L108" i="1" s="1"/>
  <c r="N108" i="1"/>
  <c r="O108" i="1"/>
  <c r="J53" i="1"/>
  <c r="M53" i="1"/>
  <c r="L53" i="1" s="1"/>
  <c r="N53" i="1"/>
  <c r="O53" i="1"/>
  <c r="J122" i="1"/>
  <c r="M122" i="1"/>
  <c r="L122" i="1" s="1"/>
  <c r="N122" i="1"/>
  <c r="O122" i="1"/>
  <c r="J84" i="1"/>
  <c r="M84" i="1"/>
  <c r="L84" i="1" s="1"/>
  <c r="N84" i="1"/>
  <c r="O84" i="1"/>
  <c r="J35" i="1"/>
  <c r="M35" i="1"/>
  <c r="L35" i="1" s="1"/>
  <c r="N35" i="1"/>
  <c r="O35" i="1"/>
  <c r="J18" i="1"/>
  <c r="M18" i="1"/>
  <c r="L18" i="1" s="1"/>
  <c r="N18" i="1"/>
  <c r="O18" i="1"/>
  <c r="J107" i="1"/>
  <c r="M107" i="1"/>
  <c r="L107" i="1" s="1"/>
  <c r="N107" i="1"/>
  <c r="O107" i="1"/>
  <c r="J25" i="1"/>
  <c r="M25" i="1"/>
  <c r="L25" i="1" s="1"/>
  <c r="N25" i="1"/>
  <c r="O25" i="1"/>
  <c r="J154" i="1"/>
  <c r="M154" i="1"/>
  <c r="L154" i="1" s="1"/>
  <c r="N154" i="1"/>
  <c r="O154" i="1"/>
  <c r="J95" i="1"/>
  <c r="M95" i="1"/>
  <c r="L95" i="1" s="1"/>
  <c r="N95" i="1"/>
  <c r="O95" i="1"/>
  <c r="J87" i="1"/>
  <c r="M87" i="1"/>
  <c r="L87" i="1" s="1"/>
  <c r="N87" i="1"/>
  <c r="O87" i="1"/>
  <c r="J72" i="1"/>
  <c r="M72" i="1"/>
  <c r="L72" i="1" s="1"/>
  <c r="N72" i="1"/>
  <c r="O72" i="1"/>
  <c r="J138" i="1"/>
  <c r="M138" i="1"/>
  <c r="L138" i="1" s="1"/>
  <c r="N138" i="1"/>
  <c r="O138" i="1"/>
  <c r="J60" i="1"/>
  <c r="M60" i="1"/>
  <c r="L60" i="1" s="1"/>
  <c r="N60" i="1"/>
  <c r="O60" i="1"/>
  <c r="J71" i="1"/>
  <c r="M71" i="1"/>
  <c r="L71" i="1" s="1"/>
  <c r="N71" i="1"/>
  <c r="O71" i="1"/>
  <c r="J163" i="1"/>
  <c r="M163" i="1"/>
  <c r="L163" i="1" s="1"/>
  <c r="N163" i="1"/>
  <c r="O163" i="1"/>
  <c r="J42" i="1"/>
  <c r="M42" i="1"/>
  <c r="L42" i="1" s="1"/>
  <c r="N42" i="1"/>
  <c r="O42" i="1"/>
  <c r="J196" i="1"/>
  <c r="M196" i="1"/>
  <c r="L196" i="1" s="1"/>
  <c r="N196" i="1"/>
  <c r="O196" i="1"/>
  <c r="J74" i="1"/>
  <c r="M74" i="1"/>
  <c r="L74" i="1" s="1"/>
  <c r="N74" i="1"/>
  <c r="O74" i="1"/>
  <c r="J61" i="1"/>
  <c r="M61" i="1"/>
  <c r="L61" i="1" s="1"/>
  <c r="N61" i="1"/>
  <c r="O61" i="1"/>
  <c r="J8" i="1"/>
  <c r="M8" i="1"/>
  <c r="L8" i="1" s="1"/>
  <c r="N8" i="1"/>
  <c r="O8" i="1"/>
  <c r="J21" i="1"/>
  <c r="M21" i="1"/>
  <c r="L21" i="1" s="1"/>
  <c r="N21" i="1"/>
  <c r="O21" i="1"/>
  <c r="J173" i="1"/>
  <c r="M173" i="1"/>
  <c r="L173" i="1" s="1"/>
  <c r="N173" i="1"/>
  <c r="O173" i="1"/>
  <c r="J194" i="1"/>
  <c r="M194" i="1"/>
  <c r="L194" i="1" s="1"/>
  <c r="N194" i="1"/>
  <c r="O194" i="1"/>
  <c r="J204" i="1"/>
  <c r="M204" i="1"/>
  <c r="L204" i="1" s="1"/>
  <c r="N204" i="1"/>
  <c r="O204" i="1"/>
  <c r="J189" i="1"/>
  <c r="M189" i="1"/>
  <c r="L189" i="1" s="1"/>
  <c r="N189" i="1"/>
  <c r="O189" i="1"/>
  <c r="J7" i="1"/>
  <c r="M7" i="1"/>
  <c r="L7" i="1" s="1"/>
  <c r="N7" i="1"/>
  <c r="O7" i="1"/>
  <c r="J92" i="1"/>
  <c r="M92" i="1"/>
  <c r="L92" i="1" s="1"/>
  <c r="N92" i="1"/>
  <c r="O92" i="1"/>
  <c r="J96" i="1"/>
  <c r="M96" i="1"/>
  <c r="L96" i="1" s="1"/>
  <c r="N96" i="1"/>
  <c r="O96" i="1"/>
  <c r="J199" i="1"/>
  <c r="M199" i="1"/>
  <c r="L199" i="1" s="1"/>
  <c r="N199" i="1"/>
  <c r="O199" i="1"/>
  <c r="J32" i="1"/>
  <c r="M32" i="1"/>
  <c r="L32" i="1" s="1"/>
  <c r="N32" i="1"/>
  <c r="O32" i="1"/>
  <c r="J48" i="1"/>
  <c r="M48" i="1"/>
  <c r="L48" i="1" s="1"/>
  <c r="N48" i="1"/>
  <c r="O48" i="1"/>
  <c r="J123" i="1"/>
  <c r="M123" i="1"/>
  <c r="L123" i="1" s="1"/>
  <c r="N123" i="1"/>
  <c r="O123" i="1"/>
  <c r="J34" i="1"/>
  <c r="M34" i="1"/>
  <c r="L34" i="1" s="1"/>
  <c r="N34" i="1"/>
  <c r="O34" i="1"/>
  <c r="J82" i="1"/>
  <c r="M82" i="1"/>
  <c r="L82" i="1" s="1"/>
  <c r="N82" i="1"/>
  <c r="O82" i="1"/>
  <c r="J184" i="1"/>
  <c r="M184" i="1"/>
  <c r="L184" i="1" s="1"/>
  <c r="N184" i="1"/>
  <c r="O184" i="1"/>
  <c r="J9" i="1"/>
  <c r="M9" i="1"/>
  <c r="L9" i="1" s="1"/>
  <c r="N9" i="1"/>
  <c r="O9" i="1"/>
  <c r="J67" i="1"/>
  <c r="M67" i="1"/>
  <c r="L67" i="1" s="1"/>
  <c r="N67" i="1"/>
  <c r="O67" i="1"/>
  <c r="J57" i="1"/>
  <c r="M57" i="1"/>
  <c r="L57" i="1" s="1"/>
  <c r="N57" i="1"/>
  <c r="O57" i="1"/>
  <c r="J143" i="1"/>
  <c r="M143" i="1"/>
  <c r="L143" i="1" s="1"/>
  <c r="N143" i="1"/>
  <c r="O143" i="1"/>
  <c r="J112" i="1"/>
  <c r="M112" i="1"/>
  <c r="L112" i="1" s="1"/>
  <c r="N112" i="1"/>
  <c r="O112" i="1"/>
  <c r="J203" i="1"/>
  <c r="M203" i="1"/>
  <c r="L203" i="1" s="1"/>
  <c r="N203" i="1"/>
  <c r="O203" i="1"/>
  <c r="J137" i="1"/>
  <c r="M137" i="1"/>
  <c r="L137" i="1" s="1"/>
  <c r="N137" i="1"/>
  <c r="O137" i="1"/>
  <c r="J201" i="1"/>
  <c r="M201" i="1"/>
  <c r="L201" i="1" s="1"/>
  <c r="N201" i="1"/>
  <c r="O201" i="1"/>
  <c r="J136" i="1"/>
  <c r="M136" i="1"/>
  <c r="L136" i="1" s="1"/>
  <c r="N136" i="1"/>
  <c r="O136" i="1"/>
  <c r="J139" i="1"/>
  <c r="M139" i="1"/>
  <c r="L139" i="1" s="1"/>
  <c r="N139" i="1"/>
  <c r="O139" i="1"/>
  <c r="J183" i="1"/>
  <c r="M183" i="1"/>
  <c r="L183" i="1" s="1"/>
  <c r="N183" i="1"/>
  <c r="O183" i="1"/>
  <c r="J124" i="1"/>
  <c r="M124" i="1"/>
  <c r="L124" i="1" s="1"/>
  <c r="N124" i="1"/>
  <c r="O124" i="1"/>
  <c r="J37" i="1"/>
  <c r="M37" i="1"/>
  <c r="L37" i="1" s="1"/>
  <c r="N37" i="1"/>
  <c r="O37" i="1"/>
  <c r="J90" i="1"/>
  <c r="M90" i="1"/>
  <c r="L90" i="1" s="1"/>
  <c r="N90" i="1"/>
  <c r="O90" i="1"/>
  <c r="J156" i="1"/>
  <c r="M156" i="1"/>
  <c r="L156" i="1" s="1"/>
  <c r="N156" i="1"/>
  <c r="O156" i="1"/>
  <c r="J128" i="1"/>
  <c r="M128" i="1"/>
  <c r="L128" i="1" s="1"/>
  <c r="N128" i="1"/>
  <c r="O128" i="1"/>
  <c r="J80" i="1"/>
  <c r="M80" i="1"/>
  <c r="L80" i="1" s="1"/>
  <c r="N80" i="1"/>
  <c r="O80" i="1"/>
  <c r="J162" i="1"/>
  <c r="M162" i="1"/>
  <c r="L162" i="1" s="1"/>
  <c r="N162" i="1"/>
  <c r="O162" i="1"/>
  <c r="J178" i="1"/>
  <c r="M178" i="1"/>
  <c r="L178" i="1" s="1"/>
  <c r="N178" i="1"/>
  <c r="O178" i="1"/>
  <c r="J214" i="1"/>
  <c r="M214" i="1"/>
  <c r="L214" i="1" s="1"/>
  <c r="N214" i="1"/>
  <c r="O214" i="1"/>
  <c r="J4" i="1"/>
  <c r="M4" i="1"/>
  <c r="L4" i="1" s="1"/>
  <c r="N4" i="1"/>
  <c r="O4" i="1"/>
  <c r="J38" i="1"/>
  <c r="M38" i="1"/>
  <c r="L38" i="1" s="1"/>
  <c r="N38" i="1"/>
  <c r="O38" i="1"/>
  <c r="J129" i="1"/>
  <c r="M129" i="1"/>
  <c r="L129" i="1" s="1"/>
  <c r="N129" i="1"/>
  <c r="O129" i="1"/>
  <c r="J111" i="1"/>
  <c r="M111" i="1"/>
  <c r="L111" i="1" s="1"/>
  <c r="N111" i="1"/>
  <c r="O111" i="1"/>
  <c r="J68" i="1"/>
  <c r="M68" i="1"/>
  <c r="L68" i="1" s="1"/>
  <c r="N68" i="1"/>
  <c r="O68" i="1"/>
  <c r="J193" i="1"/>
  <c r="M193" i="1"/>
  <c r="L193" i="1" s="1"/>
  <c r="N193" i="1"/>
  <c r="O193" i="1"/>
  <c r="J69" i="1"/>
  <c r="M69" i="1"/>
  <c r="L69" i="1" s="1"/>
  <c r="N69" i="1"/>
  <c r="O69" i="1"/>
  <c r="J152" i="1"/>
  <c r="M152" i="1"/>
  <c r="L152" i="1" s="1"/>
  <c r="N152" i="1"/>
  <c r="O152" i="1"/>
  <c r="J43" i="1"/>
  <c r="M43" i="1"/>
  <c r="L43" i="1" s="1"/>
  <c r="N43" i="1"/>
  <c r="O43" i="1"/>
  <c r="J36" i="1"/>
  <c r="M36" i="1"/>
  <c r="L36" i="1" s="1"/>
  <c r="N36" i="1"/>
  <c r="O36" i="1"/>
  <c r="J106" i="1"/>
  <c r="M106" i="1"/>
  <c r="L106" i="1" s="1"/>
  <c r="N106" i="1"/>
  <c r="O106" i="1"/>
  <c r="J150" i="1"/>
  <c r="M150" i="1"/>
  <c r="L150" i="1" s="1"/>
  <c r="N150" i="1"/>
  <c r="O150" i="1"/>
  <c r="J81" i="1"/>
  <c r="M81" i="1"/>
  <c r="L81" i="1" s="1"/>
  <c r="N81" i="1"/>
  <c r="O81" i="1"/>
  <c r="J125" i="1"/>
  <c r="M125" i="1"/>
  <c r="L125" i="1" s="1"/>
  <c r="N125" i="1"/>
  <c r="O125" i="1"/>
  <c r="J73" i="1"/>
  <c r="M73" i="1"/>
  <c r="L73" i="1" s="1"/>
  <c r="N73" i="1"/>
  <c r="O73" i="1"/>
  <c r="J51" i="1"/>
  <c r="M51" i="1"/>
  <c r="L51" i="1" s="1"/>
  <c r="N51" i="1"/>
  <c r="O51" i="1"/>
  <c r="J165" i="1"/>
  <c r="M165" i="1"/>
  <c r="L165" i="1" s="1"/>
  <c r="N165" i="1"/>
  <c r="O165" i="1"/>
  <c r="J190" i="1"/>
  <c r="M190" i="1"/>
  <c r="L190" i="1" s="1"/>
  <c r="N190" i="1"/>
  <c r="O190" i="1"/>
  <c r="J120" i="1"/>
  <c r="M120" i="1"/>
  <c r="L120" i="1" s="1"/>
  <c r="N120" i="1"/>
  <c r="O120" i="1"/>
  <c r="J11" i="1"/>
  <c r="M11" i="1"/>
  <c r="L11" i="1" s="1"/>
  <c r="N11" i="1"/>
  <c r="O11" i="1"/>
  <c r="J209" i="1"/>
  <c r="M209" i="1"/>
  <c r="L209" i="1" s="1"/>
  <c r="N209" i="1"/>
  <c r="O209" i="1"/>
  <c r="J161" i="1"/>
  <c r="M161" i="1"/>
  <c r="L161" i="1" s="1"/>
  <c r="N161" i="1"/>
  <c r="O161" i="1"/>
  <c r="J79" i="1"/>
  <c r="M79" i="1"/>
  <c r="L79" i="1" s="1"/>
  <c r="N79" i="1"/>
  <c r="O79" i="1"/>
  <c r="J77" i="1"/>
  <c r="M77" i="1"/>
  <c r="L77" i="1" s="1"/>
  <c r="N77" i="1"/>
  <c r="O77" i="1"/>
  <c r="J145" i="1"/>
  <c r="M145" i="1"/>
  <c r="L145" i="1" s="1"/>
  <c r="N145" i="1"/>
  <c r="O145" i="1"/>
  <c r="J62" i="1"/>
  <c r="M62" i="1"/>
  <c r="L62" i="1" s="1"/>
  <c r="N62" i="1"/>
  <c r="O62" i="1"/>
  <c r="J88" i="1"/>
  <c r="M88" i="1"/>
  <c r="L88" i="1" s="1"/>
  <c r="N88" i="1"/>
  <c r="O88" i="1"/>
  <c r="J85" i="1"/>
  <c r="M85" i="1"/>
  <c r="L85" i="1" s="1"/>
  <c r="N85" i="1"/>
  <c r="O85" i="1"/>
  <c r="J135" i="1"/>
  <c r="M135" i="1"/>
  <c r="L135" i="1" s="1"/>
  <c r="N135" i="1"/>
  <c r="O135" i="1"/>
  <c r="J100" i="1"/>
  <c r="M100" i="1"/>
  <c r="L100" i="1" s="1"/>
  <c r="N100" i="1"/>
  <c r="O100" i="1"/>
  <c r="J158" i="1"/>
  <c r="M158" i="1"/>
  <c r="L158" i="1" s="1"/>
  <c r="N158" i="1"/>
  <c r="O158" i="1"/>
  <c r="J155" i="1"/>
  <c r="M155" i="1"/>
  <c r="L155" i="1" s="1"/>
  <c r="N155" i="1"/>
  <c r="O155" i="1"/>
  <c r="J205" i="1"/>
  <c r="M205" i="1"/>
  <c r="L205" i="1" s="1"/>
  <c r="N205" i="1"/>
  <c r="O205" i="1"/>
  <c r="J33" i="1"/>
  <c r="M33" i="1"/>
  <c r="L33" i="1" s="1"/>
  <c r="N33" i="1"/>
  <c r="O33" i="1"/>
  <c r="J3" i="1"/>
  <c r="M3" i="1"/>
  <c r="L3" i="1" s="1"/>
  <c r="N3" i="1"/>
  <c r="O3" i="1"/>
  <c r="J213" i="1"/>
  <c r="M213" i="1"/>
  <c r="L213" i="1" s="1"/>
  <c r="N213" i="1"/>
  <c r="O213" i="1"/>
  <c r="J13" i="1"/>
  <c r="M13" i="1"/>
  <c r="L13" i="1" s="1"/>
  <c r="N13" i="1"/>
  <c r="O13" i="1"/>
  <c r="J104" i="1"/>
  <c r="M104" i="1"/>
  <c r="L104" i="1" s="1"/>
  <c r="N104" i="1"/>
  <c r="O104" i="1"/>
  <c r="J19" i="1"/>
  <c r="M19" i="1"/>
  <c r="L19" i="1" s="1"/>
  <c r="N19" i="1"/>
  <c r="O19" i="1"/>
  <c r="C155" i="3" l="1"/>
  <c r="E144" i="3"/>
  <c r="E148" i="3"/>
  <c r="E152" i="3"/>
  <c r="E142" i="3"/>
  <c r="E151" i="3"/>
  <c r="E145" i="3"/>
  <c r="E149" i="3"/>
  <c r="E153" i="3"/>
  <c r="E147" i="3"/>
  <c r="E146" i="3"/>
  <c r="E150" i="3"/>
  <c r="E154" i="3"/>
  <c r="E155" i="3"/>
  <c r="E143" i="3"/>
  <c r="S176" i="1"/>
  <c r="T176" i="1" s="1"/>
  <c r="S5" i="1"/>
  <c r="T5" i="1" s="1"/>
  <c r="S24" i="1"/>
  <c r="T24" i="1" s="1"/>
  <c r="S99" i="1"/>
  <c r="T99" i="1" s="1"/>
  <c r="S27" i="1"/>
  <c r="T27" i="1" s="1"/>
  <c r="S166" i="1"/>
  <c r="T166" i="1" s="1"/>
  <c r="S185" i="1"/>
  <c r="T185" i="1" s="1"/>
  <c r="S113" i="1"/>
  <c r="T113" i="1" s="1"/>
  <c r="S117" i="1"/>
  <c r="T117" i="1" s="1"/>
  <c r="S140" i="1"/>
  <c r="T140" i="1" s="1"/>
  <c r="S15" i="1"/>
  <c r="T15" i="1" s="1"/>
  <c r="S52" i="1"/>
  <c r="T52" i="1" s="1"/>
  <c r="S127" i="1"/>
  <c r="T127" i="1" s="1"/>
  <c r="S75" i="1"/>
  <c r="T75" i="1" s="1"/>
  <c r="M49" i="2"/>
  <c r="N49" i="2"/>
  <c r="O49" i="2"/>
  <c r="Q49" i="2"/>
  <c r="P49" i="2" s="1"/>
  <c r="U49" i="2" s="1"/>
  <c r="R49" i="2"/>
  <c r="S49" i="2"/>
  <c r="T49" i="2"/>
  <c r="V49" i="2"/>
  <c r="M50" i="2"/>
  <c r="N50" i="2"/>
  <c r="O50" i="2"/>
  <c r="Q50" i="2"/>
  <c r="P50" i="2" s="1"/>
  <c r="U50" i="2" s="1"/>
  <c r="R50" i="2"/>
  <c r="S50" i="2"/>
  <c r="T50" i="2"/>
  <c r="V50" i="2"/>
  <c r="M51" i="2"/>
  <c r="N51" i="2"/>
  <c r="O51" i="2"/>
  <c r="Q51" i="2"/>
  <c r="P51" i="2" s="1"/>
  <c r="U51" i="2" s="1"/>
  <c r="R51" i="2"/>
  <c r="S51" i="2"/>
  <c r="T51" i="2"/>
  <c r="V51" i="2"/>
  <c r="M52" i="2"/>
  <c r="N52" i="2"/>
  <c r="O52" i="2"/>
  <c r="Q52" i="2"/>
  <c r="P52" i="2" s="1"/>
  <c r="U52" i="2" s="1"/>
  <c r="R52" i="2"/>
  <c r="S52" i="2"/>
  <c r="T52" i="2"/>
  <c r="V52" i="2"/>
  <c r="M53" i="2"/>
  <c r="N53" i="2"/>
  <c r="O53" i="2"/>
  <c r="Q53" i="2"/>
  <c r="P53" i="2" s="1"/>
  <c r="U53" i="2" s="1"/>
  <c r="R53" i="2"/>
  <c r="S53" i="2"/>
  <c r="T53" i="2"/>
  <c r="V53" i="2"/>
  <c r="M54" i="2"/>
  <c r="N54" i="2"/>
  <c r="O54" i="2"/>
  <c r="Q54" i="2"/>
  <c r="P54" i="2" s="1"/>
  <c r="U54" i="2" s="1"/>
  <c r="R54" i="2"/>
  <c r="S54" i="2"/>
  <c r="T54" i="2"/>
  <c r="V54" i="2"/>
  <c r="M55" i="2"/>
  <c r="N55" i="2"/>
  <c r="O55" i="2"/>
  <c r="Q55" i="2"/>
  <c r="P55" i="2" s="1"/>
  <c r="U55" i="2" s="1"/>
  <c r="R55" i="2"/>
  <c r="S55" i="2"/>
  <c r="T55" i="2"/>
  <c r="V55" i="2"/>
  <c r="M56" i="2"/>
  <c r="N56" i="2"/>
  <c r="O56" i="2"/>
  <c r="Q56" i="2"/>
  <c r="P56" i="2" s="1"/>
  <c r="U56" i="2" s="1"/>
  <c r="R56" i="2"/>
  <c r="S56" i="2"/>
  <c r="T56" i="2"/>
  <c r="V56" i="2"/>
  <c r="M57" i="2"/>
  <c r="N57" i="2"/>
  <c r="O57" i="2"/>
  <c r="Q57" i="2"/>
  <c r="P57" i="2" s="1"/>
  <c r="U57" i="2" s="1"/>
  <c r="R57" i="2"/>
  <c r="S57" i="2"/>
  <c r="T57" i="2"/>
  <c r="V57" i="2"/>
  <c r="M58" i="2"/>
  <c r="N58" i="2"/>
  <c r="O58" i="2"/>
  <c r="Q58" i="2"/>
  <c r="P58" i="2" s="1"/>
  <c r="U58" i="2" s="1"/>
  <c r="R58" i="2"/>
  <c r="S58" i="2"/>
  <c r="T58" i="2"/>
  <c r="V58" i="2"/>
  <c r="M59" i="2"/>
  <c r="N59" i="2"/>
  <c r="O59" i="2"/>
  <c r="Q59" i="2"/>
  <c r="P59" i="2" s="1"/>
  <c r="U59" i="2" s="1"/>
  <c r="R59" i="2"/>
  <c r="S59" i="2"/>
  <c r="T59" i="2"/>
  <c r="V59" i="2"/>
  <c r="B141" i="4" l="1"/>
  <c r="C156" i="3"/>
  <c r="W51" i="2"/>
  <c r="X51" i="2" s="1"/>
  <c r="W58" i="2"/>
  <c r="X58" i="2" s="1"/>
  <c r="W54" i="2"/>
  <c r="X54" i="2" s="1"/>
  <c r="W56" i="2"/>
  <c r="X56" i="2" s="1"/>
  <c r="W50" i="2"/>
  <c r="X50" i="2" s="1"/>
  <c r="W59" i="2"/>
  <c r="X59" i="2" s="1"/>
  <c r="W52" i="2"/>
  <c r="X52" i="2" s="1"/>
  <c r="W53" i="2"/>
  <c r="X53" i="2" s="1"/>
  <c r="W49" i="2"/>
  <c r="X49" i="2" s="1"/>
  <c r="W55" i="2"/>
  <c r="X55" i="2" s="1"/>
  <c r="W57" i="2"/>
  <c r="X57" i="2" s="1"/>
  <c r="J131" i="3"/>
  <c r="J143" i="3"/>
  <c r="F111" i="3"/>
  <c r="E110" i="3"/>
  <c r="C157" i="3" l="1"/>
  <c r="E157" i="3"/>
  <c r="E156" i="3"/>
  <c r="E106" i="4"/>
  <c r="F106" i="4" s="1"/>
  <c r="E107" i="4"/>
  <c r="F107" i="4" s="1"/>
  <c r="E108" i="4"/>
  <c r="F108" i="4" s="1"/>
  <c r="E109" i="4"/>
  <c r="F109" i="4" s="1"/>
  <c r="E110" i="4"/>
  <c r="F110" i="4" s="1"/>
  <c r="D105" i="4"/>
  <c r="D106" i="4"/>
  <c r="D107" i="4"/>
  <c r="D108" i="4"/>
  <c r="D109" i="4"/>
  <c r="F106" i="3"/>
  <c r="F107" i="3"/>
  <c r="F108" i="3"/>
  <c r="F109" i="3"/>
  <c r="F110" i="3"/>
  <c r="E105" i="3"/>
  <c r="E106" i="3"/>
  <c r="E107" i="3"/>
  <c r="E108" i="3"/>
  <c r="E109" i="3"/>
  <c r="C158" i="3" l="1"/>
  <c r="E102" i="4"/>
  <c r="F102" i="4" s="1"/>
  <c r="E103" i="4"/>
  <c r="F103" i="4" s="1"/>
  <c r="E104" i="4"/>
  <c r="F104" i="4" s="1"/>
  <c r="E105" i="4"/>
  <c r="F105" i="4" s="1"/>
  <c r="D101" i="4"/>
  <c r="D102" i="4"/>
  <c r="D103" i="4"/>
  <c r="D104" i="4"/>
  <c r="F103" i="3"/>
  <c r="F104" i="3"/>
  <c r="F105" i="3"/>
  <c r="E102" i="3"/>
  <c r="E103" i="3"/>
  <c r="E104" i="3"/>
  <c r="C159" i="3" l="1"/>
  <c r="E159" i="3" s="1"/>
  <c r="E158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F101" i="3"/>
  <c r="F102" i="3"/>
  <c r="C160" i="3" l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D91" i="4"/>
  <c r="D92" i="4"/>
  <c r="D93" i="4"/>
  <c r="D94" i="4"/>
  <c r="D95" i="4"/>
  <c r="D96" i="4"/>
  <c r="D97" i="4"/>
  <c r="D98" i="4"/>
  <c r="D99" i="4"/>
  <c r="D100" i="4"/>
  <c r="F99" i="3"/>
  <c r="F91" i="3"/>
  <c r="F92" i="3"/>
  <c r="F93" i="3"/>
  <c r="F94" i="3"/>
  <c r="F95" i="3"/>
  <c r="F96" i="3"/>
  <c r="F97" i="3"/>
  <c r="F98" i="3"/>
  <c r="F100" i="3"/>
  <c r="E160" i="3" l="1"/>
  <c r="C161" i="3"/>
  <c r="E161" i="3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D80" i="4"/>
  <c r="D81" i="4"/>
  <c r="D82" i="4"/>
  <c r="D83" i="4"/>
  <c r="D84" i="4"/>
  <c r="D85" i="4"/>
  <c r="D86" i="4"/>
  <c r="D87" i="4"/>
  <c r="D88" i="4"/>
  <c r="D89" i="4"/>
  <c r="D90" i="4"/>
  <c r="F89" i="3"/>
  <c r="F90" i="3"/>
  <c r="J130" i="3"/>
  <c r="F80" i="3"/>
  <c r="F81" i="3"/>
  <c r="F82" i="3"/>
  <c r="F83" i="3"/>
  <c r="F84" i="3"/>
  <c r="F85" i="3"/>
  <c r="F86" i="3"/>
  <c r="F87" i="3"/>
  <c r="F88" i="3"/>
  <c r="D2" i="3"/>
  <c r="C162" i="3" l="1"/>
  <c r="F142" i="3"/>
  <c r="F143" i="3"/>
  <c r="F144" i="3"/>
  <c r="F146" i="3"/>
  <c r="F145" i="3"/>
  <c r="F147" i="3"/>
  <c r="F148" i="3"/>
  <c r="F149" i="3"/>
  <c r="E15" i="3"/>
  <c r="E75" i="4"/>
  <c r="F75" i="4" s="1"/>
  <c r="F75" i="3"/>
  <c r="F76" i="3"/>
  <c r="F77" i="3"/>
  <c r="F78" i="3"/>
  <c r="F79" i="3"/>
  <c r="C163" i="3" l="1"/>
  <c r="E162" i="3"/>
  <c r="E163" i="3"/>
  <c r="E74" i="4"/>
  <c r="F74" i="4" s="1"/>
  <c r="D73" i="4"/>
  <c r="F74" i="3"/>
  <c r="L123" i="3"/>
  <c r="M123" i="3" s="1"/>
  <c r="E73" i="4"/>
  <c r="F73" i="4" s="1"/>
  <c r="E72" i="4"/>
  <c r="F72" i="4" s="1"/>
  <c r="D72" i="4"/>
  <c r="E71" i="4"/>
  <c r="F71" i="4" s="1"/>
  <c r="D71" i="4"/>
  <c r="E70" i="4"/>
  <c r="F70" i="4" s="1"/>
  <c r="D70" i="4"/>
  <c r="E69" i="4"/>
  <c r="F69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E64" i="4"/>
  <c r="F64" i="4" s="1"/>
  <c r="D64" i="4"/>
  <c r="E63" i="4"/>
  <c r="F63" i="4" s="1"/>
  <c r="D63" i="4"/>
  <c r="E62" i="4"/>
  <c r="F62" i="4" s="1"/>
  <c r="D62" i="4"/>
  <c r="E61" i="4"/>
  <c r="F61" i="4" s="1"/>
  <c r="D61" i="4"/>
  <c r="E60" i="4"/>
  <c r="F60" i="4" s="1"/>
  <c r="D60" i="4"/>
  <c r="E59" i="4"/>
  <c r="F59" i="4" s="1"/>
  <c r="D59" i="4"/>
  <c r="E58" i="4"/>
  <c r="F58" i="4" s="1"/>
  <c r="D58" i="4"/>
  <c r="E57" i="4"/>
  <c r="F57" i="4" s="1"/>
  <c r="D57" i="4"/>
  <c r="E56" i="4"/>
  <c r="F56" i="4" s="1"/>
  <c r="D56" i="4"/>
  <c r="E55" i="4"/>
  <c r="F55" i="4" s="1"/>
  <c r="D55" i="4"/>
  <c r="E54" i="4"/>
  <c r="F54" i="4" s="1"/>
  <c r="D54" i="4"/>
  <c r="E53" i="4"/>
  <c r="F53" i="4" s="1"/>
  <c r="D53" i="4"/>
  <c r="E52" i="4"/>
  <c r="F52" i="4" s="1"/>
  <c r="D52" i="4"/>
  <c r="E51" i="4"/>
  <c r="F51" i="4" s="1"/>
  <c r="D51" i="4"/>
  <c r="E50" i="4"/>
  <c r="F50" i="4" s="1"/>
  <c r="D50" i="4"/>
  <c r="E49" i="4"/>
  <c r="F49" i="4" s="1"/>
  <c r="D49" i="4"/>
  <c r="E48" i="4"/>
  <c r="F48" i="4" s="1"/>
  <c r="D48" i="4"/>
  <c r="E47" i="4"/>
  <c r="F47" i="4" s="1"/>
  <c r="D47" i="4"/>
  <c r="E46" i="4"/>
  <c r="F46" i="4" s="1"/>
  <c r="D46" i="4"/>
  <c r="E45" i="4"/>
  <c r="F45" i="4" s="1"/>
  <c r="D45" i="4"/>
  <c r="E44" i="4"/>
  <c r="F44" i="4" s="1"/>
  <c r="D44" i="4"/>
  <c r="E43" i="4"/>
  <c r="F43" i="4" s="1"/>
  <c r="D43" i="4"/>
  <c r="E42" i="4"/>
  <c r="F42" i="4" s="1"/>
  <c r="D42" i="4"/>
  <c r="E41" i="4"/>
  <c r="F41" i="4" s="1"/>
  <c r="D41" i="4"/>
  <c r="E40" i="4"/>
  <c r="F40" i="4" s="1"/>
  <c r="D40" i="4"/>
  <c r="E39" i="4"/>
  <c r="F39" i="4" s="1"/>
  <c r="D39" i="4"/>
  <c r="E38" i="4"/>
  <c r="F38" i="4" s="1"/>
  <c r="D38" i="4"/>
  <c r="E37" i="4"/>
  <c r="F37" i="4" s="1"/>
  <c r="D37" i="4"/>
  <c r="E36" i="4"/>
  <c r="F36" i="4" s="1"/>
  <c r="D36" i="4"/>
  <c r="E35" i="4"/>
  <c r="F35" i="4" s="1"/>
  <c r="D35" i="4"/>
  <c r="E34" i="4"/>
  <c r="F34" i="4" s="1"/>
  <c r="D34" i="4"/>
  <c r="E33" i="4"/>
  <c r="F33" i="4" s="1"/>
  <c r="D33" i="4"/>
  <c r="I155" i="4"/>
  <c r="E32" i="4"/>
  <c r="F32" i="4" s="1"/>
  <c r="D32" i="4"/>
  <c r="I154" i="4"/>
  <c r="E31" i="4"/>
  <c r="F31" i="4" s="1"/>
  <c r="D31" i="4"/>
  <c r="H153" i="4"/>
  <c r="I153" i="4" s="1"/>
  <c r="E30" i="4"/>
  <c r="F30" i="4" s="1"/>
  <c r="D30" i="4"/>
  <c r="H152" i="4"/>
  <c r="I152" i="4" s="1"/>
  <c r="E29" i="4"/>
  <c r="F29" i="4" s="1"/>
  <c r="D29" i="4"/>
  <c r="H151" i="4"/>
  <c r="I151" i="4" s="1"/>
  <c r="E28" i="4"/>
  <c r="F28" i="4" s="1"/>
  <c r="D28" i="4"/>
  <c r="H150" i="4"/>
  <c r="I150" i="4" s="1"/>
  <c r="E27" i="4"/>
  <c r="F27" i="4" s="1"/>
  <c r="D27" i="4"/>
  <c r="K149" i="4"/>
  <c r="L149" i="4" s="1"/>
  <c r="E26" i="4"/>
  <c r="F26" i="4" s="1"/>
  <c r="D26" i="4"/>
  <c r="E25" i="4"/>
  <c r="F25" i="4" s="1"/>
  <c r="D25" i="4"/>
  <c r="E24" i="4"/>
  <c r="F24" i="4" s="1"/>
  <c r="D24" i="4"/>
  <c r="E23" i="4"/>
  <c r="F23" i="4" s="1"/>
  <c r="D23" i="4"/>
  <c r="E22" i="4"/>
  <c r="F22" i="4" s="1"/>
  <c r="D22" i="4"/>
  <c r="E21" i="4"/>
  <c r="F21" i="4" s="1"/>
  <c r="D21" i="4"/>
  <c r="E20" i="4"/>
  <c r="F20" i="4" s="1"/>
  <c r="D20" i="4"/>
  <c r="E19" i="4"/>
  <c r="F19" i="4" s="1"/>
  <c r="D19" i="4"/>
  <c r="E18" i="4"/>
  <c r="F18" i="4" s="1"/>
  <c r="E17" i="4"/>
  <c r="F17" i="4" s="1"/>
  <c r="E16" i="4"/>
  <c r="F16" i="4" s="1"/>
  <c r="E15" i="4"/>
  <c r="F15" i="4" s="1"/>
  <c r="E14" i="4"/>
  <c r="F14" i="4" s="1"/>
  <c r="I143" i="4"/>
  <c r="I142" i="4"/>
  <c r="H141" i="4"/>
  <c r="I141" i="4" s="1"/>
  <c r="H140" i="4"/>
  <c r="I140" i="4" s="1"/>
  <c r="H139" i="4"/>
  <c r="I139" i="4" s="1"/>
  <c r="F6" i="4"/>
  <c r="F8" i="4" s="1"/>
  <c r="E6" i="4"/>
  <c r="H138" i="4"/>
  <c r="I138" i="4" s="1"/>
  <c r="F5" i="4"/>
  <c r="E5" i="4"/>
  <c r="J137" i="4"/>
  <c r="K137" i="4"/>
  <c r="L137" i="4" s="1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J141" i="3"/>
  <c r="F32" i="3"/>
  <c r="F31" i="3"/>
  <c r="I139" i="3"/>
  <c r="J139" i="3" s="1"/>
  <c r="F30" i="3"/>
  <c r="I138" i="3"/>
  <c r="J138" i="3" s="1"/>
  <c r="F29" i="3"/>
  <c r="I137" i="3"/>
  <c r="J137" i="3" s="1"/>
  <c r="F28" i="3"/>
  <c r="I136" i="3"/>
  <c r="J136" i="3" s="1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J129" i="3"/>
  <c r="J128" i="3"/>
  <c r="I127" i="3"/>
  <c r="J127" i="3" s="1"/>
  <c r="I126" i="3"/>
  <c r="J126" i="3" s="1"/>
  <c r="I125" i="3"/>
  <c r="J125" i="3" s="1"/>
  <c r="G7" i="3"/>
  <c r="G9" i="3" s="1"/>
  <c r="F7" i="3"/>
  <c r="I124" i="3"/>
  <c r="J124" i="3" s="1"/>
  <c r="G6" i="3"/>
  <c r="F6" i="3"/>
  <c r="K123" i="3"/>
  <c r="V43" i="2"/>
  <c r="T43" i="2"/>
  <c r="S43" i="2"/>
  <c r="R43" i="2"/>
  <c r="Q43" i="2"/>
  <c r="P43" i="2" s="1"/>
  <c r="U43" i="2" s="1"/>
  <c r="O43" i="2"/>
  <c r="N43" i="2"/>
  <c r="M43" i="2"/>
  <c r="V41" i="2"/>
  <c r="T41" i="2"/>
  <c r="S41" i="2"/>
  <c r="R41" i="2"/>
  <c r="Q41" i="2"/>
  <c r="P41" i="2" s="1"/>
  <c r="U41" i="2" s="1"/>
  <c r="O41" i="2"/>
  <c r="N41" i="2"/>
  <c r="M41" i="2"/>
  <c r="V34" i="2"/>
  <c r="T34" i="2"/>
  <c r="S34" i="2"/>
  <c r="R34" i="2"/>
  <c r="Q34" i="2"/>
  <c r="P34" i="2" s="1"/>
  <c r="U34" i="2" s="1"/>
  <c r="O34" i="2"/>
  <c r="N34" i="2"/>
  <c r="M34" i="2"/>
  <c r="V38" i="2"/>
  <c r="T38" i="2"/>
  <c r="S38" i="2"/>
  <c r="R38" i="2"/>
  <c r="Q38" i="2"/>
  <c r="P38" i="2" s="1"/>
  <c r="U38" i="2" s="1"/>
  <c r="O38" i="2"/>
  <c r="N38" i="2"/>
  <c r="M38" i="2"/>
  <c r="V42" i="2"/>
  <c r="T42" i="2"/>
  <c r="S42" i="2"/>
  <c r="R42" i="2"/>
  <c r="Q42" i="2"/>
  <c r="P42" i="2" s="1"/>
  <c r="U42" i="2" s="1"/>
  <c r="O42" i="2"/>
  <c r="N42" i="2"/>
  <c r="M42" i="2"/>
  <c r="V28" i="2"/>
  <c r="T28" i="2"/>
  <c r="S28" i="2"/>
  <c r="R28" i="2"/>
  <c r="Q28" i="2"/>
  <c r="P28" i="2" s="1"/>
  <c r="U28" i="2" s="1"/>
  <c r="O28" i="2"/>
  <c r="N28" i="2"/>
  <c r="M28" i="2"/>
  <c r="V14" i="2"/>
  <c r="T14" i="2"/>
  <c r="S14" i="2"/>
  <c r="R14" i="2"/>
  <c r="Q14" i="2"/>
  <c r="P14" i="2" s="1"/>
  <c r="U14" i="2" s="1"/>
  <c r="O14" i="2"/>
  <c r="N14" i="2"/>
  <c r="M14" i="2"/>
  <c r="V39" i="2"/>
  <c r="T39" i="2"/>
  <c r="S39" i="2"/>
  <c r="R39" i="2"/>
  <c r="Q39" i="2"/>
  <c r="P39" i="2" s="1"/>
  <c r="U39" i="2" s="1"/>
  <c r="O39" i="2"/>
  <c r="N39" i="2"/>
  <c r="M39" i="2"/>
  <c r="V15" i="2"/>
  <c r="T15" i="2"/>
  <c r="S15" i="2"/>
  <c r="R15" i="2"/>
  <c r="Q15" i="2"/>
  <c r="P15" i="2" s="1"/>
  <c r="U15" i="2" s="1"/>
  <c r="O15" i="2"/>
  <c r="N15" i="2"/>
  <c r="M15" i="2"/>
  <c r="V16" i="2"/>
  <c r="T16" i="2"/>
  <c r="S16" i="2"/>
  <c r="R16" i="2"/>
  <c r="Q16" i="2"/>
  <c r="P16" i="2" s="1"/>
  <c r="U16" i="2" s="1"/>
  <c r="O16" i="2"/>
  <c r="N16" i="2"/>
  <c r="M16" i="2"/>
  <c r="V18" i="2"/>
  <c r="T18" i="2"/>
  <c r="S18" i="2"/>
  <c r="R18" i="2"/>
  <c r="Q18" i="2"/>
  <c r="P18" i="2" s="1"/>
  <c r="U18" i="2" s="1"/>
  <c r="O18" i="2"/>
  <c r="N18" i="2"/>
  <c r="M18" i="2"/>
  <c r="V9" i="2"/>
  <c r="T9" i="2"/>
  <c r="S9" i="2"/>
  <c r="R9" i="2"/>
  <c r="Q9" i="2"/>
  <c r="P9" i="2" s="1"/>
  <c r="U9" i="2" s="1"/>
  <c r="O9" i="2"/>
  <c r="N9" i="2"/>
  <c r="M9" i="2"/>
  <c r="V27" i="2"/>
  <c r="T27" i="2"/>
  <c r="S27" i="2"/>
  <c r="R27" i="2"/>
  <c r="Q27" i="2"/>
  <c r="P27" i="2" s="1"/>
  <c r="U27" i="2" s="1"/>
  <c r="O27" i="2"/>
  <c r="N27" i="2"/>
  <c r="M27" i="2"/>
  <c r="V29" i="2"/>
  <c r="T29" i="2"/>
  <c r="S29" i="2"/>
  <c r="R29" i="2"/>
  <c r="Q29" i="2"/>
  <c r="P29" i="2" s="1"/>
  <c r="U29" i="2" s="1"/>
  <c r="O29" i="2"/>
  <c r="N29" i="2"/>
  <c r="M29" i="2"/>
  <c r="V5" i="2"/>
  <c r="T5" i="2"/>
  <c r="S5" i="2"/>
  <c r="R5" i="2"/>
  <c r="Q5" i="2"/>
  <c r="P5" i="2" s="1"/>
  <c r="U5" i="2" s="1"/>
  <c r="O5" i="2"/>
  <c r="N5" i="2"/>
  <c r="M5" i="2"/>
  <c r="V23" i="2"/>
  <c r="T23" i="2"/>
  <c r="S23" i="2"/>
  <c r="R23" i="2"/>
  <c r="Q23" i="2"/>
  <c r="P23" i="2" s="1"/>
  <c r="U23" i="2" s="1"/>
  <c r="O23" i="2"/>
  <c r="N23" i="2"/>
  <c r="M23" i="2"/>
  <c r="V20" i="2"/>
  <c r="T20" i="2"/>
  <c r="S20" i="2"/>
  <c r="R20" i="2"/>
  <c r="Q20" i="2"/>
  <c r="P20" i="2" s="1"/>
  <c r="U20" i="2" s="1"/>
  <c r="O20" i="2"/>
  <c r="N20" i="2"/>
  <c r="M20" i="2"/>
  <c r="V37" i="2"/>
  <c r="T37" i="2"/>
  <c r="S37" i="2"/>
  <c r="R37" i="2"/>
  <c r="Q37" i="2"/>
  <c r="P37" i="2" s="1"/>
  <c r="U37" i="2" s="1"/>
  <c r="O37" i="2"/>
  <c r="N37" i="2"/>
  <c r="M37" i="2"/>
  <c r="V10" i="2"/>
  <c r="T10" i="2"/>
  <c r="S10" i="2"/>
  <c r="R10" i="2"/>
  <c r="Q10" i="2"/>
  <c r="P10" i="2" s="1"/>
  <c r="U10" i="2" s="1"/>
  <c r="O10" i="2"/>
  <c r="N10" i="2"/>
  <c r="M10" i="2"/>
  <c r="V4" i="2"/>
  <c r="T4" i="2"/>
  <c r="S4" i="2"/>
  <c r="R4" i="2"/>
  <c r="Q4" i="2"/>
  <c r="P4" i="2" s="1"/>
  <c r="U4" i="2" s="1"/>
  <c r="O4" i="2"/>
  <c r="N4" i="2"/>
  <c r="M4" i="2"/>
  <c r="V33" i="2"/>
  <c r="T33" i="2"/>
  <c r="S33" i="2"/>
  <c r="R33" i="2"/>
  <c r="Q33" i="2"/>
  <c r="P33" i="2" s="1"/>
  <c r="U33" i="2" s="1"/>
  <c r="O33" i="2"/>
  <c r="N33" i="2"/>
  <c r="M33" i="2"/>
  <c r="V11" i="2"/>
  <c r="T11" i="2"/>
  <c r="S11" i="2"/>
  <c r="R11" i="2"/>
  <c r="Q11" i="2"/>
  <c r="P11" i="2" s="1"/>
  <c r="U11" i="2" s="1"/>
  <c r="O11" i="2"/>
  <c r="N11" i="2"/>
  <c r="M11" i="2"/>
  <c r="V24" i="2"/>
  <c r="T24" i="2"/>
  <c r="S24" i="2"/>
  <c r="R24" i="2"/>
  <c r="Q24" i="2"/>
  <c r="P24" i="2" s="1"/>
  <c r="U24" i="2" s="1"/>
  <c r="O24" i="2"/>
  <c r="N24" i="2"/>
  <c r="M24" i="2"/>
  <c r="V45" i="2"/>
  <c r="T45" i="2"/>
  <c r="S45" i="2"/>
  <c r="R45" i="2"/>
  <c r="Q45" i="2"/>
  <c r="P45" i="2" s="1"/>
  <c r="U45" i="2" s="1"/>
  <c r="O45" i="2"/>
  <c r="N45" i="2"/>
  <c r="M45" i="2"/>
  <c r="V44" i="2"/>
  <c r="T44" i="2"/>
  <c r="S44" i="2"/>
  <c r="R44" i="2"/>
  <c r="Q44" i="2"/>
  <c r="P44" i="2" s="1"/>
  <c r="U44" i="2" s="1"/>
  <c r="O44" i="2"/>
  <c r="N44" i="2"/>
  <c r="M44" i="2"/>
  <c r="V3" i="2"/>
  <c r="T3" i="2"/>
  <c r="S3" i="2"/>
  <c r="R3" i="2"/>
  <c r="Q3" i="2"/>
  <c r="P3" i="2" s="1"/>
  <c r="U3" i="2" s="1"/>
  <c r="O3" i="2"/>
  <c r="N3" i="2"/>
  <c r="M3" i="2"/>
  <c r="V31" i="2"/>
  <c r="T31" i="2"/>
  <c r="S31" i="2"/>
  <c r="R31" i="2"/>
  <c r="Q31" i="2"/>
  <c r="P31" i="2" s="1"/>
  <c r="U31" i="2" s="1"/>
  <c r="O31" i="2"/>
  <c r="N31" i="2"/>
  <c r="M31" i="2"/>
  <c r="V25" i="2"/>
  <c r="T25" i="2"/>
  <c r="S25" i="2"/>
  <c r="R25" i="2"/>
  <c r="Q25" i="2"/>
  <c r="P25" i="2" s="1"/>
  <c r="U25" i="2" s="1"/>
  <c r="O25" i="2"/>
  <c r="N25" i="2"/>
  <c r="M25" i="2"/>
  <c r="V21" i="2"/>
  <c r="T21" i="2"/>
  <c r="S21" i="2"/>
  <c r="R21" i="2"/>
  <c r="Q21" i="2"/>
  <c r="P21" i="2" s="1"/>
  <c r="U21" i="2" s="1"/>
  <c r="O21" i="2"/>
  <c r="N21" i="2"/>
  <c r="M21" i="2"/>
  <c r="V22" i="2"/>
  <c r="T22" i="2"/>
  <c r="S22" i="2"/>
  <c r="R22" i="2"/>
  <c r="Q22" i="2"/>
  <c r="P22" i="2" s="1"/>
  <c r="U22" i="2" s="1"/>
  <c r="O22" i="2"/>
  <c r="N22" i="2"/>
  <c r="M22" i="2"/>
  <c r="V46" i="2"/>
  <c r="T46" i="2"/>
  <c r="S46" i="2"/>
  <c r="R46" i="2"/>
  <c r="Q46" i="2"/>
  <c r="P46" i="2" s="1"/>
  <c r="U46" i="2" s="1"/>
  <c r="O46" i="2"/>
  <c r="N46" i="2"/>
  <c r="M46" i="2"/>
  <c r="V48" i="2"/>
  <c r="T48" i="2"/>
  <c r="S48" i="2"/>
  <c r="R48" i="2"/>
  <c r="Q48" i="2"/>
  <c r="P48" i="2" s="1"/>
  <c r="U48" i="2" s="1"/>
  <c r="O48" i="2"/>
  <c r="N48" i="2"/>
  <c r="M48" i="2"/>
  <c r="V13" i="2"/>
  <c r="T13" i="2"/>
  <c r="S13" i="2"/>
  <c r="R13" i="2"/>
  <c r="Q13" i="2"/>
  <c r="P13" i="2" s="1"/>
  <c r="U13" i="2" s="1"/>
  <c r="O13" i="2"/>
  <c r="N13" i="2"/>
  <c r="M13" i="2"/>
  <c r="V19" i="2"/>
  <c r="T19" i="2"/>
  <c r="S19" i="2"/>
  <c r="R19" i="2"/>
  <c r="Q19" i="2"/>
  <c r="P19" i="2" s="1"/>
  <c r="U19" i="2" s="1"/>
  <c r="O19" i="2"/>
  <c r="N19" i="2"/>
  <c r="M19" i="2"/>
  <c r="V36" i="2"/>
  <c r="T36" i="2"/>
  <c r="S36" i="2"/>
  <c r="R36" i="2"/>
  <c r="Q36" i="2"/>
  <c r="P36" i="2" s="1"/>
  <c r="U36" i="2" s="1"/>
  <c r="O36" i="2"/>
  <c r="N36" i="2"/>
  <c r="M36" i="2"/>
  <c r="V17" i="2"/>
  <c r="T17" i="2"/>
  <c r="S17" i="2"/>
  <c r="R17" i="2"/>
  <c r="Q17" i="2"/>
  <c r="P17" i="2" s="1"/>
  <c r="U17" i="2" s="1"/>
  <c r="O17" i="2"/>
  <c r="N17" i="2"/>
  <c r="M17" i="2"/>
  <c r="V8" i="2"/>
  <c r="T8" i="2"/>
  <c r="S8" i="2"/>
  <c r="R8" i="2"/>
  <c r="Q8" i="2"/>
  <c r="P8" i="2" s="1"/>
  <c r="U8" i="2" s="1"/>
  <c r="O8" i="2"/>
  <c r="N8" i="2"/>
  <c r="M8" i="2"/>
  <c r="V30" i="2"/>
  <c r="T30" i="2"/>
  <c r="S30" i="2"/>
  <c r="R30" i="2"/>
  <c r="Q30" i="2"/>
  <c r="P30" i="2" s="1"/>
  <c r="U30" i="2" s="1"/>
  <c r="O30" i="2"/>
  <c r="N30" i="2"/>
  <c r="M30" i="2"/>
  <c r="V6" i="2"/>
  <c r="T6" i="2"/>
  <c r="S6" i="2"/>
  <c r="R6" i="2"/>
  <c r="Q6" i="2"/>
  <c r="P6" i="2" s="1"/>
  <c r="U6" i="2" s="1"/>
  <c r="O6" i="2"/>
  <c r="N6" i="2"/>
  <c r="M6" i="2"/>
  <c r="V12" i="2"/>
  <c r="T12" i="2"/>
  <c r="S12" i="2"/>
  <c r="R12" i="2"/>
  <c r="Q12" i="2"/>
  <c r="P12" i="2" s="1"/>
  <c r="U12" i="2" s="1"/>
  <c r="O12" i="2"/>
  <c r="N12" i="2"/>
  <c r="M12" i="2"/>
  <c r="V26" i="2"/>
  <c r="T26" i="2"/>
  <c r="S26" i="2"/>
  <c r="R26" i="2"/>
  <c r="Q26" i="2"/>
  <c r="P26" i="2" s="1"/>
  <c r="U26" i="2" s="1"/>
  <c r="O26" i="2"/>
  <c r="N26" i="2"/>
  <c r="M26" i="2"/>
  <c r="V7" i="2"/>
  <c r="T7" i="2"/>
  <c r="S7" i="2"/>
  <c r="R7" i="2"/>
  <c r="Q7" i="2"/>
  <c r="P7" i="2" s="1"/>
  <c r="U7" i="2" s="1"/>
  <c r="O7" i="2"/>
  <c r="N7" i="2"/>
  <c r="M7" i="2"/>
  <c r="V2" i="2"/>
  <c r="T2" i="2"/>
  <c r="S2" i="2"/>
  <c r="R2" i="2"/>
  <c r="Q2" i="2"/>
  <c r="P2" i="2" s="1"/>
  <c r="U2" i="2" s="1"/>
  <c r="O2" i="2"/>
  <c r="N2" i="2"/>
  <c r="M2" i="2"/>
  <c r="V40" i="2"/>
  <c r="T40" i="2"/>
  <c r="S40" i="2"/>
  <c r="R40" i="2"/>
  <c r="Q40" i="2"/>
  <c r="P40" i="2" s="1"/>
  <c r="U40" i="2" s="1"/>
  <c r="O40" i="2"/>
  <c r="N40" i="2"/>
  <c r="M40" i="2"/>
  <c r="V47" i="2"/>
  <c r="T47" i="2"/>
  <c r="S47" i="2"/>
  <c r="R47" i="2"/>
  <c r="Q47" i="2"/>
  <c r="P47" i="2" s="1"/>
  <c r="U47" i="2" s="1"/>
  <c r="O47" i="2"/>
  <c r="N47" i="2"/>
  <c r="M47" i="2"/>
  <c r="V32" i="2"/>
  <c r="T32" i="2"/>
  <c r="S32" i="2"/>
  <c r="R32" i="2"/>
  <c r="Q32" i="2"/>
  <c r="P32" i="2" s="1"/>
  <c r="U32" i="2" s="1"/>
  <c r="O32" i="2"/>
  <c r="N32" i="2"/>
  <c r="M32" i="2"/>
  <c r="V35" i="2"/>
  <c r="T35" i="2"/>
  <c r="S35" i="2"/>
  <c r="R35" i="2"/>
  <c r="Q35" i="2"/>
  <c r="P35" i="2" s="1"/>
  <c r="U35" i="2" s="1"/>
  <c r="O35" i="2"/>
  <c r="N35" i="2"/>
  <c r="M35" i="2"/>
  <c r="P203" i="1"/>
  <c r="Q203" i="1"/>
  <c r="P121" i="1"/>
  <c r="Q121" i="1"/>
  <c r="P2" i="1"/>
  <c r="Q2" i="1"/>
  <c r="P158" i="1"/>
  <c r="Q158" i="1"/>
  <c r="P170" i="1"/>
  <c r="Q170" i="1"/>
  <c r="P43" i="1"/>
  <c r="Q43" i="1"/>
  <c r="P56" i="1"/>
  <c r="Q56" i="1"/>
  <c r="P13" i="1"/>
  <c r="Q13" i="1"/>
  <c r="P133" i="1"/>
  <c r="Q133" i="1"/>
  <c r="P212" i="1"/>
  <c r="Q212" i="1"/>
  <c r="P19" i="1"/>
  <c r="Q19" i="1"/>
  <c r="P88" i="1"/>
  <c r="Q88" i="1"/>
  <c r="P72" i="1"/>
  <c r="Q72" i="1"/>
  <c r="P23" i="1"/>
  <c r="Q23" i="1"/>
  <c r="P187" i="1"/>
  <c r="Q187" i="1"/>
  <c r="P36" i="1"/>
  <c r="Q36" i="1"/>
  <c r="P64" i="1"/>
  <c r="Q64" i="1"/>
  <c r="P17" i="1"/>
  <c r="Q17" i="1"/>
  <c r="P11" i="1"/>
  <c r="Q11" i="1"/>
  <c r="P115" i="1"/>
  <c r="Q115" i="1"/>
  <c r="P50" i="1"/>
  <c r="Q50" i="1"/>
  <c r="P80" i="1"/>
  <c r="Q80" i="1"/>
  <c r="P183" i="1"/>
  <c r="Q183" i="1"/>
  <c r="P147" i="1"/>
  <c r="Q147" i="1"/>
  <c r="P130" i="1"/>
  <c r="Q130" i="1"/>
  <c r="P108" i="1"/>
  <c r="Q108" i="1"/>
  <c r="P66" i="1"/>
  <c r="Q66" i="1"/>
  <c r="P16" i="1"/>
  <c r="Q16" i="1"/>
  <c r="P9" i="1"/>
  <c r="Q9" i="1"/>
  <c r="P124" i="1"/>
  <c r="Q124" i="1"/>
  <c r="P74" i="1"/>
  <c r="Q74" i="1"/>
  <c r="P8" i="1"/>
  <c r="Q8" i="1"/>
  <c r="P144" i="1"/>
  <c r="Q144" i="1"/>
  <c r="P77" i="1"/>
  <c r="Q77" i="1"/>
  <c r="P146" i="1"/>
  <c r="Q146" i="1"/>
  <c r="P172" i="1"/>
  <c r="Q172" i="1"/>
  <c r="P157" i="1"/>
  <c r="Q157" i="1"/>
  <c r="P136" i="1"/>
  <c r="Q136" i="1"/>
  <c r="P41" i="1"/>
  <c r="Q41" i="1"/>
  <c r="P40" i="1"/>
  <c r="Q40" i="1"/>
  <c r="P51" i="1"/>
  <c r="Q51" i="1"/>
  <c r="P89" i="1"/>
  <c r="Q89" i="1"/>
  <c r="P126" i="1"/>
  <c r="Q126" i="1"/>
  <c r="P97" i="1"/>
  <c r="Q97" i="1"/>
  <c r="P135" i="1"/>
  <c r="Q135" i="1"/>
  <c r="P178" i="1"/>
  <c r="Q178" i="1"/>
  <c r="P153" i="1"/>
  <c r="Q153" i="1"/>
  <c r="P28" i="1"/>
  <c r="Q28" i="1"/>
  <c r="P44" i="1"/>
  <c r="Q44" i="1"/>
  <c r="P171" i="1"/>
  <c r="Q171" i="1"/>
  <c r="P63" i="1"/>
  <c r="Q63" i="1"/>
  <c r="P55" i="1"/>
  <c r="Q55" i="1"/>
  <c r="P128" i="1"/>
  <c r="Q128" i="1"/>
  <c r="P26" i="1"/>
  <c r="Q26" i="1"/>
  <c r="P33" i="1"/>
  <c r="Q33" i="1"/>
  <c r="P111" i="1"/>
  <c r="Q111" i="1"/>
  <c r="P145" i="1"/>
  <c r="Q145" i="1"/>
  <c r="P132" i="1"/>
  <c r="Q132" i="1"/>
  <c r="P102" i="1"/>
  <c r="Q102" i="1"/>
  <c r="P195" i="1"/>
  <c r="Q195" i="1"/>
  <c r="P100" i="1"/>
  <c r="Q100" i="1"/>
  <c r="P35" i="1"/>
  <c r="Q35" i="1"/>
  <c r="P141" i="1"/>
  <c r="Q141" i="1"/>
  <c r="P151" i="1"/>
  <c r="Q151" i="1"/>
  <c r="P114" i="1"/>
  <c r="Q114" i="1"/>
  <c r="P134" i="1"/>
  <c r="Q134" i="1"/>
  <c r="P190" i="1"/>
  <c r="Q190" i="1"/>
  <c r="P98" i="1"/>
  <c r="Q98" i="1"/>
  <c r="P186" i="1"/>
  <c r="Q186" i="1"/>
  <c r="P46" i="1"/>
  <c r="Q46" i="1"/>
  <c r="P106" i="1"/>
  <c r="Q106" i="1"/>
  <c r="P139" i="1"/>
  <c r="Q139" i="1"/>
  <c r="P76" i="1"/>
  <c r="Q76" i="1"/>
  <c r="P107" i="1"/>
  <c r="Q107" i="1"/>
  <c r="P152" i="1"/>
  <c r="Q152" i="1"/>
  <c r="P211" i="1"/>
  <c r="Q211" i="1"/>
  <c r="P163" i="1"/>
  <c r="Q163" i="1"/>
  <c r="P180" i="1"/>
  <c r="Q180" i="1"/>
  <c r="P21" i="1"/>
  <c r="Q21" i="1"/>
  <c r="P173" i="1"/>
  <c r="Q173" i="1"/>
  <c r="P148" i="1"/>
  <c r="Q148" i="1"/>
  <c r="P91" i="1"/>
  <c r="Q91" i="1"/>
  <c r="P68" i="1"/>
  <c r="Q68" i="1"/>
  <c r="P109" i="1"/>
  <c r="Q109" i="1"/>
  <c r="P18" i="1"/>
  <c r="Q18" i="1"/>
  <c r="P204" i="1"/>
  <c r="Q204" i="1"/>
  <c r="P20" i="1"/>
  <c r="Q20" i="1"/>
  <c r="P59" i="1"/>
  <c r="Q59" i="1"/>
  <c r="P92" i="1"/>
  <c r="Q92" i="1"/>
  <c r="P169" i="1"/>
  <c r="Q169" i="1"/>
  <c r="P61" i="1"/>
  <c r="Q61" i="1"/>
  <c r="P94" i="1"/>
  <c r="Q94" i="1"/>
  <c r="P54" i="1"/>
  <c r="Q54" i="1"/>
  <c r="P142" i="1"/>
  <c r="P96" i="1"/>
  <c r="Q96" i="1"/>
  <c r="P116" i="1"/>
  <c r="Q116" i="1"/>
  <c r="P188" i="1"/>
  <c r="Q188" i="1"/>
  <c r="P159" i="1"/>
  <c r="Q159" i="1"/>
  <c r="P3" i="1"/>
  <c r="Q3" i="1"/>
  <c r="P150" i="1"/>
  <c r="Q150" i="1"/>
  <c r="P198" i="1"/>
  <c r="Q198" i="1"/>
  <c r="P62" i="1"/>
  <c r="Q62" i="1"/>
  <c r="P177" i="1"/>
  <c r="Q177" i="1"/>
  <c r="P154" i="1"/>
  <c r="Q154" i="1"/>
  <c r="P161" i="1"/>
  <c r="Q161" i="1"/>
  <c r="P10" i="1"/>
  <c r="Q10" i="1"/>
  <c r="P197" i="1"/>
  <c r="Q197" i="1"/>
  <c r="P60" i="1"/>
  <c r="Q60" i="1"/>
  <c r="P22" i="1"/>
  <c r="Q22" i="1"/>
  <c r="P104" i="1"/>
  <c r="Q104" i="1"/>
  <c r="P168" i="1"/>
  <c r="Q168" i="1"/>
  <c r="P213" i="1"/>
  <c r="Q213" i="1"/>
  <c r="P57" i="1"/>
  <c r="Q57" i="1"/>
  <c r="P30" i="1"/>
  <c r="Q30" i="1"/>
  <c r="P200" i="1"/>
  <c r="Q200" i="1"/>
  <c r="P32" i="1"/>
  <c r="Q32" i="1"/>
  <c r="P101" i="1"/>
  <c r="Q101" i="1"/>
  <c r="P206" i="1"/>
  <c r="Q206" i="1"/>
  <c r="P4" i="1"/>
  <c r="Q4" i="1"/>
  <c r="P193" i="1"/>
  <c r="Q193" i="1"/>
  <c r="P69" i="1"/>
  <c r="Q69" i="1"/>
  <c r="P181" i="1"/>
  <c r="Q181" i="1"/>
  <c r="P192" i="1"/>
  <c r="Q192" i="1"/>
  <c r="P119" i="1"/>
  <c r="Q119" i="1"/>
  <c r="P201" i="1"/>
  <c r="Q201" i="1"/>
  <c r="P29" i="1"/>
  <c r="Q29" i="1"/>
  <c r="P210" i="1"/>
  <c r="Q210" i="1"/>
  <c r="P138" i="1"/>
  <c r="Q138" i="1"/>
  <c r="P65" i="1"/>
  <c r="Q65" i="1"/>
  <c r="P37" i="1"/>
  <c r="Q37" i="1"/>
  <c r="P167" i="1"/>
  <c r="Q167" i="1"/>
  <c r="P7" i="1"/>
  <c r="Q7" i="1"/>
  <c r="P191" i="1"/>
  <c r="Q191" i="1"/>
  <c r="P175" i="1"/>
  <c r="Q175" i="1"/>
  <c r="P6" i="1"/>
  <c r="Q6" i="1"/>
  <c r="P93" i="1"/>
  <c r="Q93" i="1"/>
  <c r="P53" i="1"/>
  <c r="Q53" i="1"/>
  <c r="P182" i="1"/>
  <c r="Q182" i="1"/>
  <c r="P49" i="1"/>
  <c r="Q49" i="1"/>
  <c r="P39" i="1"/>
  <c r="Q39" i="1"/>
  <c r="P25" i="1"/>
  <c r="Q25" i="1"/>
  <c r="P209" i="1"/>
  <c r="Q209" i="1"/>
  <c r="P86" i="1"/>
  <c r="Q86" i="1"/>
  <c r="P214" i="1"/>
  <c r="Q214" i="1"/>
  <c r="P162" i="1"/>
  <c r="Q162" i="1"/>
  <c r="P31" i="1"/>
  <c r="Q31" i="1"/>
  <c r="P137" i="1"/>
  <c r="Q137" i="1"/>
  <c r="P156" i="1"/>
  <c r="Q156" i="1"/>
  <c r="P194" i="1"/>
  <c r="Q194" i="1"/>
  <c r="P84" i="1"/>
  <c r="Q84" i="1"/>
  <c r="P110" i="1"/>
  <c r="Q110" i="1"/>
  <c r="P112" i="1"/>
  <c r="Q112" i="1"/>
  <c r="P71" i="1"/>
  <c r="Q71" i="1"/>
  <c r="P81" i="1"/>
  <c r="Q81" i="1"/>
  <c r="P85" i="1"/>
  <c r="Q85" i="1"/>
  <c r="P184" i="1"/>
  <c r="Q184" i="1"/>
  <c r="P143" i="1"/>
  <c r="Q143" i="1"/>
  <c r="P14" i="1"/>
  <c r="Q14" i="1"/>
  <c r="P58" i="1"/>
  <c r="Q58" i="1"/>
  <c r="P95" i="1"/>
  <c r="Q95" i="1"/>
  <c r="P82" i="1"/>
  <c r="Q82" i="1"/>
  <c r="P47" i="1"/>
  <c r="Q47" i="1"/>
  <c r="P87" i="1"/>
  <c r="Q87" i="1"/>
  <c r="P155" i="1"/>
  <c r="Q155" i="1"/>
  <c r="P120" i="1"/>
  <c r="Q120" i="1"/>
  <c r="P12" i="1"/>
  <c r="Q12" i="1"/>
  <c r="P38" i="1"/>
  <c r="Q38" i="1"/>
  <c r="P129" i="1"/>
  <c r="Q129" i="1"/>
  <c r="P73" i="1"/>
  <c r="Q73" i="1"/>
  <c r="P48" i="1"/>
  <c r="Q48" i="1"/>
  <c r="P202" i="1"/>
  <c r="Q202" i="1"/>
  <c r="P90" i="1"/>
  <c r="Q90" i="1"/>
  <c r="P199" i="1"/>
  <c r="Q199" i="1"/>
  <c r="P105" i="1"/>
  <c r="Q105" i="1"/>
  <c r="P45" i="1"/>
  <c r="Q45" i="1"/>
  <c r="P125" i="1"/>
  <c r="Q125" i="1"/>
  <c r="P67" i="1"/>
  <c r="Q67" i="1"/>
  <c r="P160" i="1"/>
  <c r="Q160" i="1"/>
  <c r="P118" i="1"/>
  <c r="Q118" i="1"/>
  <c r="P83" i="1"/>
  <c r="Q83" i="1"/>
  <c r="P42" i="1"/>
  <c r="Q42" i="1"/>
  <c r="P189" i="1"/>
  <c r="Q189" i="1"/>
  <c r="P123" i="1"/>
  <c r="Q123" i="1"/>
  <c r="P131" i="1"/>
  <c r="Q131" i="1"/>
  <c r="P205" i="1"/>
  <c r="Q205" i="1"/>
  <c r="P165" i="1"/>
  <c r="Q165" i="1"/>
  <c r="P122" i="1"/>
  <c r="Q122" i="1"/>
  <c r="P207" i="1"/>
  <c r="Q207" i="1"/>
  <c r="P103" i="1"/>
  <c r="Q103" i="1"/>
  <c r="P79" i="1"/>
  <c r="Q79" i="1"/>
  <c r="P34" i="1"/>
  <c r="Q34" i="1"/>
  <c r="P196" i="1"/>
  <c r="Q196" i="1"/>
  <c r="C164" i="3" l="1"/>
  <c r="F151" i="3"/>
  <c r="F150" i="3"/>
  <c r="G10" i="3"/>
  <c r="W2" i="2"/>
  <c r="X2" i="2" s="1"/>
  <c r="W36" i="2"/>
  <c r="X36" i="2" s="1"/>
  <c r="W31" i="2"/>
  <c r="X31" i="2" s="1"/>
  <c r="W33" i="2"/>
  <c r="X33" i="2" s="1"/>
  <c r="W27" i="2"/>
  <c r="X27" i="2" s="1"/>
  <c r="W28" i="2"/>
  <c r="X28" i="2" s="1"/>
  <c r="S196" i="1"/>
  <c r="T196" i="1" s="1"/>
  <c r="S207" i="1"/>
  <c r="T207" i="1" s="1"/>
  <c r="S205" i="1"/>
  <c r="T205" i="1" s="1"/>
  <c r="S42" i="1"/>
  <c r="T42" i="1" s="1"/>
  <c r="S67" i="1"/>
  <c r="T67" i="1" s="1"/>
  <c r="S199" i="1"/>
  <c r="T199" i="1" s="1"/>
  <c r="S73" i="1"/>
  <c r="T73" i="1" s="1"/>
  <c r="S12" i="1"/>
  <c r="T12" i="1" s="1"/>
  <c r="S47" i="1"/>
  <c r="T47" i="1" s="1"/>
  <c r="S95" i="1"/>
  <c r="T95" i="1" s="1"/>
  <c r="S71" i="1"/>
  <c r="T71" i="1" s="1"/>
  <c r="S194" i="1"/>
  <c r="T194" i="1" s="1"/>
  <c r="S162" i="1"/>
  <c r="T162" i="1" s="1"/>
  <c r="S25" i="1"/>
  <c r="T25" i="1" s="1"/>
  <c r="S53" i="1"/>
  <c r="T53" i="1" s="1"/>
  <c r="S191" i="1"/>
  <c r="T191" i="1" s="1"/>
  <c r="S65" i="1"/>
  <c r="T65" i="1" s="1"/>
  <c r="S201" i="1"/>
  <c r="T201" i="1" s="1"/>
  <c r="S69" i="1"/>
  <c r="T69" i="1" s="1"/>
  <c r="S101" i="1"/>
  <c r="T101" i="1" s="1"/>
  <c r="S57" i="1"/>
  <c r="T57" i="1" s="1"/>
  <c r="S10" i="1"/>
  <c r="T10" i="1" s="1"/>
  <c r="S62" i="1"/>
  <c r="T62" i="1" s="1"/>
  <c r="S159" i="1"/>
  <c r="T159" i="1" s="1"/>
  <c r="S142" i="1"/>
  <c r="T142" i="1" s="1"/>
  <c r="S169" i="1"/>
  <c r="T169" i="1" s="1"/>
  <c r="S204" i="1"/>
  <c r="T204" i="1" s="1"/>
  <c r="S91" i="1"/>
  <c r="T91" i="1" s="1"/>
  <c r="S180" i="1"/>
  <c r="T180" i="1" s="1"/>
  <c r="S107" i="1"/>
  <c r="T107" i="1" s="1"/>
  <c r="S46" i="1"/>
  <c r="T46" i="1" s="1"/>
  <c r="S151" i="1"/>
  <c r="T151" i="1" s="1"/>
  <c r="S195" i="1"/>
  <c r="T195" i="1" s="1"/>
  <c r="S111" i="1"/>
  <c r="T111" i="1" s="1"/>
  <c r="S55" i="1"/>
  <c r="T55" i="1" s="1"/>
  <c r="S28" i="1"/>
  <c r="T28" i="1" s="1"/>
  <c r="S97" i="1"/>
  <c r="T97" i="1" s="1"/>
  <c r="S40" i="1"/>
  <c r="T40" i="1" s="1"/>
  <c r="S172" i="1"/>
  <c r="T172" i="1" s="1"/>
  <c r="S8" i="1"/>
  <c r="T8" i="1" s="1"/>
  <c r="S16" i="1"/>
  <c r="T16" i="1" s="1"/>
  <c r="S147" i="1"/>
  <c r="T147" i="1" s="1"/>
  <c r="S115" i="1"/>
  <c r="T115" i="1" s="1"/>
  <c r="S36" i="1"/>
  <c r="T36" i="1" s="1"/>
  <c r="S88" i="1"/>
  <c r="T88" i="1" s="1"/>
  <c r="S43" i="1"/>
  <c r="T43" i="1" s="1"/>
  <c r="S121" i="1"/>
  <c r="T121" i="1" s="1"/>
  <c r="S34" i="1"/>
  <c r="T34" i="1" s="1"/>
  <c r="S131" i="1"/>
  <c r="T131" i="1" s="1"/>
  <c r="S83" i="1"/>
  <c r="T83" i="1" s="1"/>
  <c r="S125" i="1"/>
  <c r="T125" i="1" s="1"/>
  <c r="S90" i="1"/>
  <c r="T90" i="1" s="1"/>
  <c r="S129" i="1"/>
  <c r="T129" i="1" s="1"/>
  <c r="S120" i="1"/>
  <c r="T120" i="1" s="1"/>
  <c r="S58" i="1"/>
  <c r="T58" i="1" s="1"/>
  <c r="S184" i="1"/>
  <c r="T184" i="1" s="1"/>
  <c r="S112" i="1"/>
  <c r="T112" i="1" s="1"/>
  <c r="S156" i="1"/>
  <c r="T156" i="1" s="1"/>
  <c r="S214" i="1"/>
  <c r="T214" i="1" s="1"/>
  <c r="S39" i="1"/>
  <c r="T39" i="1" s="1"/>
  <c r="S93" i="1"/>
  <c r="T93" i="1" s="1"/>
  <c r="S7" i="1"/>
  <c r="T7" i="1" s="1"/>
  <c r="S138" i="1"/>
  <c r="T138" i="1" s="1"/>
  <c r="S119" i="1"/>
  <c r="T119" i="1" s="1"/>
  <c r="S193" i="1"/>
  <c r="T193" i="1" s="1"/>
  <c r="S32" i="1"/>
  <c r="T32" i="1" s="1"/>
  <c r="S213" i="1"/>
  <c r="T213" i="1" s="1"/>
  <c r="S22" i="1"/>
  <c r="T22" i="1" s="1"/>
  <c r="S161" i="1"/>
  <c r="T161" i="1" s="1"/>
  <c r="S198" i="1"/>
  <c r="T198" i="1" s="1"/>
  <c r="S188" i="1"/>
  <c r="T188" i="1" s="1"/>
  <c r="S54" i="1"/>
  <c r="T54" i="1" s="1"/>
  <c r="S92" i="1"/>
  <c r="T92" i="1" s="1"/>
  <c r="S18" i="1"/>
  <c r="T18" i="1" s="1"/>
  <c r="S148" i="1"/>
  <c r="T148" i="1" s="1"/>
  <c r="S163" i="1"/>
  <c r="T163" i="1" s="1"/>
  <c r="S76" i="1"/>
  <c r="T76" i="1" s="1"/>
  <c r="S190" i="1"/>
  <c r="T190" i="1" s="1"/>
  <c r="S141" i="1"/>
  <c r="T141" i="1" s="1"/>
  <c r="S102" i="1"/>
  <c r="T102" i="1" s="1"/>
  <c r="S33" i="1"/>
  <c r="T33" i="1" s="1"/>
  <c r="S63" i="1"/>
  <c r="T63" i="1" s="1"/>
  <c r="S153" i="1"/>
  <c r="T153" i="1" s="1"/>
  <c r="S126" i="1"/>
  <c r="T126" i="1" s="1"/>
  <c r="S146" i="1"/>
  <c r="T146" i="1" s="1"/>
  <c r="S74" i="1"/>
  <c r="T74" i="1" s="1"/>
  <c r="S66" i="1"/>
  <c r="T66" i="1" s="1"/>
  <c r="S183" i="1"/>
  <c r="T183" i="1" s="1"/>
  <c r="S11" i="1"/>
  <c r="T11" i="1" s="1"/>
  <c r="S187" i="1"/>
  <c r="T187" i="1" s="1"/>
  <c r="S19" i="1"/>
  <c r="T19" i="1" s="1"/>
  <c r="S170" i="1"/>
  <c r="T170" i="1" s="1"/>
  <c r="S203" i="1"/>
  <c r="T203" i="1" s="1"/>
  <c r="S103" i="1"/>
  <c r="T103" i="1" s="1"/>
  <c r="S165" i="1"/>
  <c r="T165" i="1" s="1"/>
  <c r="S189" i="1"/>
  <c r="T189" i="1" s="1"/>
  <c r="S160" i="1"/>
  <c r="T160" i="1" s="1"/>
  <c r="S105" i="1"/>
  <c r="T105" i="1" s="1"/>
  <c r="S48" i="1"/>
  <c r="T48" i="1" s="1"/>
  <c r="S38" i="1"/>
  <c r="T38" i="1" s="1"/>
  <c r="S87" i="1"/>
  <c r="T87" i="1" s="1"/>
  <c r="S143" i="1"/>
  <c r="T143" i="1" s="1"/>
  <c r="S81" i="1"/>
  <c r="T81" i="1" s="1"/>
  <c r="S84" i="1"/>
  <c r="T84" i="1" s="1"/>
  <c r="S31" i="1"/>
  <c r="T31" i="1" s="1"/>
  <c r="S209" i="1"/>
  <c r="T209" i="1" s="1"/>
  <c r="S182" i="1"/>
  <c r="T182" i="1" s="1"/>
  <c r="S175" i="1"/>
  <c r="T175" i="1" s="1"/>
  <c r="S37" i="1"/>
  <c r="T37" i="1" s="1"/>
  <c r="S29" i="1"/>
  <c r="T29" i="1" s="1"/>
  <c r="S181" i="1"/>
  <c r="T181" i="1" s="1"/>
  <c r="S206" i="1"/>
  <c r="T206" i="1" s="1"/>
  <c r="S30" i="1"/>
  <c r="T30" i="1" s="1"/>
  <c r="S104" i="1"/>
  <c r="T104" i="1" s="1"/>
  <c r="S197" i="1"/>
  <c r="T197" i="1" s="1"/>
  <c r="S177" i="1"/>
  <c r="T177" i="1" s="1"/>
  <c r="S3" i="1"/>
  <c r="T3" i="1" s="1"/>
  <c r="S96" i="1"/>
  <c r="T96" i="1" s="1"/>
  <c r="S61" i="1"/>
  <c r="T61" i="1" s="1"/>
  <c r="S20" i="1"/>
  <c r="T20" i="1" s="1"/>
  <c r="S68" i="1"/>
  <c r="T68" i="1" s="1"/>
  <c r="S21" i="1"/>
  <c r="T21" i="1" s="1"/>
  <c r="S152" i="1"/>
  <c r="T152" i="1" s="1"/>
  <c r="S106" i="1"/>
  <c r="T106" i="1" s="1"/>
  <c r="S98" i="1"/>
  <c r="T98" i="1" s="1"/>
  <c r="S114" i="1"/>
  <c r="T114" i="1" s="1"/>
  <c r="S100" i="1"/>
  <c r="T100" i="1" s="1"/>
  <c r="S145" i="1"/>
  <c r="T145" i="1" s="1"/>
  <c r="S128" i="1"/>
  <c r="T128" i="1" s="1"/>
  <c r="S44" i="1"/>
  <c r="T44" i="1" s="1"/>
  <c r="S135" i="1"/>
  <c r="T135" i="1" s="1"/>
  <c r="S51" i="1"/>
  <c r="T51" i="1" s="1"/>
  <c r="S157" i="1"/>
  <c r="T157" i="1" s="1"/>
  <c r="S144" i="1"/>
  <c r="T144" i="1" s="1"/>
  <c r="S9" i="1"/>
  <c r="T9" i="1" s="1"/>
  <c r="S130" i="1"/>
  <c r="T130" i="1" s="1"/>
  <c r="S50" i="1"/>
  <c r="T50" i="1" s="1"/>
  <c r="S64" i="1"/>
  <c r="T64" i="1" s="1"/>
  <c r="S72" i="1"/>
  <c r="T72" i="1" s="1"/>
  <c r="S133" i="1"/>
  <c r="T133" i="1" s="1"/>
  <c r="S56" i="1"/>
  <c r="T56" i="1" s="1"/>
  <c r="S2" i="1"/>
  <c r="S79" i="1"/>
  <c r="T79" i="1" s="1"/>
  <c r="S122" i="1"/>
  <c r="T122" i="1" s="1"/>
  <c r="S123" i="1"/>
  <c r="T123" i="1" s="1"/>
  <c r="S118" i="1"/>
  <c r="T118" i="1" s="1"/>
  <c r="S45" i="1"/>
  <c r="T45" i="1" s="1"/>
  <c r="S202" i="1"/>
  <c r="T202" i="1" s="1"/>
  <c r="S155" i="1"/>
  <c r="T155" i="1" s="1"/>
  <c r="S82" i="1"/>
  <c r="T82" i="1" s="1"/>
  <c r="S14" i="1"/>
  <c r="T14" i="1" s="1"/>
  <c r="S85" i="1"/>
  <c r="T85" i="1" s="1"/>
  <c r="S110" i="1"/>
  <c r="T110" i="1" s="1"/>
  <c r="S137" i="1"/>
  <c r="T137" i="1" s="1"/>
  <c r="S86" i="1"/>
  <c r="T86" i="1" s="1"/>
  <c r="S49" i="1"/>
  <c r="T49" i="1" s="1"/>
  <c r="S6" i="1"/>
  <c r="T6" i="1" s="1"/>
  <c r="S167" i="1"/>
  <c r="T167" i="1" s="1"/>
  <c r="S210" i="1"/>
  <c r="T210" i="1" s="1"/>
  <c r="S192" i="1"/>
  <c r="T192" i="1" s="1"/>
  <c r="S4" i="1"/>
  <c r="T4" i="1" s="1"/>
  <c r="S200" i="1"/>
  <c r="T200" i="1" s="1"/>
  <c r="S168" i="1"/>
  <c r="T168" i="1" s="1"/>
  <c r="S60" i="1"/>
  <c r="T60" i="1" s="1"/>
  <c r="S154" i="1"/>
  <c r="T154" i="1" s="1"/>
  <c r="S150" i="1"/>
  <c r="T150" i="1" s="1"/>
  <c r="S116" i="1"/>
  <c r="T116" i="1" s="1"/>
  <c r="S94" i="1"/>
  <c r="T94" i="1" s="1"/>
  <c r="S59" i="1"/>
  <c r="T59" i="1" s="1"/>
  <c r="S109" i="1"/>
  <c r="T109" i="1" s="1"/>
  <c r="S173" i="1"/>
  <c r="T173" i="1" s="1"/>
  <c r="S211" i="1"/>
  <c r="T211" i="1" s="1"/>
  <c r="S139" i="1"/>
  <c r="T139" i="1" s="1"/>
  <c r="S186" i="1"/>
  <c r="T186" i="1" s="1"/>
  <c r="S134" i="1"/>
  <c r="T134" i="1" s="1"/>
  <c r="S35" i="1"/>
  <c r="T35" i="1" s="1"/>
  <c r="S132" i="1"/>
  <c r="T132" i="1" s="1"/>
  <c r="S26" i="1"/>
  <c r="T26" i="1" s="1"/>
  <c r="S171" i="1"/>
  <c r="T171" i="1" s="1"/>
  <c r="S178" i="1"/>
  <c r="T178" i="1" s="1"/>
  <c r="S89" i="1"/>
  <c r="T89" i="1" s="1"/>
  <c r="S136" i="1"/>
  <c r="T136" i="1" s="1"/>
  <c r="S77" i="1"/>
  <c r="T77" i="1" s="1"/>
  <c r="S124" i="1"/>
  <c r="T124" i="1" s="1"/>
  <c r="S108" i="1"/>
  <c r="T108" i="1" s="1"/>
  <c r="S80" i="1"/>
  <c r="T80" i="1" s="1"/>
  <c r="S17" i="1"/>
  <c r="T17" i="1" s="1"/>
  <c r="S23" i="1"/>
  <c r="T23" i="1" s="1"/>
  <c r="S212" i="1"/>
  <c r="T212" i="1" s="1"/>
  <c r="S13" i="1"/>
  <c r="T13" i="1" s="1"/>
  <c r="S158" i="1"/>
  <c r="T158" i="1" s="1"/>
  <c r="W32" i="2"/>
  <c r="X32" i="2" s="1"/>
  <c r="W30" i="2"/>
  <c r="X30" i="2" s="1"/>
  <c r="W22" i="2"/>
  <c r="X22" i="2" s="1"/>
  <c r="W24" i="2"/>
  <c r="X24" i="2" s="1"/>
  <c r="W23" i="2"/>
  <c r="X23" i="2" s="1"/>
  <c r="W39" i="2"/>
  <c r="X39" i="2" s="1"/>
  <c r="W7" i="2"/>
  <c r="X7" i="2" s="1"/>
  <c r="W19" i="2"/>
  <c r="X19" i="2" s="1"/>
  <c r="W3" i="2"/>
  <c r="X3" i="2" s="1"/>
  <c r="W4" i="2"/>
  <c r="X4" i="2" s="1"/>
  <c r="W9" i="2"/>
  <c r="X9" i="2" s="1"/>
  <c r="W42" i="2"/>
  <c r="X42" i="2" s="1"/>
  <c r="W35" i="2"/>
  <c r="X35" i="2" s="1"/>
  <c r="W6" i="2"/>
  <c r="X6" i="2" s="1"/>
  <c r="W46" i="2"/>
  <c r="X46" i="2" s="1"/>
  <c r="W45" i="2"/>
  <c r="X45" i="2" s="1"/>
  <c r="W20" i="2"/>
  <c r="X20" i="2" s="1"/>
  <c r="W41" i="2"/>
  <c r="X41" i="2" s="1"/>
  <c r="W26" i="2"/>
  <c r="X26" i="2" s="1"/>
  <c r="W13" i="2"/>
  <c r="X13" i="2" s="1"/>
  <c r="W44" i="2"/>
  <c r="X44" i="2" s="1"/>
  <c r="W10" i="2"/>
  <c r="X10" i="2" s="1"/>
  <c r="W18" i="2"/>
  <c r="X18" i="2" s="1"/>
  <c r="W38" i="2"/>
  <c r="X38" i="2" s="1"/>
  <c r="W12" i="2"/>
  <c r="X12" i="2" s="1"/>
  <c r="W48" i="2"/>
  <c r="X48" i="2" s="1"/>
  <c r="W37" i="2"/>
  <c r="X37" i="2" s="1"/>
  <c r="W16" i="2"/>
  <c r="X16" i="2" s="1"/>
  <c r="W34" i="2"/>
  <c r="X34" i="2" s="1"/>
  <c r="W47" i="2"/>
  <c r="X47" i="2" s="1"/>
  <c r="W8" i="2"/>
  <c r="X8" i="2" s="1"/>
  <c r="W21" i="2"/>
  <c r="X21" i="2" s="1"/>
  <c r="W5" i="2"/>
  <c r="X5" i="2" s="1"/>
  <c r="W14" i="2"/>
  <c r="X14" i="2" s="1"/>
  <c r="W43" i="2"/>
  <c r="X43" i="2" s="1"/>
  <c r="W40" i="2"/>
  <c r="X40" i="2" s="1"/>
  <c r="W17" i="2"/>
  <c r="X17" i="2" s="1"/>
  <c r="W25" i="2"/>
  <c r="X25" i="2" s="1"/>
  <c r="W11" i="2"/>
  <c r="X11" i="2" s="1"/>
  <c r="W29" i="2"/>
  <c r="X29" i="2" s="1"/>
  <c r="W15" i="2"/>
  <c r="X15" i="2" s="1"/>
  <c r="S41" i="1"/>
  <c r="T41" i="1" s="1"/>
  <c r="K215" i="1"/>
  <c r="Q142" i="1"/>
  <c r="L215" i="1"/>
  <c r="N215" i="1"/>
  <c r="L137" i="3"/>
  <c r="M137" i="3" s="1"/>
  <c r="F9" i="4"/>
  <c r="G8" i="3"/>
  <c r="E7" i="4"/>
  <c r="F8" i="3"/>
  <c r="F7" i="4"/>
  <c r="J138" i="4"/>
  <c r="L126" i="3"/>
  <c r="M126" i="3" s="1"/>
  <c r="K124" i="3"/>
  <c r="K138" i="3"/>
  <c r="L139" i="3"/>
  <c r="M139" i="3" s="1"/>
  <c r="K139" i="3"/>
  <c r="J151" i="4"/>
  <c r="K151" i="4"/>
  <c r="L151" i="4" s="1"/>
  <c r="K139" i="4"/>
  <c r="L139" i="4" s="1"/>
  <c r="J139" i="4"/>
  <c r="K140" i="4"/>
  <c r="L140" i="4" s="1"/>
  <c r="J140" i="4"/>
  <c r="J153" i="4"/>
  <c r="K153" i="4"/>
  <c r="L153" i="4" s="1"/>
  <c r="L125" i="3"/>
  <c r="M125" i="3" s="1"/>
  <c r="K125" i="3"/>
  <c r="L127" i="3"/>
  <c r="M127" i="3" s="1"/>
  <c r="K127" i="3"/>
  <c r="K141" i="4"/>
  <c r="L141" i="4" s="1"/>
  <c r="J141" i="4"/>
  <c r="K150" i="4"/>
  <c r="L150" i="4" s="1"/>
  <c r="J150" i="4"/>
  <c r="K152" i="4"/>
  <c r="L152" i="4" s="1"/>
  <c r="J152" i="4"/>
  <c r="E8" i="4"/>
  <c r="E9" i="4" s="1"/>
  <c r="J140" i="3"/>
  <c r="J149" i="4"/>
  <c r="F9" i="3"/>
  <c r="F10" i="3" s="1"/>
  <c r="C165" i="3" l="1"/>
  <c r="E164" i="3"/>
  <c r="T2" i="1"/>
  <c r="T215" i="1" s="1"/>
  <c r="S215" i="1"/>
  <c r="E76" i="4"/>
  <c r="F76" i="4" s="1"/>
  <c r="K137" i="3"/>
  <c r="K138" i="4"/>
  <c r="L138" i="4" s="1"/>
  <c r="J142" i="3"/>
  <c r="K126" i="3"/>
  <c r="L124" i="3"/>
  <c r="M124" i="3" s="1"/>
  <c r="L138" i="3"/>
  <c r="M138" i="3" s="1"/>
  <c r="L136" i="3"/>
  <c r="M136" i="3" s="1"/>
  <c r="K136" i="3"/>
  <c r="L135" i="3"/>
  <c r="M135" i="3" s="1"/>
  <c r="K135" i="3"/>
  <c r="C166" i="3" l="1"/>
  <c r="F152" i="3"/>
  <c r="F153" i="3"/>
  <c r="E165" i="3"/>
  <c r="E77" i="4"/>
  <c r="F77" i="4" s="1"/>
  <c r="C167" i="3" l="1"/>
  <c r="E166" i="3"/>
  <c r="E78" i="4"/>
  <c r="F78" i="4" s="1"/>
  <c r="C168" i="3" l="1"/>
  <c r="F154" i="3"/>
  <c r="E167" i="3"/>
  <c r="E79" i="4"/>
  <c r="F79" i="4" s="1"/>
  <c r="F155" i="3" l="1"/>
  <c r="C169" i="3"/>
  <c r="F156" i="3"/>
  <c r="E168" i="3"/>
  <c r="E80" i="4"/>
  <c r="F80" i="4" s="1"/>
  <c r="I156" i="4"/>
  <c r="C170" i="3" l="1"/>
  <c r="E170" i="3"/>
  <c r="E169" i="3"/>
  <c r="F119" i="4"/>
  <c r="C171" i="3" l="1"/>
  <c r="F157" i="3"/>
  <c r="F120" i="4"/>
  <c r="C172" i="3" l="1"/>
  <c r="E172" i="3" s="1"/>
  <c r="F158" i="3"/>
  <c r="E171" i="3"/>
  <c r="F121" i="4"/>
  <c r="C173" i="3" l="1"/>
  <c r="F159" i="3"/>
  <c r="E173" i="3"/>
  <c r="F122" i="4"/>
  <c r="C174" i="3" l="1"/>
  <c r="F160" i="3"/>
  <c r="E174" i="3"/>
  <c r="F123" i="4"/>
  <c r="C175" i="3" l="1"/>
  <c r="F161" i="3"/>
  <c r="E175" i="3"/>
  <c r="F124" i="4"/>
  <c r="C176" i="3" l="1"/>
  <c r="F162" i="3"/>
  <c r="E176" i="3"/>
  <c r="F125" i="4"/>
  <c r="C177" i="3" l="1"/>
  <c r="E177" i="3" s="1"/>
  <c r="F163" i="3"/>
  <c r="F164" i="3"/>
  <c r="I158" i="4"/>
  <c r="I146" i="4"/>
  <c r="F126" i="4"/>
  <c r="C178" i="3" l="1"/>
  <c r="E178" i="3"/>
  <c r="F127" i="4"/>
  <c r="C179" i="3" l="1"/>
  <c r="F165" i="3"/>
  <c r="F128" i="4"/>
  <c r="E179" i="3" l="1"/>
  <c r="C180" i="3"/>
  <c r="F166" i="3"/>
  <c r="F129" i="4"/>
  <c r="C181" i="3" l="1"/>
  <c r="F167" i="3"/>
  <c r="E180" i="3"/>
  <c r="F130" i="4"/>
  <c r="C182" i="3" l="1"/>
  <c r="E182" i="3" s="1"/>
  <c r="F168" i="3"/>
  <c r="E181" i="3"/>
  <c r="C183" i="3" l="1"/>
  <c r="F169" i="3"/>
  <c r="C184" i="3" l="1"/>
  <c r="F170" i="3"/>
  <c r="E183" i="3"/>
  <c r="E184" i="3"/>
  <c r="C185" i="3" l="1"/>
  <c r="F171" i="3"/>
  <c r="C186" i="3" l="1"/>
  <c r="F172" i="3"/>
  <c r="F173" i="3"/>
  <c r="E185" i="3"/>
  <c r="C187" i="3" l="1"/>
  <c r="E186" i="3"/>
  <c r="C188" i="3" l="1"/>
  <c r="F174" i="3"/>
  <c r="E187" i="3"/>
  <c r="E137" i="4"/>
  <c r="C189" i="3" l="1"/>
  <c r="F175" i="3"/>
  <c r="E188" i="3"/>
  <c r="E189" i="3"/>
  <c r="E138" i="4"/>
  <c r="I157" i="4"/>
  <c r="C190" i="3" l="1"/>
  <c r="F176" i="3"/>
  <c r="E190" i="3"/>
  <c r="E139" i="4"/>
  <c r="D74" i="4"/>
  <c r="C191" i="3" l="1"/>
  <c r="F177" i="3"/>
  <c r="E191" i="3"/>
  <c r="E140" i="4"/>
  <c r="I144" i="4"/>
  <c r="D78" i="4"/>
  <c r="D79" i="4"/>
  <c r="D77" i="4"/>
  <c r="D75" i="4"/>
  <c r="D76" i="4"/>
  <c r="C192" i="3" l="1"/>
  <c r="F178" i="3"/>
  <c r="E192" i="3"/>
  <c r="E141" i="4"/>
  <c r="C193" i="3" l="1"/>
  <c r="F179" i="3"/>
  <c r="E193" i="3"/>
  <c r="D141" i="4"/>
  <c r="D137" i="4"/>
  <c r="D138" i="4"/>
  <c r="D139" i="4"/>
  <c r="D140" i="4"/>
  <c r="E137" i="3"/>
  <c r="C194" i="3" l="1"/>
  <c r="F180" i="3"/>
  <c r="E194" i="3"/>
  <c r="E138" i="3"/>
  <c r="I145" i="4"/>
  <c r="C195" i="3" l="1"/>
  <c r="F181" i="3"/>
  <c r="E195" i="3"/>
  <c r="E139" i="3"/>
  <c r="C196" i="3" l="1"/>
  <c r="F182" i="3"/>
  <c r="E196" i="3"/>
  <c r="E140" i="3"/>
  <c r="C197" i="3" l="1"/>
  <c r="F183" i="3"/>
  <c r="E197" i="3"/>
  <c r="C198" i="3" l="1"/>
  <c r="F184" i="3"/>
  <c r="E198" i="3"/>
  <c r="E141" i="3"/>
  <c r="C199" i="3" l="1"/>
  <c r="F185" i="3"/>
  <c r="E199" i="3"/>
  <c r="C200" i="3" l="1"/>
  <c r="F186" i="3"/>
  <c r="E200" i="3"/>
  <c r="F137" i="3"/>
  <c r="C201" i="3" l="1"/>
  <c r="F187" i="3"/>
  <c r="E201" i="3"/>
  <c r="F138" i="3"/>
  <c r="C202" i="3" l="1"/>
  <c r="F188" i="3"/>
  <c r="E202" i="3"/>
  <c r="F139" i="3"/>
  <c r="E203" i="3" l="1"/>
  <c r="C203" i="3"/>
  <c r="F189" i="3"/>
  <c r="F140" i="3"/>
  <c r="F190" i="3" l="1"/>
  <c r="F141" i="3"/>
  <c r="J144" i="3"/>
  <c r="F191" i="3" l="1"/>
  <c r="F192" i="3" l="1"/>
  <c r="F193" i="3" l="1"/>
  <c r="F194" i="3" l="1"/>
  <c r="F195" i="3" l="1"/>
  <c r="F215" i="1"/>
  <c r="O215" i="1"/>
  <c r="B215" i="1"/>
  <c r="E215" i="1"/>
  <c r="H215" i="1"/>
  <c r="M215" i="1"/>
  <c r="D215" i="1"/>
  <c r="C215" i="1"/>
  <c r="P215" i="1"/>
  <c r="G215" i="1"/>
  <c r="I215" i="1"/>
  <c r="J215" i="1"/>
  <c r="F196" i="3" l="1"/>
  <c r="F197" i="3" l="1"/>
  <c r="F198" i="3" l="1"/>
  <c r="F199" i="3" l="1"/>
  <c r="F200" i="3" l="1"/>
  <c r="F201" i="3" l="1"/>
  <c r="F203" i="3" l="1"/>
  <c r="F20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25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H126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  <comment ref="H137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H138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39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G140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  <comment ref="G151" authorId="0" shapeId="0" xr:uid="{00000000-0006-0000-03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G152" authorId="0" shapeId="0" xr:uid="{00000000-0006-0000-0300-000004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</commentList>
</comments>
</file>

<file path=xl/sharedStrings.xml><?xml version="1.0" encoding="utf-8"?>
<sst xmlns="http://schemas.openxmlformats.org/spreadsheetml/2006/main" count="511" uniqueCount="345">
  <si>
    <t>Rank</t>
  </si>
  <si>
    <t>Country</t>
  </si>
  <si>
    <t>Cases</t>
  </si>
  <si>
    <t>New Cases</t>
  </si>
  <si>
    <t>Deaths</t>
  </si>
  <si>
    <t>New Deaths</t>
  </si>
  <si>
    <t>Recovered</t>
  </si>
  <si>
    <t>Active</t>
  </si>
  <si>
    <t>Serious, Critical</t>
  </si>
  <si>
    <t>Cases/1M</t>
  </si>
  <si>
    <t>Deaths/1M</t>
  </si>
  <si>
    <t>Tests</t>
  </si>
  <si>
    <t>Population</t>
  </si>
  <si>
    <t xml:space="preserve">1/# </t>
  </si>
  <si>
    <t>1/# Deaths</t>
  </si>
  <si>
    <t>Ex(Deaths)</t>
  </si>
  <si>
    <t>Death Rate</t>
  </si>
  <si>
    <t>Cases per Death</t>
  </si>
  <si>
    <t>Percent Infected</t>
  </si>
  <si>
    <t>Percent Dead</t>
  </si>
  <si>
    <t>Percent Ex(Death)</t>
  </si>
  <si>
    <t>% Active</t>
  </si>
  <si>
    <t>San Marino</t>
  </si>
  <si>
    <t>Qatar</t>
  </si>
  <si>
    <t>Vatican City</t>
  </si>
  <si>
    <t>Andorra</t>
  </si>
  <si>
    <t>Luxembourg</t>
  </si>
  <si>
    <t>Spain</t>
  </si>
  <si>
    <t>Mayotte</t>
  </si>
  <si>
    <t>Singapore</t>
  </si>
  <si>
    <t>Bahrain</t>
  </si>
  <si>
    <t>Iceland</t>
  </si>
  <si>
    <t>Kuwait</t>
  </si>
  <si>
    <t>USA</t>
  </si>
  <si>
    <t>Ireland</t>
  </si>
  <si>
    <t>Belgium</t>
  </si>
  <si>
    <t>Gibraltar</t>
  </si>
  <si>
    <t>Isle of Man</t>
  </si>
  <si>
    <t>Belarus</t>
  </si>
  <si>
    <t>Faeroe Islands</t>
  </si>
  <si>
    <t>UK</t>
  </si>
  <si>
    <t>N/A</t>
  </si>
  <si>
    <t>Italy</t>
  </si>
  <si>
    <t>Falkland Islands</t>
  </si>
  <si>
    <t>Peru</t>
  </si>
  <si>
    <t>Chile</t>
  </si>
  <si>
    <t>Switzerland</t>
  </si>
  <si>
    <t>Sweden</t>
  </si>
  <si>
    <t>Channel Islands</t>
  </si>
  <si>
    <t>Portugal</t>
  </si>
  <si>
    <t>UAE</t>
  </si>
  <si>
    <t>France</t>
  </si>
  <si>
    <t>Netherlands</t>
  </si>
  <si>
    <t>Maldives</t>
  </si>
  <si>
    <t>Panama</t>
  </si>
  <si>
    <t>Monaco</t>
  </si>
  <si>
    <t>Russia</t>
  </si>
  <si>
    <t>Armenia</t>
  </si>
  <si>
    <t>Djibouti</t>
  </si>
  <si>
    <t>Canada</t>
  </si>
  <si>
    <t>Montserrat</t>
  </si>
  <si>
    <t>Germany</t>
  </si>
  <si>
    <t>Liechtenstein</t>
  </si>
  <si>
    <t>Bermuda</t>
  </si>
  <si>
    <t>Saudi Arabia</t>
  </si>
  <si>
    <t>Ecuador</t>
  </si>
  <si>
    <t>Denmark</t>
  </si>
  <si>
    <t>Cayman Islands</t>
  </si>
  <si>
    <t>Turkey</t>
  </si>
  <si>
    <t>Austria</t>
  </si>
  <si>
    <t>Israel</t>
  </si>
  <si>
    <t>Sint Maarten</t>
  </si>
  <si>
    <t>Moldova</t>
  </si>
  <si>
    <t>Brazil</t>
  </si>
  <si>
    <t>Iran</t>
  </si>
  <si>
    <t>Norway</t>
  </si>
  <si>
    <t>Oman</t>
  </si>
  <si>
    <t>Malta</t>
  </si>
  <si>
    <t>Estonia</t>
  </si>
  <si>
    <t>Dominican Republic</t>
  </si>
  <si>
    <t>Serbia</t>
  </si>
  <si>
    <t>Finland</t>
  </si>
  <si>
    <t>Sao Tome and Principe</t>
  </si>
  <si>
    <t>French Guiana</t>
  </si>
  <si>
    <t>Saint Martin</t>
  </si>
  <si>
    <t>North Macedonia</t>
  </si>
  <si>
    <t>Romania</t>
  </si>
  <si>
    <t>Aruba</t>
  </si>
  <si>
    <t>Gabon</t>
  </si>
  <si>
    <t>Czechia</t>
  </si>
  <si>
    <t>Cyprus</t>
  </si>
  <si>
    <t>Equatorial Guinea</t>
  </si>
  <si>
    <t>Bosnia and Herzegovina</t>
  </si>
  <si>
    <t>Slovenia</t>
  </si>
  <si>
    <t>Cabo Verde</t>
  </si>
  <si>
    <t>Lithuania</t>
  </si>
  <si>
    <t>Guinea-Bissau</t>
  </si>
  <si>
    <t>Poland</t>
  </si>
  <si>
    <t>Latvia</t>
  </si>
  <si>
    <t>Croatia</t>
  </si>
  <si>
    <t>Bolivia</t>
  </si>
  <si>
    <t>Mexico</t>
  </si>
  <si>
    <t>Martinique</t>
  </si>
  <si>
    <t>Montenegro</t>
  </si>
  <si>
    <t>Réunion</t>
  </si>
  <si>
    <t>Ukraine</t>
  </si>
  <si>
    <t>Kazakhstan</t>
  </si>
  <si>
    <t>Azerbaijan</t>
  </si>
  <si>
    <t>Colombia</t>
  </si>
  <si>
    <t>Guadeloupe</t>
  </si>
  <si>
    <t>Honduras</t>
  </si>
  <si>
    <t>Hungary</t>
  </si>
  <si>
    <t>South Africa</t>
  </si>
  <si>
    <t>Bulgaria</t>
  </si>
  <si>
    <t>Albania</t>
  </si>
  <si>
    <t>Brunei</t>
  </si>
  <si>
    <t>Barbados</t>
  </si>
  <si>
    <t>New Zealand</t>
  </si>
  <si>
    <t>Turks and Caicos</t>
  </si>
  <si>
    <t>Tajikistan</t>
  </si>
  <si>
    <t>El Salvador</t>
  </si>
  <si>
    <t>Afghanistan</t>
  </si>
  <si>
    <t>Saint Kitts and Nevis</t>
  </si>
  <si>
    <t>Australia</t>
  </si>
  <si>
    <t>Slovakia</t>
  </si>
  <si>
    <t>Greece</t>
  </si>
  <si>
    <t>Argentina</t>
  </si>
  <si>
    <t>British Virgin Islands</t>
  </si>
  <si>
    <t>Mauritius</t>
  </si>
  <si>
    <t>Pakistan</t>
  </si>
  <si>
    <t>Antigua and Barbuda</t>
  </si>
  <si>
    <t>Bahamas</t>
  </si>
  <si>
    <t>Guinea</t>
  </si>
  <si>
    <t>Malaysia</t>
  </si>
  <si>
    <t>Dominica</t>
  </si>
  <si>
    <t>Uruguay</t>
  </si>
  <si>
    <t>Kyrgyzstan</t>
  </si>
  <si>
    <t>Ghana</t>
  </si>
  <si>
    <t>S. Korea</t>
  </si>
  <si>
    <t>Bangladesh</t>
  </si>
  <si>
    <t>Eswatini</t>
  </si>
  <si>
    <t>French Polynesia</t>
  </si>
  <si>
    <t>Greenland</t>
  </si>
  <si>
    <t>Morocco</t>
  </si>
  <si>
    <t>Grenada</t>
  </si>
  <si>
    <t>Guatemala</t>
  </si>
  <si>
    <t>Algeria</t>
  </si>
  <si>
    <t>Senegal</t>
  </si>
  <si>
    <t>Jamaica</t>
  </si>
  <si>
    <t>Cameroon</t>
  </si>
  <si>
    <t>Georgia</t>
  </si>
  <si>
    <t>Costa Rica</t>
  </si>
  <si>
    <t>Guyana</t>
  </si>
  <si>
    <t>Cuba</t>
  </si>
  <si>
    <t>Egypt</t>
  </si>
  <si>
    <t>Lebanon</t>
  </si>
  <si>
    <t>St. Vincent Grenadines</t>
  </si>
  <si>
    <t>Hong Kong</t>
  </si>
  <si>
    <t>Philippines</t>
  </si>
  <si>
    <t>Japan</t>
  </si>
  <si>
    <t>CAR</t>
  </si>
  <si>
    <t>Paraguay</t>
  </si>
  <si>
    <t>Seychelles</t>
  </si>
  <si>
    <t>Iraq</t>
  </si>
  <si>
    <t>Curaçao</t>
  </si>
  <si>
    <t>India</t>
  </si>
  <si>
    <t>Somalia</t>
  </si>
  <si>
    <t>Comoros</t>
  </si>
  <si>
    <t>Saint Lucia</t>
  </si>
  <si>
    <t>Uzbekistan</t>
  </si>
  <si>
    <t>Sierra Leone</t>
  </si>
  <si>
    <t>Ivory Coast</t>
  </si>
  <si>
    <t>Tunisia</t>
  </si>
  <si>
    <t>Congo</t>
  </si>
  <si>
    <t>Sudan</t>
  </si>
  <si>
    <t>Haiti</t>
  </si>
  <si>
    <t>Indonesia</t>
  </si>
  <si>
    <t>Palestine</t>
  </si>
  <si>
    <t>Trinidad and Tobago</t>
  </si>
  <si>
    <t>Jordan</t>
  </si>
  <si>
    <t>Macao</t>
  </si>
  <si>
    <t>New Caledonia</t>
  </si>
  <si>
    <t>South Sudan</t>
  </si>
  <si>
    <t>China</t>
  </si>
  <si>
    <t>Sri Lanka</t>
  </si>
  <si>
    <t>Liberia</t>
  </si>
  <si>
    <t>Mauritania</t>
  </si>
  <si>
    <t>Mali</t>
  </si>
  <si>
    <t>Zambia</t>
  </si>
  <si>
    <t>Togo</t>
  </si>
  <si>
    <t>Belize</t>
  </si>
  <si>
    <t>Thailand</t>
  </si>
  <si>
    <t>Mongolia</t>
  </si>
  <si>
    <t>Nicaragua</t>
  </si>
  <si>
    <t>Chad</t>
  </si>
  <si>
    <t>Venezuela</t>
  </si>
  <si>
    <t>Niger</t>
  </si>
  <si>
    <t>Burkina Faso</t>
  </si>
  <si>
    <t>Nigeria</t>
  </si>
  <si>
    <t>Bhutan</t>
  </si>
  <si>
    <t>Rwanda</t>
  </si>
  <si>
    <t>DRC</t>
  </si>
  <si>
    <t>Nepal</t>
  </si>
  <si>
    <t>Kenya</t>
  </si>
  <si>
    <t>Fiji</t>
  </si>
  <si>
    <t>Madagascar</t>
  </si>
  <si>
    <t>Suriname</t>
  </si>
  <si>
    <t>Taiwan</t>
  </si>
  <si>
    <t>Timor-Leste</t>
  </si>
  <si>
    <t>Benin</t>
  </si>
  <si>
    <t>Western Sahara</t>
  </si>
  <si>
    <t>Botswana</t>
  </si>
  <si>
    <t>Eritrea</t>
  </si>
  <si>
    <t>Libya</t>
  </si>
  <si>
    <t>Gambia</t>
  </si>
  <si>
    <t>Tanzania</t>
  </si>
  <si>
    <t>Namibia</t>
  </si>
  <si>
    <t>Yemen</t>
  </si>
  <si>
    <t>Cambodia</t>
  </si>
  <si>
    <t>Mozambique</t>
  </si>
  <si>
    <t>Syria</t>
  </si>
  <si>
    <t>Ethiopia</t>
  </si>
  <si>
    <t>Uganda</t>
  </si>
  <si>
    <t>Malawi</t>
  </si>
  <si>
    <t>Zimbabwe</t>
  </si>
  <si>
    <t>Myanmar</t>
  </si>
  <si>
    <t>Burundi</t>
  </si>
  <si>
    <t>Vietnam</t>
  </si>
  <si>
    <t>Laos</t>
  </si>
  <si>
    <t>Angola</t>
  </si>
  <si>
    <t>Papua New Guinea</t>
  </si>
  <si>
    <t>Lesotho</t>
  </si>
  <si>
    <t>Caribbean Netherlands</t>
  </si>
  <si>
    <t>St. Barth</t>
  </si>
  <si>
    <t>Anguilla</t>
  </si>
  <si>
    <t>Saint Pierre Miquelon</t>
  </si>
  <si>
    <t>State</t>
  </si>
  <si>
    <t>Test/1M</t>
  </si>
  <si>
    <t>Source</t>
  </si>
  <si>
    <t>Projections</t>
  </si>
  <si>
    <t>Cases per Test</t>
  </si>
  <si>
    <t>New York</t>
  </si>
  <si>
    <t>[projections]</t>
  </si>
  <si>
    <t>New Jersey</t>
  </si>
  <si>
    <t>Connecticut</t>
  </si>
  <si>
    <t>Massachusetts</t>
  </si>
  <si>
    <t>District Of Columbia</t>
  </si>
  <si>
    <t>Louisiana</t>
  </si>
  <si>
    <t>Rhode Island</t>
  </si>
  <si>
    <t>Michigan</t>
  </si>
  <si>
    <t>Pennsylvania</t>
  </si>
  <si>
    <t>Illinois</t>
  </si>
  <si>
    <t>Maryland</t>
  </si>
  <si>
    <t>Delaware</t>
  </si>
  <si>
    <t>Indiana</t>
  </si>
  <si>
    <t>Colorado</t>
  </si>
  <si>
    <t>Mississippi</t>
  </si>
  <si>
    <t>Ohio</t>
  </si>
  <si>
    <t>Minnesota</t>
  </si>
  <si>
    <t>New Hampshire</t>
  </si>
  <si>
    <t>New Mexico</t>
  </si>
  <si>
    <t>Iowa</t>
  </si>
  <si>
    <t>Washington</t>
  </si>
  <si>
    <t>Virginia</t>
  </si>
  <si>
    <t>Nevada</t>
  </si>
  <si>
    <t>Alabama</t>
  </si>
  <si>
    <t>Missouri</t>
  </si>
  <si>
    <t>Arizona</t>
  </si>
  <si>
    <t>Florida</t>
  </si>
  <si>
    <t>California</t>
  </si>
  <si>
    <t>Wisconsin</t>
  </si>
  <si>
    <t>Kentucky</t>
  </si>
  <si>
    <t>South Carolina</t>
  </si>
  <si>
    <t>Oklahoma</t>
  </si>
  <si>
    <t>Nebraska</t>
  </si>
  <si>
    <t>North Carolina</t>
  </si>
  <si>
    <t>Kansas</t>
  </si>
  <si>
    <t>North Dakota</t>
  </si>
  <si>
    <t>South Dakota</t>
  </si>
  <si>
    <t>Texas</t>
  </si>
  <si>
    <t>Tennessee</t>
  </si>
  <si>
    <t>Idaho</t>
  </si>
  <si>
    <t>West Virginia</t>
  </si>
  <si>
    <t>Arkansas</t>
  </si>
  <si>
    <t>Puerto Rico</t>
  </si>
  <si>
    <t>Oregon</t>
  </si>
  <si>
    <t>Utah</t>
  </si>
  <si>
    <t>Wyoming</t>
  </si>
  <si>
    <t>Montana</t>
  </si>
  <si>
    <t>Alaska</t>
  </si>
  <si>
    <t>Hawaii</t>
  </si>
  <si>
    <t>Navajo Nation</t>
  </si>
  <si>
    <t>US Military</t>
  </si>
  <si>
    <t>Northern Mariana Islands</t>
  </si>
  <si>
    <t>Veteran Affairs</t>
  </si>
  <si>
    <t>Guam</t>
  </si>
  <si>
    <t>United States Virgin Islands</t>
  </si>
  <si>
    <t>Maine</t>
  </si>
  <si>
    <t>Vermont</t>
  </si>
  <si>
    <t>Federal Prisons</t>
  </si>
  <si>
    <t>Day</t>
  </si>
  <si>
    <t>Death:Case Ratio</t>
  </si>
  <si>
    <t>Growth Rate</t>
  </si>
  <si>
    <t>Pre 15-Mar</t>
  </si>
  <si>
    <t>WW2</t>
  </si>
  <si>
    <t>Civil War</t>
  </si>
  <si>
    <t>Average Daily Mortality over X time period</t>
  </si>
  <si>
    <t>End</t>
  </si>
  <si>
    <t>Days since</t>
  </si>
  <si>
    <t>AVG</t>
  </si>
  <si>
    <t>Annual Total</t>
  </si>
  <si>
    <t>Days to 1%</t>
  </si>
  <si>
    <t>Years to 1%</t>
  </si>
  <si>
    <t>Start</t>
  </si>
  <si>
    <t>Days</t>
  </si>
  <si>
    <t>Casualties</t>
  </si>
  <si>
    <t>Casualties/Day</t>
  </si>
  <si>
    <t>All Deaths</t>
  </si>
  <si>
    <t>Deaths/Day</t>
  </si>
  <si>
    <t>March</t>
  </si>
  <si>
    <t>April</t>
  </si>
  <si>
    <t>May</t>
  </si>
  <si>
    <t>June</t>
  </si>
  <si>
    <t>Average Daily Cases over X time period</t>
  </si>
  <si>
    <t>Days to 100%</t>
  </si>
  <si>
    <t>Years to 100%</t>
  </si>
  <si>
    <t>Forecasted Totals</t>
  </si>
  <si>
    <t>July</t>
  </si>
  <si>
    <t>Percent Actively Infected</t>
  </si>
  <si>
    <t>1/# Active</t>
  </si>
  <si>
    <t>[1] </t>
  </si>
  <si>
    <t>Percent Active Infected</t>
  </si>
  <si>
    <t>July so far</t>
  </si>
  <si>
    <r>
      <t>[</t>
    </r>
    <r>
      <rPr>
        <sz val="9"/>
        <color rgb="FF337AB7"/>
        <rFont val="Arial"/>
        <family val="2"/>
      </rPr>
      <t>view by county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</si>
  <si>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view by county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</si>
  <si>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view by county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</si>
  <si>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</si>
  <si>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</si>
  <si>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</si>
  <si>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5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6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</si>
  <si>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5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6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7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</si>
  <si>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5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6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7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8</t>
    </r>
    <r>
      <rPr>
        <sz val="9"/>
        <color rgb="FF363945"/>
        <rFont val="Arial"/>
        <family val="2"/>
      </rPr>
      <t>] </t>
    </r>
  </si>
  <si>
    <t>https://www.nhpr.org/post/explore-data-tracking-covid-19-new-hampshire#stream/0</t>
  </si>
  <si>
    <t>Rank Sort</t>
  </si>
  <si>
    <t>USA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</si>
</sst>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%"/>
    <numFmt numFmtId="165" formatCode="0.0%"/>
    <numFmt numFmtId="166" formatCode="#,##0.0"/>
    <numFmt numFmtId="167" formatCode="0.0"/>
  </numFmts>
  <fonts count="17" x14ac:knownFonts="1">
    <font>
      <sz val="11"/>
      <color rgb="FF000000"/>
      <name val="Calibri"/>
      <family val="2"/>
      <charset val="1"/>
    </font>
    <font>
      <b/>
      <sz val="11"/>
      <color rgb="FF666666"/>
      <name val="Arial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363945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9"/>
      <color rgb="FF363945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9"/>
      <color rgb="FF363945"/>
      <name val="Arial"/>
      <family val="2"/>
    </font>
    <font>
      <b/>
      <sz val="11"/>
      <color rgb="FF363945"/>
      <name val="Arial"/>
      <family val="2"/>
    </font>
    <font>
      <b/>
      <sz val="12"/>
      <color rgb="FF363945"/>
      <name val="Arial"/>
      <family val="2"/>
    </font>
    <font>
      <sz val="12"/>
      <color rgb="FF363945"/>
      <name val="Arial"/>
      <family val="2"/>
    </font>
    <font>
      <sz val="9"/>
      <color rgb="FF337AB7"/>
      <name val="Arial"/>
      <family val="2"/>
    </font>
    <font>
      <b/>
      <sz val="12"/>
      <color rgb="FFFFFFFF"/>
      <name val="Arial"/>
      <family val="2"/>
    </font>
    <font>
      <sz val="11"/>
      <color rgb="FF00B5F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5F5F5"/>
      </patternFill>
    </fill>
    <fill>
      <patternFill patternType="solid">
        <fgColor rgb="FFFFE699"/>
        <bgColor rgb="FFFFCC99"/>
      </patternFill>
    </fill>
    <fill>
      <patternFill patternType="solid">
        <fgColor rgb="FFF5F5F5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4">
    <xf numFmtId="0" fontId="0" fillId="0" borderId="0"/>
    <xf numFmtId="9" fontId="8" fillId="0" borderId="0" applyBorder="0" applyProtection="0"/>
    <xf numFmtId="0" fontId="2" fillId="0" borderId="0" applyBorder="0" applyProtection="0"/>
    <xf numFmtId="43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/>
    <xf numFmtId="10" fontId="0" fillId="0" borderId="0" xfId="1" applyNumberFormat="1" applyFont="1" applyBorder="1" applyAlignment="1" applyProtection="1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10" fontId="1" fillId="2" borderId="2" xfId="1" applyNumberFormat="1" applyFont="1" applyFill="1" applyBorder="1" applyAlignment="1" applyProtection="1">
      <alignment horizontal="left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1" fontId="3" fillId="2" borderId="1" xfId="0" applyNumberFormat="1" applyFont="1" applyFill="1" applyBorder="1" applyAlignment="1">
      <alignment horizontal="right" vertical="top"/>
    </xf>
    <xf numFmtId="1" fontId="3" fillId="2" borderId="0" xfId="0" applyNumberFormat="1" applyFont="1" applyFill="1" applyAlignment="1">
      <alignment horizontal="right" vertical="top"/>
    </xf>
    <xf numFmtId="10" fontId="3" fillId="2" borderId="0" xfId="1" applyNumberFormat="1" applyFont="1" applyFill="1" applyBorder="1" applyAlignment="1" applyProtection="1">
      <alignment horizontal="right" vertical="top"/>
    </xf>
    <xf numFmtId="1" fontId="3" fillId="2" borderId="3" xfId="0" applyNumberFormat="1" applyFont="1" applyFill="1" applyBorder="1" applyAlignment="1">
      <alignment horizontal="right" vertical="top"/>
    </xf>
    <xf numFmtId="164" fontId="3" fillId="2" borderId="0" xfId="1" applyNumberFormat="1" applyFont="1" applyFill="1" applyBorder="1" applyAlignment="1" applyProtection="1">
      <alignment horizontal="right" vertical="top"/>
    </xf>
    <xf numFmtId="165" fontId="3" fillId="2" borderId="0" xfId="1" applyNumberFormat="1" applyFont="1" applyFill="1" applyBorder="1" applyAlignment="1" applyProtection="1">
      <alignment horizontal="right" vertical="top"/>
    </xf>
    <xf numFmtId="165" fontId="3" fillId="2" borderId="3" xfId="0" applyNumberFormat="1" applyFont="1" applyFill="1" applyBorder="1" applyAlignment="1">
      <alignment horizontal="right" vertical="top"/>
    </xf>
    <xf numFmtId="1" fontId="3" fillId="2" borderId="0" xfId="0" applyNumberFormat="1" applyFont="1" applyFill="1" applyBorder="1" applyAlignment="1">
      <alignment horizontal="right" vertical="top"/>
    </xf>
    <xf numFmtId="165" fontId="3" fillId="2" borderId="0" xfId="0" applyNumberFormat="1" applyFont="1" applyFill="1" applyAlignment="1">
      <alignment horizontal="right" vertical="top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5" fillId="2" borderId="2" xfId="0" applyFont="1" applyFill="1" applyBorder="1" applyAlignment="1">
      <alignment horizontal="left" wrapText="1"/>
    </xf>
    <xf numFmtId="10" fontId="5" fillId="2" borderId="2" xfId="1" applyNumberFormat="1" applyFont="1" applyFill="1" applyBorder="1" applyAlignment="1" applyProtection="1">
      <alignment horizontal="left" wrapText="1"/>
    </xf>
    <xf numFmtId="164" fontId="3" fillId="2" borderId="0" xfId="0" applyNumberFormat="1" applyFont="1" applyFill="1" applyAlignment="1">
      <alignment horizontal="right" vertical="top"/>
    </xf>
    <xf numFmtId="0" fontId="0" fillId="3" borderId="0" xfId="0" applyFill="1" applyAlignment="1"/>
    <xf numFmtId="10" fontId="3" fillId="2" borderId="3" xfId="1" applyNumberFormat="1" applyFont="1" applyFill="1" applyBorder="1" applyAlignment="1" applyProtection="1">
      <alignment horizontal="right" vertical="top"/>
    </xf>
    <xf numFmtId="10" fontId="3" fillId="3" borderId="0" xfId="1" applyNumberFormat="1" applyFont="1" applyFill="1" applyBorder="1" applyAlignment="1" applyProtection="1">
      <alignment horizontal="right" vertical="top"/>
    </xf>
    <xf numFmtId="1" fontId="3" fillId="3" borderId="0" xfId="0" applyNumberFormat="1" applyFont="1" applyFill="1" applyAlignment="1">
      <alignment horizontal="right" vertical="top"/>
    </xf>
    <xf numFmtId="10" fontId="3" fillId="2" borderId="4" xfId="1" applyNumberFormat="1" applyFont="1" applyFill="1" applyBorder="1" applyAlignment="1" applyProtection="1">
      <alignment horizontal="right" vertical="top"/>
    </xf>
    <xf numFmtId="0" fontId="6" fillId="2" borderId="3" xfId="0" applyFont="1" applyFill="1" applyBorder="1" applyAlignment="1">
      <alignment horizontal="right" vertical="top"/>
    </xf>
    <xf numFmtId="0" fontId="2" fillId="2" borderId="3" xfId="2" applyFill="1" applyBorder="1" applyAlignment="1" applyProtection="1">
      <alignment horizontal="right" vertical="top"/>
    </xf>
    <xf numFmtId="0" fontId="3" fillId="2" borderId="3" xfId="0" applyFont="1" applyFill="1" applyBorder="1" applyAlignment="1">
      <alignment horizontal="right" vertical="top"/>
    </xf>
    <xf numFmtId="3" fontId="3" fillId="2" borderId="3" xfId="0" applyNumberFormat="1" applyFont="1" applyFill="1" applyBorder="1" applyAlignment="1">
      <alignment horizontal="right" vertical="top"/>
    </xf>
    <xf numFmtId="0" fontId="3" fillId="4" borderId="5" xfId="0" applyFont="1" applyFill="1" applyBorder="1" applyAlignment="1">
      <alignment horizontal="right" vertical="top"/>
    </xf>
    <xf numFmtId="0" fontId="3" fillId="4" borderId="6" xfId="0" applyFont="1" applyFill="1" applyBorder="1" applyAlignment="1">
      <alignment horizontal="right" vertical="top"/>
    </xf>
    <xf numFmtId="0" fontId="0" fillId="2" borderId="6" xfId="0" applyFill="1" applyBorder="1" applyAlignment="1"/>
    <xf numFmtId="0" fontId="0" fillId="0" borderId="0" xfId="0"/>
    <xf numFmtId="16" fontId="0" fillId="0" borderId="0" xfId="0" applyNumberFormat="1"/>
    <xf numFmtId="14" fontId="0" fillId="0" borderId="0" xfId="0" applyNumberFormat="1"/>
    <xf numFmtId="166" fontId="0" fillId="0" borderId="0" xfId="0" applyNumberFormat="1"/>
    <xf numFmtId="3" fontId="7" fillId="0" borderId="0" xfId="0" applyNumberFormat="1" applyFont="1"/>
    <xf numFmtId="167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2" fillId="0" borderId="3" xfId="2" applyBorder="1"/>
    <xf numFmtId="0" fontId="2" fillId="0" borderId="5" xfId="2" applyBorder="1"/>
    <xf numFmtId="0" fontId="2" fillId="0" borderId="4" xfId="2" applyBorder="1"/>
    <xf numFmtId="0" fontId="0" fillId="5" borderId="6" xfId="0" applyFill="1" applyBorder="1"/>
    <xf numFmtId="43" fontId="0" fillId="0" borderId="0" xfId="3" applyFont="1" applyAlignment="1"/>
    <xf numFmtId="3" fontId="12" fillId="5" borderId="3" xfId="0" applyNumberFormat="1" applyFont="1" applyFill="1" applyBorder="1" applyAlignment="1">
      <alignment horizontal="right" vertical="top" wrapText="1"/>
    </xf>
    <xf numFmtId="0" fontId="12" fillId="5" borderId="3" xfId="0" applyFont="1" applyFill="1" applyBorder="1" applyAlignment="1">
      <alignment horizontal="right" vertical="top" wrapText="1"/>
    </xf>
    <xf numFmtId="0" fontId="12" fillId="6" borderId="3" xfId="0" applyFont="1" applyFill="1" applyBorder="1" applyAlignment="1">
      <alignment horizontal="right" vertical="top" wrapText="1"/>
    </xf>
    <xf numFmtId="0" fontId="12" fillId="7" borderId="3" xfId="0" applyFont="1" applyFill="1" applyBorder="1" applyAlignment="1">
      <alignment horizontal="right" vertical="top" wrapText="1"/>
    </xf>
    <xf numFmtId="0" fontId="10" fillId="5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3" fontId="13" fillId="8" borderId="3" xfId="0" applyNumberFormat="1" applyFont="1" applyFill="1" applyBorder="1" applyAlignment="1">
      <alignment horizontal="right" vertical="top" wrapText="1"/>
    </xf>
    <xf numFmtId="0" fontId="13" fillId="8" borderId="3" xfId="0" applyFont="1" applyFill="1" applyBorder="1" applyAlignment="1">
      <alignment horizontal="right" vertical="top" wrapText="1"/>
    </xf>
    <xf numFmtId="0" fontId="10" fillId="5" borderId="3" xfId="0" applyFont="1" applyFill="1" applyBorder="1" applyAlignment="1">
      <alignment horizontal="right" vertical="top" wrapText="1"/>
    </xf>
    <xf numFmtId="0" fontId="15" fillId="10" borderId="3" xfId="0" applyFont="1" applyFill="1" applyBorder="1" applyAlignment="1">
      <alignment horizontal="right" vertical="top" wrapText="1"/>
    </xf>
    <xf numFmtId="0" fontId="12" fillId="11" borderId="3" xfId="0" applyFont="1" applyFill="1" applyBorder="1" applyAlignment="1">
      <alignment horizontal="right" vertical="top" wrapText="1"/>
    </xf>
    <xf numFmtId="3" fontId="12" fillId="11" borderId="3" xfId="0" applyNumberFormat="1" applyFont="1" applyFill="1" applyBorder="1" applyAlignment="1">
      <alignment horizontal="right" vertical="top" wrapText="1"/>
    </xf>
    <xf numFmtId="0" fontId="0" fillId="5" borderId="8" xfId="0" applyFill="1" applyBorder="1"/>
    <xf numFmtId="0" fontId="0" fillId="5" borderId="3" xfId="0" applyFill="1" applyBorder="1"/>
    <xf numFmtId="0" fontId="13" fillId="8" borderId="4" xfId="0" applyFont="1" applyFill="1" applyBorder="1" applyAlignment="1">
      <alignment horizontal="left" vertical="top" wrapText="1"/>
    </xf>
    <xf numFmtId="0" fontId="11" fillId="5" borderId="4" xfId="0" applyFont="1" applyFill="1" applyBorder="1" applyAlignment="1">
      <alignment horizontal="left" vertical="top" wrapText="1"/>
    </xf>
    <xf numFmtId="0" fontId="16" fillId="5" borderId="4" xfId="0" applyFont="1" applyFill="1" applyBorder="1" applyAlignment="1">
      <alignment horizontal="left" vertical="top" wrapText="1"/>
    </xf>
    <xf numFmtId="0" fontId="16" fillId="9" borderId="7" xfId="0" applyFont="1" applyFill="1" applyBorder="1" applyAlignment="1">
      <alignment horizontal="left" vertical="top" wrapText="1"/>
    </xf>
    <xf numFmtId="3" fontId="12" fillId="9" borderId="5" xfId="0" applyNumberFormat="1" applyFont="1" applyFill="1" applyBorder="1" applyAlignment="1">
      <alignment horizontal="right" vertical="top" wrapText="1"/>
    </xf>
    <xf numFmtId="0" fontId="12" fillId="9" borderId="5" xfId="0" applyFont="1" applyFill="1" applyBorder="1" applyAlignment="1">
      <alignment horizontal="right" vertical="top" wrapText="1"/>
    </xf>
    <xf numFmtId="0" fontId="10" fillId="9" borderId="5" xfId="0" applyFont="1" applyFill="1" applyBorder="1" applyAlignment="1">
      <alignment horizontal="right" vertical="top" wrapText="1"/>
    </xf>
    <xf numFmtId="164" fontId="0" fillId="0" borderId="0" xfId="0" applyNumberFormat="1" applyAlignment="1"/>
    <xf numFmtId="0" fontId="0" fillId="0" borderId="0" xfId="0" applyNumberFormat="1" applyAlignment="1"/>
    <xf numFmtId="0" fontId="0" fillId="0" borderId="0" xfId="0" applyFont="1" applyBorder="1" applyAlignment="1">
      <alignment horizontal="right"/>
    </xf>
    <xf numFmtId="0" fontId="2" fillId="0" borderId="0" xfId="2"/>
    <xf numFmtId="0" fontId="10" fillId="7" borderId="7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right" vertical="top" wrapText="1"/>
    </xf>
    <xf numFmtId="0" fontId="0" fillId="0" borderId="0" xfId="0" applyFont="1" applyBorder="1" applyAlignment="1">
      <alignment horizontal="right"/>
    </xf>
    <xf numFmtId="0" fontId="0" fillId="0" borderId="0" xfId="0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23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68" formatCode="0.00000000%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0.000%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95959"/>
      <rgbColor rgb="FF9999FF"/>
      <rgbColor rgb="FF993366"/>
      <rgbColor rgb="FFF5F5F5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639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7-day Moving Average Case Growth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'USA Analysis'!$B$20:$B$135</c:f>
              <c:numCache>
                <c:formatCode>d\-mmm</c:formatCode>
                <c:ptCount val="11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</c:numCache>
            </c:numRef>
          </c:cat>
          <c:val>
            <c:numRef>
              <c:f>'USA Analysis'!$F$20:$F$135</c:f>
              <c:numCache>
                <c:formatCode>General</c:formatCode>
                <c:ptCount val="116"/>
                <c:pt idx="0">
                  <c:v>1.2478022736687071</c:v>
                </c:pt>
                <c:pt idx="1">
                  <c:v>1.2959461750884163</c:v>
                </c:pt>
                <c:pt idx="2">
                  <c:v>1.287796846658295</c:v>
                </c:pt>
                <c:pt idx="3">
                  <c:v>1.2502703482084925</c:v>
                </c:pt>
                <c:pt idx="4">
                  <c:v>0.90735615732237673</c:v>
                </c:pt>
                <c:pt idx="5">
                  <c:v>1.0671090347764713</c:v>
                </c:pt>
                <c:pt idx="6">
                  <c:v>1.098801208926893</c:v>
                </c:pt>
                <c:pt idx="7">
                  <c:v>1.0231192825515274</c:v>
                </c:pt>
                <c:pt idx="8">
                  <c:v>1.0559012258264371</c:v>
                </c:pt>
                <c:pt idx="9">
                  <c:v>1.0548160404134634</c:v>
                </c:pt>
                <c:pt idx="10">
                  <c:v>0.95679073228904221</c:v>
                </c:pt>
                <c:pt idx="11">
                  <c:v>0.86670547923897734</c:v>
                </c:pt>
                <c:pt idx="12">
                  <c:v>0.8606851608979974</c:v>
                </c:pt>
                <c:pt idx="13">
                  <c:v>0.89874933911017318</c:v>
                </c:pt>
                <c:pt idx="14">
                  <c:v>1.013417402507917</c:v>
                </c:pt>
                <c:pt idx="15">
                  <c:v>1.0146913140911584</c:v>
                </c:pt>
                <c:pt idx="16">
                  <c:v>1.1031726786874752</c:v>
                </c:pt>
                <c:pt idx="17">
                  <c:v>0.99730604237126841</c:v>
                </c:pt>
                <c:pt idx="18">
                  <c:v>0.90227809486321597</c:v>
                </c:pt>
                <c:pt idx="19">
                  <c:v>0.96665818523447899</c:v>
                </c:pt>
                <c:pt idx="20">
                  <c:v>0.90402382300100903</c:v>
                </c:pt>
                <c:pt idx="21">
                  <c:v>1.0460615205578074</c:v>
                </c:pt>
                <c:pt idx="22">
                  <c:v>1.0966520779195406</c:v>
                </c:pt>
                <c:pt idx="23">
                  <c:v>1.2957639187891232</c:v>
                </c:pt>
                <c:pt idx="24">
                  <c:v>1.1423183465713591</c:v>
                </c:pt>
                <c:pt idx="25">
                  <c:v>0.85346124215855312</c:v>
                </c:pt>
                <c:pt idx="26">
                  <c:v>0.76422340779947162</c:v>
                </c:pt>
                <c:pt idx="27">
                  <c:v>0.84259503323103568</c:v>
                </c:pt>
                <c:pt idx="28">
                  <c:v>0.94981066896964061</c:v>
                </c:pt>
                <c:pt idx="29">
                  <c:v>1.0349646347337946</c:v>
                </c:pt>
                <c:pt idx="30">
                  <c:v>1.2245690760351609</c:v>
                </c:pt>
                <c:pt idx="31">
                  <c:v>1.0399397173879525</c:v>
                </c:pt>
                <c:pt idx="32">
                  <c:v>0.9512785842706647</c:v>
                </c:pt>
                <c:pt idx="33">
                  <c:v>0.85210059244327541</c:v>
                </c:pt>
                <c:pt idx="34">
                  <c:v>0.86007073412551616</c:v>
                </c:pt>
                <c:pt idx="35">
                  <c:v>0.89651201217741372</c:v>
                </c:pt>
                <c:pt idx="36">
                  <c:v>1.0460987008272962</c:v>
                </c:pt>
                <c:pt idx="37">
                  <c:v>1.0707929478609626</c:v>
                </c:pt>
                <c:pt idx="38">
                  <c:v>0.97759430195790353</c:v>
                </c:pt>
                <c:pt idx="39">
                  <c:v>0.80407649778739088</c:v>
                </c:pt>
                <c:pt idx="40">
                  <c:v>0.74746690565757712</c:v>
                </c:pt>
                <c:pt idx="41">
                  <c:v>0.93001569568830211</c:v>
                </c:pt>
                <c:pt idx="42">
                  <c:v>0.92135584452230346</c:v>
                </c:pt>
                <c:pt idx="43">
                  <c:v>1.1667358803986712</c:v>
                </c:pt>
                <c:pt idx="44">
                  <c:v>1.1586415166694628</c:v>
                </c:pt>
                <c:pt idx="45">
                  <c:v>1.0323354890326022</c:v>
                </c:pt>
                <c:pt idx="46">
                  <c:v>0.8602864234784513</c:v>
                </c:pt>
                <c:pt idx="47">
                  <c:v>0.97394937621521316</c:v>
                </c:pt>
                <c:pt idx="48">
                  <c:v>0.87197130298348358</c:v>
                </c:pt>
                <c:pt idx="49">
                  <c:v>0.94880072697706674</c:v>
                </c:pt>
                <c:pt idx="50">
                  <c:v>1.201711731550974</c:v>
                </c:pt>
                <c:pt idx="51">
                  <c:v>1.0460623171108514</c:v>
                </c:pt>
                <c:pt idx="52">
                  <c:v>0.9441001807384457</c:v>
                </c:pt>
                <c:pt idx="53">
                  <c:v>0.85907817358908833</c:v>
                </c:pt>
                <c:pt idx="54">
                  <c:v>0.87824049580530572</c:v>
                </c:pt>
                <c:pt idx="55">
                  <c:v>0.8629290021668542</c:v>
                </c:pt>
                <c:pt idx="56">
                  <c:v>0.93454613291477173</c:v>
                </c:pt>
                <c:pt idx="57">
                  <c:v>1.0795021844562909</c:v>
                </c:pt>
                <c:pt idx="58">
                  <c:v>1.1934251119588655</c:v>
                </c:pt>
                <c:pt idx="59">
                  <c:v>1.09041029439721</c:v>
                </c:pt>
                <c:pt idx="60">
                  <c:v>0.94725963983465256</c:v>
                </c:pt>
                <c:pt idx="61">
                  <c:v>1.007261763479488</c:v>
                </c:pt>
                <c:pt idx="62">
                  <c:v>0.98259768724964103</c:v>
                </c:pt>
                <c:pt idx="63">
                  <c:v>0.91795982348016036</c:v>
                </c:pt>
                <c:pt idx="64">
                  <c:v>1.0084229639250002</c:v>
                </c:pt>
                <c:pt idx="65">
                  <c:v>1.1240653261253979</c:v>
                </c:pt>
                <c:pt idx="66">
                  <c:v>1.0164567494267767</c:v>
                </c:pt>
                <c:pt idx="67">
                  <c:v>0.85162670847764765</c:v>
                </c:pt>
                <c:pt idx="68">
                  <c:v>0.87668380851049854</c:v>
                </c:pt>
                <c:pt idx="69">
                  <c:v>0.89626787068034386</c:v>
                </c:pt>
                <c:pt idx="70">
                  <c:v>0.9866948936797395</c:v>
                </c:pt>
                <c:pt idx="71">
                  <c:v>1.0968873827598629</c:v>
                </c:pt>
                <c:pt idx="72">
                  <c:v>1.2630362645176583</c:v>
                </c:pt>
                <c:pt idx="73">
                  <c:v>1.154797038417728</c:v>
                </c:pt>
                <c:pt idx="74">
                  <c:v>0.90695300462249606</c:v>
                </c:pt>
                <c:pt idx="75">
                  <c:v>0.92839103507792264</c:v>
                </c:pt>
                <c:pt idx="76">
                  <c:v>1.0931942659055325</c:v>
                </c:pt>
                <c:pt idx="77">
                  <c:v>1.0852690749772671</c:v>
                </c:pt>
                <c:pt idx="78">
                  <c:v>1.1260757513001058</c:v>
                </c:pt>
                <c:pt idx="79">
                  <c:v>1.3059013715980867</c:v>
                </c:pt>
                <c:pt idx="80">
                  <c:v>1.2451024208566108</c:v>
                </c:pt>
                <c:pt idx="81">
                  <c:v>0.94295130668894767</c:v>
                </c:pt>
                <c:pt idx="82">
                  <c:v>1.0794136629442022</c:v>
                </c:pt>
                <c:pt idx="83">
                  <c:v>1.1744822196170379</c:v>
                </c:pt>
                <c:pt idx="84">
                  <c:v>1.1844954277890047</c:v>
                </c:pt>
                <c:pt idx="85">
                  <c:v>1.1764666569202817</c:v>
                </c:pt>
                <c:pt idx="86">
                  <c:v>1.3095209883564782</c:v>
                </c:pt>
                <c:pt idx="87">
                  <c:v>1.1588610094320995</c:v>
                </c:pt>
                <c:pt idx="88">
                  <c:v>1.0221021522600711</c:v>
                </c:pt>
                <c:pt idx="89">
                  <c:v>1.0766973511048803</c:v>
                </c:pt>
                <c:pt idx="90">
                  <c:v>1.0713834890179248</c:v>
                </c:pt>
                <c:pt idx="91">
                  <c:v>1.163714468048628</c:v>
                </c:pt>
                <c:pt idx="92">
                  <c:v>1.211904324768472</c:v>
                </c:pt>
                <c:pt idx="93">
                  <c:v>1.2114059964644721</c:v>
                </c:pt>
                <c:pt idx="94">
                  <c:v>0.99740669073789623</c:v>
                </c:pt>
                <c:pt idx="95">
                  <c:v>0.9042471995869531</c:v>
                </c:pt>
                <c:pt idx="96">
                  <c:v>0.9807220537387239</c:v>
                </c:pt>
                <c:pt idx="97">
                  <c:v>1.0505905998430798</c:v>
                </c:pt>
                <c:pt idx="98">
                  <c:v>1.1412846341674059</c:v>
                </c:pt>
                <c:pt idx="99">
                  <c:v>1.1161845175357954</c:v>
                </c:pt>
                <c:pt idx="100">
                  <c:v>1.2686328395334143</c:v>
                </c:pt>
                <c:pt idx="101">
                  <c:v>1.0564996093150965</c:v>
                </c:pt>
                <c:pt idx="102">
                  <c:v>0.96916641867539599</c:v>
                </c:pt>
                <c:pt idx="103">
                  <c:v>1.0504151270471238</c:v>
                </c:pt>
                <c:pt idx="104">
                  <c:v>1.0305921375264149</c:v>
                </c:pt>
                <c:pt idx="105">
                  <c:v>1.0997471193644601</c:v>
                </c:pt>
                <c:pt idx="106">
                  <c:v>1.092703554100648</c:v>
                </c:pt>
                <c:pt idx="107">
                  <c:v>1.1101150067041421</c:v>
                </c:pt>
                <c:pt idx="108">
                  <c:v>0.93401350356572599</c:v>
                </c:pt>
                <c:pt idx="109">
                  <c:v>0.95049037451508567</c:v>
                </c:pt>
                <c:pt idx="110">
                  <c:v>0.92112086555263728</c:v>
                </c:pt>
                <c:pt idx="111">
                  <c:v>0.98555529590465618</c:v>
                </c:pt>
                <c:pt idx="112">
                  <c:v>1.0511875101723986</c:v>
                </c:pt>
                <c:pt idx="113">
                  <c:v>1.0227396574323628</c:v>
                </c:pt>
                <c:pt idx="114">
                  <c:v>1.1412591681929565</c:v>
                </c:pt>
                <c:pt idx="115">
                  <c:v>0.97813812344798701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5-457A-9C28-449C1C52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4795412"/>
        <c:axId val="85212356"/>
      </c:lineChart>
      <c:dateAx>
        <c:axId val="747954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212356"/>
        <c:crosses val="autoZero"/>
        <c:auto val="1"/>
        <c:lblOffset val="100"/>
        <c:baseTimeUnit val="days"/>
      </c:dateAx>
      <c:valAx>
        <c:axId val="85212356"/>
        <c:scaling>
          <c:orientation val="minMax"/>
          <c:min val="0.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795412"/>
        <c:crosses val="autoZero"/>
        <c:crossBetween val="between"/>
        <c:majorUnit val="0.2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Mortality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'USA Analysis'!$B$20:$B$135</c:f>
              <c:numCache>
                <c:formatCode>d\-mmm</c:formatCode>
                <c:ptCount val="11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</c:numCache>
            </c:numRef>
          </c:cat>
          <c:val>
            <c:numRef>
              <c:f>'USA Analysis'!$C$20:$C$135</c:f>
              <c:numCache>
                <c:formatCode>General</c:formatCode>
                <c:ptCount val="116"/>
                <c:pt idx="0">
                  <c:v>1259</c:v>
                </c:pt>
                <c:pt idx="1">
                  <c:v>1211</c:v>
                </c:pt>
                <c:pt idx="2">
                  <c:v>1282</c:v>
                </c:pt>
                <c:pt idx="3">
                  <c:v>1577</c:v>
                </c:pt>
                <c:pt idx="4" formatCode="0">
                  <c:v>1423</c:v>
                </c:pt>
                <c:pt idx="5" formatCode="0">
                  <c:v>1523</c:v>
                </c:pt>
                <c:pt idx="6" formatCode="0">
                  <c:v>2267</c:v>
                </c:pt>
                <c:pt idx="7" formatCode="0">
                  <c:v>2210</c:v>
                </c:pt>
                <c:pt idx="8" formatCode="0">
                  <c:v>2146</c:v>
                </c:pt>
                <c:pt idx="9" formatCode="0">
                  <c:v>2280</c:v>
                </c:pt>
                <c:pt idx="10" formatCode="0">
                  <c:v>2066</c:v>
                </c:pt>
                <c:pt idx="11" formatCode="0">
                  <c:v>1756</c:v>
                </c:pt>
                <c:pt idx="12" formatCode="0">
                  <c:v>1746</c:v>
                </c:pt>
                <c:pt idx="13" formatCode="0">
                  <c:v>2626</c:v>
                </c:pt>
                <c:pt idx="14" formatCode="0">
                  <c:v>2690</c:v>
                </c:pt>
                <c:pt idx="15" formatCode="0">
                  <c:v>2254</c:v>
                </c:pt>
                <c:pt idx="16" formatCode="0">
                  <c:v>2596</c:v>
                </c:pt>
                <c:pt idx="17" formatCode="0">
                  <c:v>1921</c:v>
                </c:pt>
                <c:pt idx="18" formatCode="0">
                  <c:v>1594</c:v>
                </c:pt>
                <c:pt idx="19" formatCode="0">
                  <c:v>1981</c:v>
                </c:pt>
                <c:pt idx="20" formatCode="0">
                  <c:v>2749</c:v>
                </c:pt>
                <c:pt idx="21" formatCode="0">
                  <c:v>2409</c:v>
                </c:pt>
                <c:pt idx="22" formatCode="0">
                  <c:v>2402</c:v>
                </c:pt>
                <c:pt idx="23" formatCode="0">
                  <c:v>1992</c:v>
                </c:pt>
                <c:pt idx="24" formatCode="0">
                  <c:v>2110</c:v>
                </c:pt>
                <c:pt idx="25" formatCode="0">
                  <c:v>1170</c:v>
                </c:pt>
                <c:pt idx="26" formatCode="0">
                  <c:v>1403</c:v>
                </c:pt>
                <c:pt idx="27" formatCode="0">
                  <c:v>2537</c:v>
                </c:pt>
                <c:pt idx="28" formatCode="0">
                  <c:v>2442</c:v>
                </c:pt>
                <c:pt idx="29" formatCode="0">
                  <c:v>2274</c:v>
                </c:pt>
                <c:pt idx="30" formatCode="0">
                  <c:v>1947</c:v>
                </c:pt>
                <c:pt idx="31" formatCode="0">
                  <c:v>1730</c:v>
                </c:pt>
                <c:pt idx="32" formatCode="0">
                  <c:v>1175</c:v>
                </c:pt>
                <c:pt idx="33" formatCode="0">
                  <c:v>1338</c:v>
                </c:pt>
                <c:pt idx="34" formatCode="0">
                  <c:v>2404</c:v>
                </c:pt>
                <c:pt idx="35" formatCode="0">
                  <c:v>2574</c:v>
                </c:pt>
                <c:pt idx="36" formatCode="0">
                  <c:v>2173</c:v>
                </c:pt>
                <c:pt idx="37" formatCode="0">
                  <c:v>1713</c:v>
                </c:pt>
                <c:pt idx="38" formatCode="0">
                  <c:v>1451</c:v>
                </c:pt>
                <c:pt idx="39" formatCode="0">
                  <c:v>1215</c:v>
                </c:pt>
                <c:pt idx="40" formatCode="0">
                  <c:v>1075</c:v>
                </c:pt>
                <c:pt idx="41" formatCode="0">
                  <c:v>1912</c:v>
                </c:pt>
                <c:pt idx="42" formatCode="0">
                  <c:v>1857</c:v>
                </c:pt>
                <c:pt idx="43" formatCode="0">
                  <c:v>1791</c:v>
                </c:pt>
                <c:pt idx="44" formatCode="0">
                  <c:v>1637</c:v>
                </c:pt>
                <c:pt idx="45" formatCode="0">
                  <c:v>1239</c:v>
                </c:pt>
                <c:pt idx="46" formatCode="0">
                  <c:v>882</c:v>
                </c:pt>
                <c:pt idx="47" formatCode="0">
                  <c:v>1018</c:v>
                </c:pt>
                <c:pt idx="48" formatCode="0">
                  <c:v>1582</c:v>
                </c:pt>
                <c:pt idx="49" formatCode="0">
                  <c:v>1432</c:v>
                </c:pt>
                <c:pt idx="50" formatCode="0">
                  <c:v>1432</c:v>
                </c:pt>
                <c:pt idx="51" formatCode="0">
                  <c:v>1322</c:v>
                </c:pt>
                <c:pt idx="52" formatCode="0">
                  <c:v>1053</c:v>
                </c:pt>
                <c:pt idx="53" formatCode="0">
                  <c:v>626</c:v>
                </c:pt>
                <c:pt idx="54" formatCode="0">
                  <c:v>636</c:v>
                </c:pt>
                <c:pt idx="55" formatCode="0">
                  <c:v>783</c:v>
                </c:pt>
                <c:pt idx="56" formatCode="0">
                  <c:v>1563</c:v>
                </c:pt>
                <c:pt idx="57" formatCode="0">
                  <c:v>1239</c:v>
                </c:pt>
                <c:pt idx="58" formatCode="0">
                  <c:v>1234</c:v>
                </c:pt>
                <c:pt idx="59" formatCode="0">
                  <c:v>1033</c:v>
                </c:pt>
                <c:pt idx="60" formatCode="0">
                  <c:v>651</c:v>
                </c:pt>
                <c:pt idx="61" formatCode="0">
                  <c:v>695</c:v>
                </c:pt>
                <c:pt idx="62" formatCode="0">
                  <c:v>1147</c:v>
                </c:pt>
                <c:pt idx="63" formatCode="0">
                  <c:v>1104</c:v>
                </c:pt>
                <c:pt idx="64" formatCode="0">
                  <c:v>1050</c:v>
                </c:pt>
                <c:pt idx="65" formatCode="0">
                  <c:v>988</c:v>
                </c:pt>
                <c:pt idx="66" formatCode="0">
                  <c:v>717</c:v>
                </c:pt>
                <c:pt idx="67" formatCode="0">
                  <c:v>384</c:v>
                </c:pt>
                <c:pt idx="68" formatCode="0">
                  <c:v>598</c:v>
                </c:pt>
                <c:pt idx="69" formatCode="0">
                  <c:v>1105</c:v>
                </c:pt>
                <c:pt idx="70" formatCode="0">
                  <c:v>998</c:v>
                </c:pt>
                <c:pt idx="71" formatCode="0">
                  <c:v>918</c:v>
                </c:pt>
                <c:pt idx="72" formatCode="0">
                  <c:v>800</c:v>
                </c:pt>
                <c:pt idx="73" formatCode="0">
                  <c:v>716</c:v>
                </c:pt>
                <c:pt idx="74" formatCode="0">
                  <c:v>336</c:v>
                </c:pt>
                <c:pt idx="75" formatCode="0">
                  <c:v>432</c:v>
                </c:pt>
                <c:pt idx="76" formatCode="0">
                  <c:v>858</c:v>
                </c:pt>
                <c:pt idx="77" formatCode="0">
                  <c:v>819</c:v>
                </c:pt>
                <c:pt idx="78" formatCode="0">
                  <c:v>756</c:v>
                </c:pt>
                <c:pt idx="79" formatCode="0">
                  <c:v>729</c:v>
                </c:pt>
                <c:pt idx="80" formatCode="0">
                  <c:v>582</c:v>
                </c:pt>
                <c:pt idx="81" formatCode="0">
                  <c:v>270</c:v>
                </c:pt>
                <c:pt idx="82" formatCode="0">
                  <c:v>369</c:v>
                </c:pt>
                <c:pt idx="83" formatCode="0">
                  <c:v>871</c:v>
                </c:pt>
                <c:pt idx="84" formatCode="0">
                  <c:v>819</c:v>
                </c:pt>
                <c:pt idx="85" formatCode="0">
                  <c:v>653</c:v>
                </c:pt>
                <c:pt idx="86" formatCode="0">
                  <c:v>663</c:v>
                </c:pt>
                <c:pt idx="87" formatCode="0">
                  <c:v>512</c:v>
                </c:pt>
                <c:pt idx="88" formatCode="0">
                  <c:v>285</c:v>
                </c:pt>
                <c:pt idx="89" formatCode="0">
                  <c:v>366</c:v>
                </c:pt>
                <c:pt idx="90" formatCode="0">
                  <c:v>726</c:v>
                </c:pt>
                <c:pt idx="91" formatCode="0">
                  <c:v>676</c:v>
                </c:pt>
                <c:pt idx="92" formatCode="0">
                  <c:v>687</c:v>
                </c:pt>
                <c:pt idx="93" formatCode="0">
                  <c:v>626</c:v>
                </c:pt>
                <c:pt idx="94" formatCode="0">
                  <c:v>266</c:v>
                </c:pt>
                <c:pt idx="95" formatCode="0">
                  <c:v>263</c:v>
                </c:pt>
                <c:pt idx="96" formatCode="0">
                  <c:v>378</c:v>
                </c:pt>
                <c:pt idx="97" formatCode="0">
                  <c:v>993</c:v>
                </c:pt>
                <c:pt idx="98" formatCode="0">
                  <c:v>891</c:v>
                </c:pt>
                <c:pt idx="99" formatCode="0">
                  <c:v>961</c:v>
                </c:pt>
                <c:pt idx="100" formatCode="0">
                  <c:v>848</c:v>
                </c:pt>
                <c:pt idx="101" formatCode="0">
                  <c:v>732</c:v>
                </c:pt>
                <c:pt idx="102" formatCode="0">
                  <c:v>381</c:v>
                </c:pt>
                <c:pt idx="103" formatCode="0">
                  <c:v>465</c:v>
                </c:pt>
                <c:pt idx="104" formatCode="0">
                  <c:v>936</c:v>
                </c:pt>
                <c:pt idx="105" formatCode="0">
                  <c:v>1002</c:v>
                </c:pt>
                <c:pt idx="106" formatCode="0">
                  <c:v>963</c:v>
                </c:pt>
                <c:pt idx="107" formatCode="0">
                  <c:v>946</c:v>
                </c:pt>
                <c:pt idx="108" formatCode="0">
                  <c:v>813</c:v>
                </c:pt>
                <c:pt idx="109" formatCode="0">
                  <c:v>412</c:v>
                </c:pt>
                <c:pt idx="110" formatCode="0">
                  <c:v>524</c:v>
                </c:pt>
                <c:pt idx="111" formatCode="0">
                  <c:v>1165</c:v>
                </c:pt>
                <c:pt idx="112" formatCode="0">
                  <c:v>1205</c:v>
                </c:pt>
                <c:pt idx="113" formatCode="0">
                  <c:v>1166</c:v>
                </c:pt>
                <c:pt idx="114" formatCode="0">
                  <c:v>1141</c:v>
                </c:pt>
                <c:pt idx="115" formatCode="0">
                  <c:v>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A-47C2-9882-23822E811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76414"/>
        <c:axId val="31906324"/>
      </c:lineChart>
      <c:dateAx>
        <c:axId val="37641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906324"/>
        <c:crosses val="autoZero"/>
        <c:auto val="1"/>
        <c:lblOffset val="100"/>
        <c:baseTimeUnit val="days"/>
      </c:dateAx>
      <c:valAx>
        <c:axId val="31906324"/>
        <c:scaling>
          <c:orientation val="minMax"/>
          <c:max val="3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6414"/>
        <c:crosses val="autoZero"/>
        <c:crossBetween val="between"/>
        <c:majorUnit val="50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Cases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'USA Analysis'!$B$14:$B$135</c:f>
              <c:numCache>
                <c:formatCode>d\-mmm</c:formatCode>
                <c:ptCount val="122"/>
                <c:pt idx="0">
                  <c:v>43916</c:v>
                </c:pt>
                <c:pt idx="1">
                  <c:v>43917</c:v>
                </c:pt>
                <c:pt idx="2">
                  <c:v>43918</c:v>
                </c:pt>
                <c:pt idx="3">
                  <c:v>43919</c:v>
                </c:pt>
                <c:pt idx="4">
                  <c:v>43920</c:v>
                </c:pt>
                <c:pt idx="5">
                  <c:v>43921</c:v>
                </c:pt>
                <c:pt idx="6">
                  <c:v>43922</c:v>
                </c:pt>
                <c:pt idx="7">
                  <c:v>43923</c:v>
                </c:pt>
                <c:pt idx="8">
                  <c:v>43924</c:v>
                </c:pt>
                <c:pt idx="9">
                  <c:v>43925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</c:numCache>
            </c:numRef>
          </c:cat>
          <c:val>
            <c:numRef>
              <c:f>'USA Analysis'!$D$14:$D$135</c:f>
              <c:numCache>
                <c:formatCode>General</c:formatCode>
                <c:ptCount val="122"/>
                <c:pt idx="0">
                  <c:v>17532</c:v>
                </c:pt>
                <c:pt idx="1">
                  <c:v>18916</c:v>
                </c:pt>
                <c:pt idx="2">
                  <c:v>19666</c:v>
                </c:pt>
                <c:pt idx="3">
                  <c:v>20276</c:v>
                </c:pt>
                <c:pt idx="4">
                  <c:v>23296</c:v>
                </c:pt>
                <c:pt idx="5">
                  <c:v>25292</c:v>
                </c:pt>
                <c:pt idx="6">
                  <c:v>27111</c:v>
                </c:pt>
                <c:pt idx="7">
                  <c:v>30571</c:v>
                </c:pt>
                <c:pt idx="8">
                  <c:v>32963</c:v>
                </c:pt>
                <c:pt idx="9">
                  <c:v>34685</c:v>
                </c:pt>
                <c:pt idx="10">
                  <c:v>25901</c:v>
                </c:pt>
                <c:pt idx="11">
                  <c:v>31750</c:v>
                </c:pt>
                <c:pt idx="12">
                  <c:v>34071</c:v>
                </c:pt>
                <c:pt idx="13">
                  <c:v>32514</c:v>
                </c:pt>
                <c:pt idx="14">
                  <c:v>34086</c:v>
                </c:pt>
                <c:pt idx="15" formatCode="0">
                  <c:v>34244</c:v>
                </c:pt>
                <c:pt idx="16" formatCode="0">
                  <c:v>30488</c:v>
                </c:pt>
                <c:pt idx="17" formatCode="0">
                  <c:v>27860</c:v>
                </c:pt>
                <c:pt idx="18" formatCode="0">
                  <c:v>27094</c:v>
                </c:pt>
                <c:pt idx="19" formatCode="0">
                  <c:v>27441</c:v>
                </c:pt>
                <c:pt idx="20" formatCode="0">
                  <c:v>30676</c:v>
                </c:pt>
                <c:pt idx="21" formatCode="0">
                  <c:v>30143</c:v>
                </c:pt>
                <c:pt idx="22" formatCode="0">
                  <c:v>32496</c:v>
                </c:pt>
                <c:pt idx="23" formatCode="0">
                  <c:v>29193</c:v>
                </c:pt>
                <c:pt idx="24" formatCode="0">
                  <c:v>26197</c:v>
                </c:pt>
                <c:pt idx="25" formatCode="0">
                  <c:v>28222</c:v>
                </c:pt>
                <c:pt idx="26" formatCode="0">
                  <c:v>26238</c:v>
                </c:pt>
                <c:pt idx="27" formatCode="0">
                  <c:v>30305</c:v>
                </c:pt>
                <c:pt idx="28" formatCode="0">
                  <c:v>32073</c:v>
                </c:pt>
                <c:pt idx="29" formatCode="0">
                  <c:v>39123</c:v>
                </c:pt>
                <c:pt idx="30" formatCode="0">
                  <c:v>35523</c:v>
                </c:pt>
                <c:pt idx="31" formatCode="0">
                  <c:v>26588</c:v>
                </c:pt>
                <c:pt idx="32" formatCode="0">
                  <c:v>23267</c:v>
                </c:pt>
                <c:pt idx="33" formatCode="0">
                  <c:v>25573</c:v>
                </c:pt>
                <c:pt idx="34" formatCode="0">
                  <c:v>28595</c:v>
                </c:pt>
                <c:pt idx="35" formatCode="0">
                  <c:v>31000</c:v>
                </c:pt>
                <c:pt idx="36" formatCode="0">
                  <c:v>36161</c:v>
                </c:pt>
                <c:pt idx="37" formatCode="0">
                  <c:v>29869</c:v>
                </c:pt>
                <c:pt idx="38" formatCode="0">
                  <c:v>27438</c:v>
                </c:pt>
                <c:pt idx="39" formatCode="0">
                  <c:v>24759</c:v>
                </c:pt>
                <c:pt idx="40" formatCode="0">
                  <c:v>24909</c:v>
                </c:pt>
                <c:pt idx="41" formatCode="0">
                  <c:v>25578</c:v>
                </c:pt>
                <c:pt idx="42" formatCode="0">
                  <c:v>29643</c:v>
                </c:pt>
                <c:pt idx="43" formatCode="0">
                  <c:v>29292</c:v>
                </c:pt>
                <c:pt idx="44" formatCode="0">
                  <c:v>26235</c:v>
                </c:pt>
                <c:pt idx="45" formatCode="0">
                  <c:v>20818</c:v>
                </c:pt>
                <c:pt idx="46" formatCode="0">
                  <c:v>18706</c:v>
                </c:pt>
                <c:pt idx="47" formatCode="0">
                  <c:v>23024</c:v>
                </c:pt>
                <c:pt idx="48" formatCode="0">
                  <c:v>22390</c:v>
                </c:pt>
                <c:pt idx="49" formatCode="0">
                  <c:v>28095</c:v>
                </c:pt>
                <c:pt idx="50" formatCode="0">
                  <c:v>27624</c:v>
                </c:pt>
                <c:pt idx="51" formatCode="0">
                  <c:v>24332</c:v>
                </c:pt>
                <c:pt idx="52" formatCode="0">
                  <c:v>20201</c:v>
                </c:pt>
                <c:pt idx="53" formatCode="0">
                  <c:v>23543</c:v>
                </c:pt>
                <c:pt idx="54" formatCode="0">
                  <c:v>20801</c:v>
                </c:pt>
                <c:pt idx="55" formatCode="0">
                  <c:v>22672</c:v>
                </c:pt>
                <c:pt idx="56" formatCode="0">
                  <c:v>28844</c:v>
                </c:pt>
                <c:pt idx="57" formatCode="0">
                  <c:v>24666</c:v>
                </c:pt>
                <c:pt idx="58" formatCode="0">
                  <c:v>21939</c:v>
                </c:pt>
                <c:pt idx="59" formatCode="0">
                  <c:v>19930</c:v>
                </c:pt>
                <c:pt idx="60" formatCode="0">
                  <c:v>19920</c:v>
                </c:pt>
                <c:pt idx="61" formatCode="0">
                  <c:v>19400</c:v>
                </c:pt>
                <c:pt idx="62" formatCode="0">
                  <c:v>20754</c:v>
                </c:pt>
                <c:pt idx="63" formatCode="0">
                  <c:v>23085</c:v>
                </c:pt>
                <c:pt idx="64" formatCode="0">
                  <c:v>25697</c:v>
                </c:pt>
                <c:pt idx="65" formatCode="0">
                  <c:v>23763</c:v>
                </c:pt>
                <c:pt idx="66" formatCode="0">
                  <c:v>20755</c:v>
                </c:pt>
                <c:pt idx="67" formatCode="0">
                  <c:v>22431</c:v>
                </c:pt>
                <c:pt idx="68" formatCode="0">
                  <c:v>22287</c:v>
                </c:pt>
                <c:pt idx="69" formatCode="0">
                  <c:v>20831</c:v>
                </c:pt>
                <c:pt idx="70" formatCode="0">
                  <c:v>22850</c:v>
                </c:pt>
                <c:pt idx="71" formatCode="0">
                  <c:v>25427</c:v>
                </c:pt>
                <c:pt idx="72" formatCode="0">
                  <c:v>22862</c:v>
                </c:pt>
                <c:pt idx="73" formatCode="0">
                  <c:v>18933</c:v>
                </c:pt>
                <c:pt idx="74" formatCode="0">
                  <c:v>19069</c:v>
                </c:pt>
                <c:pt idx="75" formatCode="0">
                  <c:v>19085</c:v>
                </c:pt>
                <c:pt idx="76" formatCode="0">
                  <c:v>21040</c:v>
                </c:pt>
                <c:pt idx="77" formatCode="0">
                  <c:v>23490</c:v>
                </c:pt>
                <c:pt idx="78" formatCode="0">
                  <c:v>27405</c:v>
                </c:pt>
                <c:pt idx="79" formatCode="0">
                  <c:v>25490</c:v>
                </c:pt>
                <c:pt idx="80" formatCode="0">
                  <c:v>20181</c:v>
                </c:pt>
                <c:pt idx="81" formatCode="0">
                  <c:v>20901</c:v>
                </c:pt>
                <c:pt idx="82" formatCode="0">
                  <c:v>25634</c:v>
                </c:pt>
                <c:pt idx="83" formatCode="0">
                  <c:v>26257</c:v>
                </c:pt>
                <c:pt idx="84" formatCode="0">
                  <c:v>27964</c:v>
                </c:pt>
                <c:pt idx="85" formatCode="0">
                  <c:v>33582</c:v>
                </c:pt>
                <c:pt idx="86" formatCode="0">
                  <c:v>33431</c:v>
                </c:pt>
                <c:pt idx="87" formatCode="0">
                  <c:v>26118</c:v>
                </c:pt>
                <c:pt idx="88" formatCode="0">
                  <c:v>31538</c:v>
                </c:pt>
                <c:pt idx="89" formatCode="0">
                  <c:v>36066</c:v>
                </c:pt>
                <c:pt idx="90" formatCode="0">
                  <c:v>38434</c:v>
                </c:pt>
                <c:pt idx="91" formatCode="0">
                  <c:v>40236</c:v>
                </c:pt>
                <c:pt idx="92" formatCode="0">
                  <c:v>47365</c:v>
                </c:pt>
                <c:pt idx="93" formatCode="0">
                  <c:v>43599</c:v>
                </c:pt>
                <c:pt idx="94" formatCode="0">
                  <c:v>40563</c:v>
                </c:pt>
                <c:pt idx="95" formatCode="0">
                  <c:v>44764</c:v>
                </c:pt>
                <c:pt idx="96" formatCode="0">
                  <c:v>46075</c:v>
                </c:pt>
                <c:pt idx="97" formatCode="0">
                  <c:v>52361</c:v>
                </c:pt>
                <c:pt idx="98" formatCode="0">
                  <c:v>57522</c:v>
                </c:pt>
                <c:pt idx="99" formatCode="0">
                  <c:v>59619</c:v>
                </c:pt>
                <c:pt idx="100" formatCode="0">
                  <c:v>49999</c:v>
                </c:pt>
                <c:pt idx="101" formatCode="0">
                  <c:v>46036</c:v>
                </c:pt>
                <c:pt idx="102" formatCode="0">
                  <c:v>50771</c:v>
                </c:pt>
                <c:pt idx="103" formatCode="0">
                  <c:v>55856</c:v>
                </c:pt>
                <c:pt idx="104" formatCode="0">
                  <c:v>62298</c:v>
                </c:pt>
                <c:pt idx="105" formatCode="0">
                  <c:v>61574</c:v>
                </c:pt>
                <c:pt idx="106" formatCode="0">
                  <c:v>72278</c:v>
                </c:pt>
                <c:pt idx="107" formatCode="0">
                  <c:v>62004</c:v>
                </c:pt>
                <c:pt idx="108" formatCode="0">
                  <c:v>58621</c:v>
                </c:pt>
                <c:pt idx="109" formatCode="0">
                  <c:v>65789</c:v>
                </c:pt>
                <c:pt idx="110" formatCode="0">
                  <c:v>66048</c:v>
                </c:pt>
                <c:pt idx="111" formatCode="0">
                  <c:v>72005</c:v>
                </c:pt>
                <c:pt idx="112" formatCode="0">
                  <c:v>73388</c:v>
                </c:pt>
                <c:pt idx="113" formatCode="0">
                  <c:v>74987</c:v>
                </c:pt>
                <c:pt idx="114" formatCode="0">
                  <c:v>63259</c:v>
                </c:pt>
                <c:pt idx="115" formatCode="0">
                  <c:v>65279</c:v>
                </c:pt>
                <c:pt idx="116" formatCode="0">
                  <c:v>62879</c:v>
                </c:pt>
                <c:pt idx="117" formatCode="0">
                  <c:v>67479</c:v>
                </c:pt>
                <c:pt idx="118" formatCode="0">
                  <c:v>71967</c:v>
                </c:pt>
                <c:pt idx="119" formatCode="0">
                  <c:v>69443</c:v>
                </c:pt>
                <c:pt idx="120" formatCode="0">
                  <c:v>77978</c:v>
                </c:pt>
                <c:pt idx="121" formatCode="0">
                  <c:v>67413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A-403C-B7DB-95A3FB55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76414"/>
        <c:axId val="31906324"/>
      </c:lineChart>
      <c:dateAx>
        <c:axId val="37641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906324"/>
        <c:crosses val="autoZero"/>
        <c:auto val="1"/>
        <c:lblOffset val="100"/>
        <c:baseTimeUnit val="days"/>
      </c:dateAx>
      <c:valAx>
        <c:axId val="31906324"/>
        <c:scaling>
          <c:orientation val="minMax"/>
          <c:max val="75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6414"/>
        <c:crosses val="autoZero"/>
        <c:crossBetween val="between"/>
        <c:majorUnit val="1000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Moving Average Case Growth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'NH Analysis'!$A$20:$A$135</c:f>
              <c:numCache>
                <c:formatCode>d\-mmm</c:formatCode>
                <c:ptCount val="11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</c:numCache>
            </c:numRef>
          </c:cat>
          <c:val>
            <c:numRef>
              <c:f>'NH Analysis'!$E$20:$E$135</c:f>
              <c:numCache>
                <c:formatCode>General</c:formatCode>
                <c:ptCount val="116"/>
                <c:pt idx="0">
                  <c:v>1.948581560283688</c:v>
                </c:pt>
                <c:pt idx="1">
                  <c:v>1.7701149425287355</c:v>
                </c:pt>
                <c:pt idx="2">
                  <c:v>1.6646048109965634</c:v>
                </c:pt>
                <c:pt idx="3">
                  <c:v>1.7290167865707435</c:v>
                </c:pt>
                <c:pt idx="4">
                  <c:v>1.5002820078962211</c:v>
                </c:pt>
                <c:pt idx="5">
                  <c:v>1.3300760043431055</c:v>
                </c:pt>
                <c:pt idx="6">
                  <c:v>0.92018779342723001</c:v>
                </c:pt>
                <c:pt idx="7">
                  <c:v>0.8530465949820788</c:v>
                </c:pt>
                <c:pt idx="8">
                  <c:v>0.73424104891578412</c:v>
                </c:pt>
                <c:pt idx="9">
                  <c:v>0.92263610315186251</c:v>
                </c:pt>
                <c:pt idx="10">
                  <c:v>0.92551210428305397</c:v>
                </c:pt>
                <c:pt idx="11">
                  <c:v>1.075445816186557</c:v>
                </c:pt>
                <c:pt idx="12">
                  <c:v>0.90301318267419961</c:v>
                </c:pt>
                <c:pt idx="13">
                  <c:v>1.0576923076923077</c:v>
                </c:pt>
                <c:pt idx="14">
                  <c:v>1.0250113688040019</c:v>
                </c:pt>
                <c:pt idx="15">
                  <c:v>1.2423423423423425</c:v>
                </c:pt>
                <c:pt idx="16">
                  <c:v>1.2452664024658739</c:v>
                </c:pt>
                <c:pt idx="17">
                  <c:v>1.3069216757741347</c:v>
                </c:pt>
                <c:pt idx="18">
                  <c:v>1.1698455949137148</c:v>
                </c:pt>
                <c:pt idx="19">
                  <c:v>1.0161290322580645</c:v>
                </c:pt>
                <c:pt idx="20">
                  <c:v>0.92592592592592593</c:v>
                </c:pt>
                <c:pt idx="21">
                  <c:v>1.1408681408681407</c:v>
                </c:pt>
                <c:pt idx="22">
                  <c:v>1.221837754709727</c:v>
                </c:pt>
                <c:pt idx="23">
                  <c:v>1.2896174863387979</c:v>
                </c:pt>
                <c:pt idx="24">
                  <c:v>1.0949126803340927</c:v>
                </c:pt>
                <c:pt idx="25">
                  <c:v>1.0341499628804751</c:v>
                </c:pt>
                <c:pt idx="26">
                  <c:v>1.099502487562189</c:v>
                </c:pt>
                <c:pt idx="27">
                  <c:v>1.1531151003167899</c:v>
                </c:pt>
                <c:pt idx="28">
                  <c:v>1.0233050847457628</c:v>
                </c:pt>
                <c:pt idx="29">
                  <c:v>1.0980392156862746</c:v>
                </c:pt>
                <c:pt idx="30">
                  <c:v>1.3712480252764612</c:v>
                </c:pt>
                <c:pt idx="31">
                  <c:v>1.5874999999999999</c:v>
                </c:pt>
                <c:pt idx="32">
                  <c:v>1.5086206896551724</c:v>
                </c:pt>
                <c:pt idx="33">
                  <c:v>1.123015873015873</c:v>
                </c:pt>
                <c:pt idx="34">
                  <c:v>0.83699943598420756</c:v>
                </c:pt>
                <c:pt idx="35">
                  <c:v>0.90120347047299199</c:v>
                </c:pt>
                <c:pt idx="36">
                  <c:v>1.0096339113680153</c:v>
                </c:pt>
                <c:pt idx="37">
                  <c:v>1.1685155837295298</c:v>
                </c:pt>
                <c:pt idx="38">
                  <c:v>1.0300632911392404</c:v>
                </c:pt>
                <c:pt idx="39">
                  <c:v>0.88247863247863256</c:v>
                </c:pt>
                <c:pt idx="40">
                  <c:v>0.81722134178552575</c:v>
                </c:pt>
                <c:pt idx="41">
                  <c:v>0.85487708168120546</c:v>
                </c:pt>
                <c:pt idx="42">
                  <c:v>0.85347985347985356</c:v>
                </c:pt>
                <c:pt idx="43">
                  <c:v>0.84310618066561016</c:v>
                </c:pt>
                <c:pt idx="44">
                  <c:v>0.92467678471051151</c:v>
                </c:pt>
                <c:pt idx="45">
                  <c:v>1.0834049871023217</c:v>
                </c:pt>
                <c:pt idx="46">
                  <c:v>0.95092758827049684</c:v>
                </c:pt>
                <c:pt idx="47">
                  <c:v>0.83227176220806787</c:v>
                </c:pt>
                <c:pt idx="48">
                  <c:v>0.69707811568276679</c:v>
                </c:pt>
                <c:pt idx="49">
                  <c:v>1.1072763876905378</c:v>
                </c:pt>
                <c:pt idx="50">
                  <c:v>1.1853832442067738</c:v>
                </c:pt>
                <c:pt idx="51">
                  <c:v>1.2611464968152866</c:v>
                </c:pt>
                <c:pt idx="52">
                  <c:v>0.95022624434389136</c:v>
                </c:pt>
                <c:pt idx="53">
                  <c:v>0.93164709424872039</c:v>
                </c:pt>
                <c:pt idx="54">
                  <c:v>0.83021223470661665</c:v>
                </c:pt>
                <c:pt idx="55">
                  <c:v>0.67189030362389812</c:v>
                </c:pt>
                <c:pt idx="56">
                  <c:v>0.64431295200525962</c:v>
                </c:pt>
                <c:pt idx="57">
                  <c:v>0.86453281603621079</c:v>
                </c:pt>
                <c:pt idx="58">
                  <c:v>1.1733333333333333</c:v>
                </c:pt>
                <c:pt idx="59">
                  <c:v>1.2188017212843429</c:v>
                </c:pt>
                <c:pt idx="60">
                  <c:v>1.1666666666666667</c:v>
                </c:pt>
                <c:pt idx="61">
                  <c:v>0.8855154965211891</c:v>
                </c:pt>
                <c:pt idx="62">
                  <c:v>0.93333333333333335</c:v>
                </c:pt>
                <c:pt idx="63">
                  <c:v>0.7433192686357244</c:v>
                </c:pt>
                <c:pt idx="64">
                  <c:v>0.9362439362439362</c:v>
                </c:pt>
                <c:pt idx="65">
                  <c:v>1.0100589663544919</c:v>
                </c:pt>
                <c:pt idx="66">
                  <c:v>1.1447459986082114</c:v>
                </c:pt>
                <c:pt idx="67">
                  <c:v>0.91205211726384361</c:v>
                </c:pt>
                <c:pt idx="68">
                  <c:v>0.70411160058737143</c:v>
                </c:pt>
                <c:pt idx="69">
                  <c:v>0.5839626033800791</c:v>
                </c:pt>
                <c:pt idx="70">
                  <c:v>0.7264864864864865</c:v>
                </c:pt>
                <c:pt idx="71">
                  <c:v>0.76689976689976691</c:v>
                </c:pt>
                <c:pt idx="72">
                  <c:v>0.78460895023002919</c:v>
                </c:pt>
                <c:pt idx="73">
                  <c:v>0.76106194690265483</c:v>
                </c:pt>
                <c:pt idx="74">
                  <c:v>0.76676109537299331</c:v>
                </c:pt>
                <c:pt idx="75">
                  <c:v>0.65225744476464942</c:v>
                </c:pt>
                <c:pt idx="76">
                  <c:v>0.53353658536585369</c:v>
                </c:pt>
                <c:pt idx="77">
                  <c:v>0.86901270772238515</c:v>
                </c:pt>
                <c:pt idx="78">
                  <c:v>0.8834951456310679</c:v>
                </c:pt>
                <c:pt idx="79">
                  <c:v>1.0307246376811596</c:v>
                </c:pt>
                <c:pt idx="80">
                  <c:v>0.78934324659231714</c:v>
                </c:pt>
                <c:pt idx="81">
                  <c:v>0.87445887445887438</c:v>
                </c:pt>
                <c:pt idx="82">
                  <c:v>0.71308833010960659</c:v>
                </c:pt>
                <c:pt idx="83">
                  <c:v>0.55532359081419624</c:v>
                </c:pt>
                <c:pt idx="84">
                  <c:v>0.58849557522123896</c:v>
                </c:pt>
                <c:pt idx="85">
                  <c:v>0.83551673944687044</c:v>
                </c:pt>
                <c:pt idx="86">
                  <c:v>1.0568011958146486</c:v>
                </c:pt>
                <c:pt idx="87">
                  <c:v>1.3020833333333333</c:v>
                </c:pt>
                <c:pt idx="88">
                  <c:v>1.1819505094614264</c:v>
                </c:pt>
                <c:pt idx="89">
                  <c:v>1.0067415730337079</c:v>
                </c:pt>
                <c:pt idx="90">
                  <c:v>0.71060606060606057</c:v>
                </c:pt>
                <c:pt idx="91">
                  <c:v>0.67527993109388462</c:v>
                </c:pt>
                <c:pt idx="92">
                  <c:v>0.751918158567775</c:v>
                </c:pt>
                <c:pt idx="93">
                  <c:v>0.94047619047619047</c:v>
                </c:pt>
                <c:pt idx="94">
                  <c:v>0.7755868544600939</c:v>
                </c:pt>
                <c:pt idx="95">
                  <c:v>1.0188679245283019</c:v>
                </c:pt>
                <c:pt idx="96">
                  <c:v>0.79221927497789568</c:v>
                </c:pt>
                <c:pt idx="97">
                  <c:v>1.0166229221347332</c:v>
                </c:pt>
                <c:pt idx="98">
                  <c:v>0.74866310160427807</c:v>
                </c:pt>
                <c:pt idx="99">
                  <c:v>0.78873239436619713</c:v>
                </c:pt>
                <c:pt idx="100">
                  <c:v>0.81219272369714846</c:v>
                </c:pt>
                <c:pt idx="101">
                  <c:v>1.0467289719626169</c:v>
                </c:pt>
                <c:pt idx="102">
                  <c:v>1.1921079958463137</c:v>
                </c:pt>
                <c:pt idx="103">
                  <c:v>1.1558307533539731</c:v>
                </c:pt>
                <c:pt idx="104">
                  <c:v>1.0082304526748971</c:v>
                </c:pt>
                <c:pt idx="105">
                  <c:v>0.89634146341463417</c:v>
                </c:pt>
                <c:pt idx="106">
                  <c:v>1.0339321357285429</c:v>
                </c:pt>
                <c:pt idx="107">
                  <c:v>1.1159420289855073</c:v>
                </c:pt>
                <c:pt idx="108">
                  <c:v>1.0593869731800765</c:v>
                </c:pt>
                <c:pt idx="109">
                  <c:v>1.0113519091847265</c:v>
                </c:pt>
                <c:pt idx="110">
                  <c:v>1.2068965517241379</c:v>
                </c:pt>
                <c:pt idx="111">
                  <c:v>1.0821256038647344</c:v>
                </c:pt>
                <c:pt idx="112">
                  <c:v>1.2668513388734994</c:v>
                </c:pt>
                <c:pt idx="113">
                  <c:v>0.98447488584474885</c:v>
                </c:pt>
                <c:pt idx="114">
                  <c:v>1.3793103448275863</c:v>
                </c:pt>
                <c:pt idx="115">
                  <c:v>1.4401913875598087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4-463D-B280-B77C5455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310628"/>
        <c:axId val="6575655"/>
      </c:lineChart>
      <c:dateAx>
        <c:axId val="1431062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75655"/>
        <c:crosses val="autoZero"/>
        <c:auto val="1"/>
        <c:lblOffset val="100"/>
        <c:baseTimeUnit val="days"/>
      </c:dateAx>
      <c:valAx>
        <c:axId val="6575655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310628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Mortality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440">
              <a:solidFill>
                <a:srgbClr val="4472C4">
                  <a:alpha val="26000"/>
                </a:srgbClr>
              </a:solidFill>
              <a:round/>
            </a:ln>
          </c:spPr>
          <c:invertIfNegative val="0"/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'NH Analysis'!$A$20:$A$135</c:f>
              <c:numCache>
                <c:formatCode>d\-mmm</c:formatCode>
                <c:ptCount val="11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</c:numCache>
            </c:numRef>
          </c:cat>
          <c:val>
            <c:numRef>
              <c:f>'NH Analysis'!$B$20:$B$135</c:f>
              <c:numCache>
                <c:formatCode>General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 formatCode="0">
                  <c:v>2</c:v>
                </c:pt>
                <c:pt idx="5" formatCode="0">
                  <c:v>0</c:v>
                </c:pt>
                <c:pt idx="6" formatCode="0">
                  <c:v>4</c:v>
                </c:pt>
                <c:pt idx="7" formatCode="0">
                  <c:v>5</c:v>
                </c:pt>
                <c:pt idx="8" formatCode="0">
                  <c:v>3</c:v>
                </c:pt>
                <c:pt idx="9" formatCode="0">
                  <c:v>1</c:v>
                </c:pt>
                <c:pt idx="10" formatCode="0">
                  <c:v>1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4</c:v>
                </c:pt>
                <c:pt idx="14" formatCode="0">
                  <c:v>5</c:v>
                </c:pt>
                <c:pt idx="15" formatCode="0">
                  <c:v>2</c:v>
                </c:pt>
                <c:pt idx="16" formatCode="0">
                  <c:v>3</c:v>
                </c:pt>
                <c:pt idx="17" formatCode="0">
                  <c:v>1</c:v>
                </c:pt>
                <c:pt idx="18" formatCode="0">
                  <c:v>3</c:v>
                </c:pt>
                <c:pt idx="19" formatCode="0">
                  <c:v>1</c:v>
                </c:pt>
                <c:pt idx="20" formatCode="0">
                  <c:v>0</c:v>
                </c:pt>
                <c:pt idx="21" formatCode="0">
                  <c:v>6</c:v>
                </c:pt>
                <c:pt idx="22" formatCode="0">
                  <c:v>3</c:v>
                </c:pt>
                <c:pt idx="23" formatCode="0">
                  <c:v>2</c:v>
                </c:pt>
                <c:pt idx="24" formatCode="0">
                  <c:v>7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6</c:v>
                </c:pt>
                <c:pt idx="29" formatCode="0">
                  <c:v>6</c:v>
                </c:pt>
                <c:pt idx="30" formatCode="0">
                  <c:v>0</c:v>
                </c:pt>
                <c:pt idx="31" formatCode="0">
                  <c:v>3</c:v>
                </c:pt>
                <c:pt idx="32" formatCode="0">
                  <c:v>2</c:v>
                </c:pt>
                <c:pt idx="33" formatCode="0">
                  <c:v>0</c:v>
                </c:pt>
                <c:pt idx="34" formatCode="0">
                  <c:v>6</c:v>
                </c:pt>
                <c:pt idx="35" formatCode="0">
                  <c:v>19</c:v>
                </c:pt>
                <c:pt idx="36" formatCode="0">
                  <c:v>3</c:v>
                </c:pt>
                <c:pt idx="37" formatCode="0">
                  <c:v>7</c:v>
                </c:pt>
                <c:pt idx="38" formatCode="0">
                  <c:v>10</c:v>
                </c:pt>
                <c:pt idx="39" formatCode="0">
                  <c:v>2</c:v>
                </c:pt>
                <c:pt idx="40" formatCode="0">
                  <c:v>0</c:v>
                </c:pt>
                <c:pt idx="41" formatCode="0">
                  <c:v>9</c:v>
                </c:pt>
                <c:pt idx="42" formatCode="0">
                  <c:v>8</c:v>
                </c:pt>
                <c:pt idx="43" formatCode="0">
                  <c:v>1</c:v>
                </c:pt>
                <c:pt idx="44" formatCode="0">
                  <c:v>8</c:v>
                </c:pt>
                <c:pt idx="45" formatCode="0">
                  <c:v>12</c:v>
                </c:pt>
                <c:pt idx="46" formatCode="0">
                  <c:v>1</c:v>
                </c:pt>
                <c:pt idx="47" formatCode="0">
                  <c:v>0</c:v>
                </c:pt>
                <c:pt idx="48" formatCode="0">
                  <c:v>10</c:v>
                </c:pt>
                <c:pt idx="49" formatCode="0">
                  <c:v>8</c:v>
                </c:pt>
                <c:pt idx="50" formatCode="0">
                  <c:v>9</c:v>
                </c:pt>
                <c:pt idx="51" formatCode="0">
                  <c:v>5</c:v>
                </c:pt>
                <c:pt idx="52" formatCode="0">
                  <c:v>4</c:v>
                </c:pt>
                <c:pt idx="53" formatCode="0">
                  <c:v>1</c:v>
                </c:pt>
                <c:pt idx="54" formatCode="0">
                  <c:v>1</c:v>
                </c:pt>
                <c:pt idx="55" formatCode="0">
                  <c:v>4</c:v>
                </c:pt>
                <c:pt idx="56" formatCode="0">
                  <c:v>9</c:v>
                </c:pt>
                <c:pt idx="57" formatCode="0">
                  <c:v>9</c:v>
                </c:pt>
                <c:pt idx="58" formatCode="0">
                  <c:v>6</c:v>
                </c:pt>
                <c:pt idx="59" formatCode="0">
                  <c:v>4</c:v>
                </c:pt>
                <c:pt idx="60" formatCode="0">
                  <c:v>3</c:v>
                </c:pt>
                <c:pt idx="61" formatCode="0">
                  <c:v>0</c:v>
                </c:pt>
                <c:pt idx="62" formatCode="0">
                  <c:v>11</c:v>
                </c:pt>
                <c:pt idx="63" formatCode="0">
                  <c:v>9</c:v>
                </c:pt>
                <c:pt idx="64" formatCode="0">
                  <c:v>8</c:v>
                </c:pt>
                <c:pt idx="65" formatCode="0">
                  <c:v>5</c:v>
                </c:pt>
                <c:pt idx="66" formatCode="0">
                  <c:v>5</c:v>
                </c:pt>
                <c:pt idx="67" formatCode="0">
                  <c:v>3</c:v>
                </c:pt>
                <c:pt idx="68" formatCode="0">
                  <c:v>0</c:v>
                </c:pt>
                <c:pt idx="69" formatCode="0">
                  <c:v>8</c:v>
                </c:pt>
                <c:pt idx="70" formatCode="0">
                  <c:v>7</c:v>
                </c:pt>
                <c:pt idx="71" formatCode="0">
                  <c:v>7</c:v>
                </c:pt>
                <c:pt idx="72" formatCode="0">
                  <c:v>7</c:v>
                </c:pt>
                <c:pt idx="73" formatCode="0">
                  <c:v>3</c:v>
                </c:pt>
                <c:pt idx="74" formatCode="0">
                  <c:v>2</c:v>
                </c:pt>
                <c:pt idx="75" formatCode="0">
                  <c:v>0</c:v>
                </c:pt>
                <c:pt idx="76" formatCode="0">
                  <c:v>6</c:v>
                </c:pt>
                <c:pt idx="77" formatCode="0">
                  <c:v>4</c:v>
                </c:pt>
                <c:pt idx="78" formatCode="0">
                  <c:v>1</c:v>
                </c:pt>
                <c:pt idx="79" formatCode="0">
                  <c:v>6</c:v>
                </c:pt>
                <c:pt idx="80" formatCode="0">
                  <c:v>2</c:v>
                </c:pt>
                <c:pt idx="81" formatCode="0">
                  <c:v>0</c:v>
                </c:pt>
                <c:pt idx="82" formatCode="0">
                  <c:v>0</c:v>
                </c:pt>
                <c:pt idx="83" formatCode="0">
                  <c:v>4</c:v>
                </c:pt>
                <c:pt idx="84" formatCode="0">
                  <c:v>4</c:v>
                </c:pt>
                <c:pt idx="85" formatCode="0">
                  <c:v>10</c:v>
                </c:pt>
                <c:pt idx="86" formatCode="0">
                  <c:v>8</c:v>
                </c:pt>
                <c:pt idx="87" formatCode="0">
                  <c:v>2</c:v>
                </c:pt>
                <c:pt idx="88" formatCode="0">
                  <c:v>0</c:v>
                </c:pt>
                <c:pt idx="89" formatCode="0">
                  <c:v>0</c:v>
                </c:pt>
                <c:pt idx="90" formatCode="0">
                  <c:v>4</c:v>
                </c:pt>
                <c:pt idx="91" formatCode="0">
                  <c:v>2</c:v>
                </c:pt>
                <c:pt idx="92" formatCode="0">
                  <c:v>2</c:v>
                </c:pt>
                <c:pt idx="93" formatCode="0">
                  <c:v>1</c:v>
                </c:pt>
                <c:pt idx="94" formatCode="0">
                  <c:v>4</c:v>
                </c:pt>
                <c:pt idx="95" formatCode="0">
                  <c:v>1</c:v>
                </c:pt>
                <c:pt idx="96" formatCode="0">
                  <c:v>1</c:v>
                </c:pt>
                <c:pt idx="97" formatCode="0">
                  <c:v>2</c:v>
                </c:pt>
                <c:pt idx="98" formatCode="0">
                  <c:v>2</c:v>
                </c:pt>
                <c:pt idx="99" formatCode="0">
                  <c:v>1</c:v>
                </c:pt>
                <c:pt idx="100" formatCode="0">
                  <c:v>3</c:v>
                </c:pt>
                <c:pt idx="101" formatCode="0">
                  <c:v>1</c:v>
                </c:pt>
                <c:pt idx="102" formatCode="0">
                  <c:v>0</c:v>
                </c:pt>
                <c:pt idx="103" formatCode="0">
                  <c:v>0</c:v>
                </c:pt>
                <c:pt idx="104" formatCode="0">
                  <c:v>1</c:v>
                </c:pt>
                <c:pt idx="105" formatCode="0">
                  <c:v>2</c:v>
                </c:pt>
                <c:pt idx="106" formatCode="0">
                  <c:v>1</c:v>
                </c:pt>
                <c:pt idx="107" formatCode="0">
                  <c:v>0</c:v>
                </c:pt>
                <c:pt idx="108" formatCode="0">
                  <c:v>1</c:v>
                </c:pt>
                <c:pt idx="109" formatCode="0">
                  <c:v>2</c:v>
                </c:pt>
                <c:pt idx="110" formatCode="0">
                  <c:v>0</c:v>
                </c:pt>
                <c:pt idx="111" formatCode="0">
                  <c:v>2</c:v>
                </c:pt>
                <c:pt idx="112" formatCode="0">
                  <c:v>2</c:v>
                </c:pt>
                <c:pt idx="113" formatCode="0">
                  <c:v>3</c:v>
                </c:pt>
                <c:pt idx="114" formatCode="0">
                  <c:v>2</c:v>
                </c:pt>
                <c:pt idx="115" formatCode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8-4067-A8F0-FE2FF37C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7133"/>
        <c:axId val="76937671"/>
      </c:barChart>
      <c:dateAx>
        <c:axId val="1609713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37671"/>
        <c:crosses val="autoZero"/>
        <c:auto val="1"/>
        <c:lblOffset val="100"/>
        <c:baseTimeUnit val="days"/>
      </c:dateAx>
      <c:valAx>
        <c:axId val="76937671"/>
        <c:scaling>
          <c:orientation val="minMax"/>
          <c:max val="3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097133"/>
        <c:crosses val="autoZero"/>
        <c:crossBetween val="between"/>
        <c:majorUnit val="1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Cases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440">
              <a:solidFill>
                <a:srgbClr val="4472C4">
                  <a:alpha val="26000"/>
                </a:srgbClr>
              </a:solidFill>
              <a:round/>
            </a:ln>
          </c:spPr>
          <c:invertIfNegative val="0"/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'NH Analysis'!$A$20:$A$135</c:f>
              <c:numCache>
                <c:formatCode>d\-mmm</c:formatCode>
                <c:ptCount val="11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</c:numCache>
            </c:numRef>
          </c:cat>
          <c:val>
            <c:numRef>
              <c:f>'NH Analysis'!$C$20:$C$135</c:f>
              <c:numCache>
                <c:formatCode>General</c:formatCode>
                <c:ptCount val="116"/>
                <c:pt idx="0">
                  <c:v>48</c:v>
                </c:pt>
                <c:pt idx="1">
                  <c:v>64</c:v>
                </c:pt>
                <c:pt idx="2">
                  <c:v>61</c:v>
                </c:pt>
                <c:pt idx="3">
                  <c:v>81</c:v>
                </c:pt>
                <c:pt idx="4">
                  <c:v>48</c:v>
                </c:pt>
                <c:pt idx="5">
                  <c:v>46</c:v>
                </c:pt>
                <c:pt idx="6">
                  <c:v>32</c:v>
                </c:pt>
                <c:pt idx="7">
                  <c:v>41</c:v>
                </c:pt>
                <c:pt idx="8">
                  <c:v>31</c:v>
                </c:pt>
                <c:pt idx="9">
                  <c:v>66</c:v>
                </c:pt>
                <c:pt idx="10">
                  <c:v>45</c:v>
                </c:pt>
                <c:pt idx="11">
                  <c:v>57</c:v>
                </c:pt>
                <c:pt idx="12">
                  <c:v>35</c:v>
                </c:pt>
                <c:pt idx="13">
                  <c:v>73</c:v>
                </c:pt>
                <c:pt idx="14">
                  <c:v>53</c:v>
                </c:pt>
                <c:pt idx="15">
                  <c:v>71</c:v>
                </c:pt>
                <c:pt idx="16">
                  <c:v>78</c:v>
                </c:pt>
                <c:pt idx="17">
                  <c:v>56</c:v>
                </c:pt>
                <c:pt idx="18">
                  <c:v>50</c:v>
                </c:pt>
                <c:pt idx="19">
                  <c:v>56</c:v>
                </c:pt>
                <c:pt idx="20">
                  <c:v>44</c:v>
                </c:pt>
                <c:pt idx="21">
                  <c:v>99</c:v>
                </c:pt>
                <c:pt idx="22">
                  <c:v>84</c:v>
                </c:pt>
                <c:pt idx="23">
                  <c:v>53</c:v>
                </c:pt>
                <c:pt idx="24">
                  <c:v>69</c:v>
                </c:pt>
                <c:pt idx="25">
                  <c:v>77</c:v>
                </c:pt>
                <c:pt idx="26">
                  <c:v>75</c:v>
                </c:pt>
                <c:pt idx="27">
                  <c:v>82</c:v>
                </c:pt>
                <c:pt idx="28">
                  <c:v>50</c:v>
                </c:pt>
                <c:pt idx="29">
                  <c:v>96</c:v>
                </c:pt>
                <c:pt idx="30">
                  <c:v>164</c:v>
                </c:pt>
                <c:pt idx="31">
                  <c:v>121</c:v>
                </c:pt>
                <c:pt idx="32">
                  <c:v>90</c:v>
                </c:pt>
                <c:pt idx="33">
                  <c:v>72</c:v>
                </c:pt>
                <c:pt idx="34">
                  <c:v>50</c:v>
                </c:pt>
                <c:pt idx="35">
                  <c:v>108</c:v>
                </c:pt>
                <c:pt idx="36">
                  <c:v>104</c:v>
                </c:pt>
                <c:pt idx="37">
                  <c:v>104</c:v>
                </c:pt>
                <c:pt idx="38">
                  <c:v>71</c:v>
                </c:pt>
                <c:pt idx="39">
                  <c:v>61</c:v>
                </c:pt>
                <c:pt idx="40">
                  <c:v>89</c:v>
                </c:pt>
                <c:pt idx="41">
                  <c:v>81</c:v>
                </c:pt>
                <c:pt idx="42">
                  <c:v>63</c:v>
                </c:pt>
                <c:pt idx="43">
                  <c:v>84</c:v>
                </c:pt>
                <c:pt idx="44">
                  <c:v>88</c:v>
                </c:pt>
                <c:pt idx="45">
                  <c:v>98</c:v>
                </c:pt>
                <c:pt idx="46">
                  <c:v>41</c:v>
                </c:pt>
                <c:pt idx="47">
                  <c:v>57</c:v>
                </c:pt>
                <c:pt idx="48">
                  <c:v>69</c:v>
                </c:pt>
                <c:pt idx="49">
                  <c:v>149</c:v>
                </c:pt>
                <c:pt idx="50">
                  <c:v>67</c:v>
                </c:pt>
                <c:pt idx="51" formatCode="0">
                  <c:v>81</c:v>
                </c:pt>
                <c:pt idx="52" formatCode="0">
                  <c:v>77</c:v>
                </c:pt>
                <c:pt idx="53" formatCode="0">
                  <c:v>63</c:v>
                </c:pt>
                <c:pt idx="54" formatCode="0">
                  <c:v>50</c:v>
                </c:pt>
                <c:pt idx="55" formatCode="0">
                  <c:v>34</c:v>
                </c:pt>
                <c:pt idx="56" formatCode="0">
                  <c:v>56</c:v>
                </c:pt>
                <c:pt idx="57" formatCode="0">
                  <c:v>101</c:v>
                </c:pt>
                <c:pt idx="58" formatCode="0">
                  <c:v>107</c:v>
                </c:pt>
                <c:pt idx="59" formatCode="0">
                  <c:v>55</c:v>
                </c:pt>
                <c:pt idx="60" formatCode="0">
                  <c:v>106</c:v>
                </c:pt>
                <c:pt idx="61" formatCode="0">
                  <c:v>39</c:v>
                </c:pt>
                <c:pt idx="62" formatCode="0">
                  <c:v>65</c:v>
                </c:pt>
                <c:pt idx="63" formatCode="0">
                  <c:v>47</c:v>
                </c:pt>
                <c:pt idx="64" formatCode="0">
                  <c:v>81</c:v>
                </c:pt>
                <c:pt idx="65" formatCode="0">
                  <c:v>80</c:v>
                </c:pt>
                <c:pt idx="66" formatCode="0">
                  <c:v>74</c:v>
                </c:pt>
                <c:pt idx="67" formatCode="0">
                  <c:v>26</c:v>
                </c:pt>
                <c:pt idx="68" formatCode="0">
                  <c:v>37</c:v>
                </c:pt>
                <c:pt idx="69" formatCode="0">
                  <c:v>53</c:v>
                </c:pt>
                <c:pt idx="70" formatCode="0">
                  <c:v>54</c:v>
                </c:pt>
                <c:pt idx="71" formatCode="0">
                  <c:v>34</c:v>
                </c:pt>
                <c:pt idx="72" formatCode="0">
                  <c:v>46</c:v>
                </c:pt>
                <c:pt idx="73" formatCode="0">
                  <c:v>49</c:v>
                </c:pt>
                <c:pt idx="74" formatCode="0">
                  <c:v>21</c:v>
                </c:pt>
                <c:pt idx="75" formatCode="0">
                  <c:v>27</c:v>
                </c:pt>
                <c:pt idx="76" formatCode="0">
                  <c:v>27</c:v>
                </c:pt>
                <c:pt idx="77" formatCode="0">
                  <c:v>73</c:v>
                </c:pt>
                <c:pt idx="78" formatCode="0">
                  <c:v>17</c:v>
                </c:pt>
                <c:pt idx="79" formatCode="0">
                  <c:v>37</c:v>
                </c:pt>
                <c:pt idx="80" formatCode="0">
                  <c:v>37</c:v>
                </c:pt>
                <c:pt idx="81" formatCode="0">
                  <c:v>27</c:v>
                </c:pt>
                <c:pt idx="82" formatCode="0">
                  <c:v>15</c:v>
                </c:pt>
                <c:pt idx="83" formatCode="0">
                  <c:v>15</c:v>
                </c:pt>
                <c:pt idx="84" formatCode="0">
                  <c:v>27</c:v>
                </c:pt>
                <c:pt idx="85" formatCode="0">
                  <c:v>40</c:v>
                </c:pt>
                <c:pt idx="86" formatCode="0">
                  <c:v>34</c:v>
                </c:pt>
                <c:pt idx="87" formatCode="0">
                  <c:v>51</c:v>
                </c:pt>
                <c:pt idx="88" formatCode="0">
                  <c:v>31</c:v>
                </c:pt>
                <c:pt idx="89" formatCode="0">
                  <c:v>14</c:v>
                </c:pt>
                <c:pt idx="90" formatCode="0">
                  <c:v>22</c:v>
                </c:pt>
                <c:pt idx="91" formatCode="0">
                  <c:v>20</c:v>
                </c:pt>
                <c:pt idx="92" formatCode="0">
                  <c:v>21</c:v>
                </c:pt>
                <c:pt idx="93" formatCode="0">
                  <c:v>38</c:v>
                </c:pt>
                <c:pt idx="94" formatCode="0">
                  <c:v>0</c:v>
                </c:pt>
                <c:pt idx="95" formatCode="0">
                  <c:v>43</c:v>
                </c:pt>
                <c:pt idx="96" formatCode="0">
                  <c:v>21</c:v>
                </c:pt>
                <c:pt idx="97" formatCode="0">
                  <c:v>19</c:v>
                </c:pt>
                <c:pt idx="98" formatCode="0">
                  <c:v>20</c:v>
                </c:pt>
                <c:pt idx="99" formatCode="0">
                  <c:v>21</c:v>
                </c:pt>
                <c:pt idx="100" formatCode="0">
                  <c:v>18</c:v>
                </c:pt>
                <c:pt idx="101" formatCode="0">
                  <c:v>33</c:v>
                </c:pt>
                <c:pt idx="102" formatCode="0">
                  <c:v>31</c:v>
                </c:pt>
                <c:pt idx="103" formatCode="0">
                  <c:v>16</c:v>
                </c:pt>
                <c:pt idx="104" formatCode="0">
                  <c:v>23</c:v>
                </c:pt>
                <c:pt idx="105" formatCode="0">
                  <c:v>24</c:v>
                </c:pt>
                <c:pt idx="106" formatCode="0">
                  <c:v>27</c:v>
                </c:pt>
                <c:pt idx="107" formatCode="0">
                  <c:v>26</c:v>
                </c:pt>
                <c:pt idx="108" formatCode="0">
                  <c:v>26</c:v>
                </c:pt>
                <c:pt idx="109" formatCode="0">
                  <c:v>18</c:v>
                </c:pt>
                <c:pt idx="110" formatCode="0">
                  <c:v>46</c:v>
                </c:pt>
                <c:pt idx="111" formatCode="0">
                  <c:v>16</c:v>
                </c:pt>
                <c:pt idx="112" formatCode="0">
                  <c:v>36</c:v>
                </c:pt>
                <c:pt idx="113" formatCode="0">
                  <c:v>25</c:v>
                </c:pt>
                <c:pt idx="114" formatCode="0">
                  <c:v>59</c:v>
                </c:pt>
                <c:pt idx="115" formatCode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C-4D32-8299-F497B2BD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7133"/>
        <c:axId val="76937671"/>
      </c:barChart>
      <c:dateAx>
        <c:axId val="1609713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37671"/>
        <c:crosses val="autoZero"/>
        <c:auto val="1"/>
        <c:lblOffset val="100"/>
        <c:baseTimeUnit val="days"/>
      </c:dateAx>
      <c:valAx>
        <c:axId val="76937671"/>
        <c:scaling>
          <c:orientation val="minMax"/>
          <c:max val="25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097133"/>
        <c:crosses val="autoZero"/>
        <c:crossBetween val="between"/>
        <c:majorUnit val="25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98930</xdr:colOff>
      <xdr:row>82</xdr:row>
      <xdr:rowOff>162440</xdr:rowOff>
    </xdr:from>
    <xdr:to>
      <xdr:col>13</xdr:col>
      <xdr:colOff>4005</xdr:colOff>
      <xdr:row>94</xdr:row>
      <xdr:rowOff>34810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95755</xdr:colOff>
      <xdr:row>94</xdr:row>
      <xdr:rowOff>73200</xdr:rowOff>
    </xdr:from>
    <xdr:to>
      <xdr:col>12</xdr:col>
      <xdr:colOff>873955</xdr:colOff>
      <xdr:row>105</xdr:row>
      <xdr:rowOff>188200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95250</xdr:colOff>
      <xdr:row>106</xdr:row>
      <xdr:rowOff>57150</xdr:rowOff>
    </xdr:from>
    <xdr:to>
      <xdr:col>12</xdr:col>
      <xdr:colOff>873450</xdr:colOff>
      <xdr:row>117</xdr:row>
      <xdr:rowOff>168975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FEC9D8-94F2-4F75-810D-E2BD523E9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327510</xdr:colOff>
      <xdr:row>105</xdr:row>
      <xdr:rowOff>33570</xdr:rowOff>
    </xdr:from>
    <xdr:to>
      <xdr:col>15</xdr:col>
      <xdr:colOff>873310</xdr:colOff>
      <xdr:row>117</xdr:row>
      <xdr:rowOff>98405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34465</xdr:colOff>
      <xdr:row>117</xdr:row>
      <xdr:rowOff>104665</xdr:rowOff>
    </xdr:from>
    <xdr:to>
      <xdr:col>11</xdr:col>
      <xdr:colOff>573915</xdr:colOff>
      <xdr:row>129</xdr:row>
      <xdr:rowOff>169500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38100</xdr:colOff>
      <xdr:row>105</xdr:row>
      <xdr:rowOff>31750</xdr:rowOff>
    </xdr:from>
    <xdr:to>
      <xdr:col>11</xdr:col>
      <xdr:colOff>574375</xdr:colOff>
      <xdr:row>117</xdr:row>
      <xdr:rowOff>77535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188590-212A-4758-9796-ABBE08FF8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T215" totalsRowCount="1">
  <autoFilter ref="B1:T214" xr:uid="{00000000-0009-0000-0100-000001000000}"/>
  <sortState xmlns:xlrd2="http://schemas.microsoft.com/office/spreadsheetml/2017/richdata2" ref="B2:T214">
    <sortCondition ref="J1:J214"/>
  </sortState>
  <tableColumns count="19">
    <tableColumn id="1" xr3:uid="{00000000-0010-0000-0000-000001000000}" name="Rank" totalsRowFunction="custom" totalsRowDxfId="18">
      <totalsRowFormula>AVERAGE(Table1[Rank])</totalsRowFormula>
    </tableColumn>
    <tableColumn id="2" xr3:uid="{00000000-0010-0000-0000-000002000000}" name="Country" totalsRowFunction="custom" totalsRowDxfId="17">
      <totalsRowFormula>AVERAGE(Table1[Country])</totalsRowFormula>
    </tableColumn>
    <tableColumn id="3" xr3:uid="{00000000-0010-0000-0000-000003000000}" name="Cases" totalsRowFunction="custom" totalsRowDxfId="16">
      <totalsRowFormula>AVERAGE(Table1[Cases])</totalsRowFormula>
    </tableColumn>
    <tableColumn id="5" xr3:uid="{00000000-0010-0000-0000-000005000000}" name="Deaths" totalsRowFunction="custom" totalsRowDxfId="15">
      <totalsRowFormula>AVERAGE(Table1[Deaths])</totalsRowFormula>
    </tableColumn>
    <tableColumn id="7" xr3:uid="{00000000-0010-0000-0000-000007000000}" name="Recovered" totalsRowFunction="custom" totalsRowDxfId="14">
      <totalsRowFormula>AVERAGE(Table1[Recovered])</totalsRowFormula>
    </tableColumn>
    <tableColumn id="8" xr3:uid="{00000000-0010-0000-0000-000008000000}" name="Active" totalsRowFunction="custom" totalsRowDxfId="13">
      <totalsRowFormula>AVERAGE(Table1[Active])</totalsRowFormula>
    </tableColumn>
    <tableColumn id="9" xr3:uid="{00000000-0010-0000-0000-000009000000}" name="Serious, Critical" totalsRowFunction="custom" totalsRowDxfId="12">
      <totalsRowFormula>AVERAGE(Table1[Serious, Critical])</totalsRowFormula>
    </tableColumn>
    <tableColumn id="14" xr3:uid="{00000000-0010-0000-0000-00000E000000}" name="Population" totalsRowFunction="custom" totalsRowDxfId="11">
      <totalsRowFormula>AVERAGE(Table1[Population])</totalsRowFormula>
    </tableColumn>
    <tableColumn id="15" xr3:uid="{00000000-0010-0000-0000-00000F000000}" name="1/# " totalsRowFunction="custom" totalsRowDxfId="10">
      <totalsRowFormula>AVERAGE(Table1[1/'# ])</totalsRowFormula>
    </tableColumn>
    <tableColumn id="16" xr3:uid="{00000000-0010-0000-0000-000010000000}" name="1/# Deaths" totalsRowFunction="custom" totalsRowDxfId="9">
      <totalsRowFormula>AVERAGE(Table1[1/'# Deaths])</totalsRowFormula>
    </tableColumn>
    <tableColumn id="17" xr3:uid="{00000000-0010-0000-0000-000011000000}" name="Ex(Deaths)" totalsRowFunction="custom" totalsRowDxfId="8">
      <totalsRowFormula>AVERAGE(Table1[Ex(Deaths)])</totalsRowFormula>
    </tableColumn>
    <tableColumn id="18" xr3:uid="{00000000-0010-0000-0000-000012000000}" name="Death Rate" totalsRowFunction="custom" totalsRowDxfId="7">
      <totalsRowFormula>AVERAGE(Table1[Death Rate])</totalsRowFormula>
    </tableColumn>
    <tableColumn id="19" xr3:uid="{00000000-0010-0000-0000-000013000000}" name="Cases per Death" totalsRowFunction="custom" totalsRowDxfId="6">
      <totalsRowFormula>AVERAGE(Table1[Cases per Death])</totalsRowFormula>
    </tableColumn>
    <tableColumn id="20" xr3:uid="{00000000-0010-0000-0000-000014000000}" name="Percent Infected" totalsRowFunction="custom" totalsRowDxfId="5">
      <totalsRowFormula>AVERAGE(Table1[Percent Infected])</totalsRowFormula>
    </tableColumn>
    <tableColumn id="21" xr3:uid="{00000000-0010-0000-0000-000015000000}" name="Percent Dead" totalsRowFunction="custom" totalsRowDxfId="4">
      <totalsRowFormula>AVERAGE(Table1[Percent Dead])</totalsRowFormula>
    </tableColumn>
    <tableColumn id="22" xr3:uid="{00000000-0010-0000-0000-000016000000}" name="Percent Ex(Death)" totalsRowFunction="custom" totalsRowDxfId="3">
      <totalsRowFormula>AVERAGE(Table1[Percent Ex(Death)])</totalsRowFormula>
    </tableColumn>
    <tableColumn id="25" xr3:uid="{00000000-0010-0000-0000-000019000000}" name="% Active" totalsRowFunction="custom" totalsRowDxfId="2">
      <calculatedColumnFormula>Table1[[#This Row],[Active]]/Table1[[#This Row],[Cases]]</calculatedColumnFormula>
      <totalsRowFormula>AVERAGE(Table1[% Active])</totalsRowFormula>
    </tableColumn>
    <tableColumn id="4" xr3:uid="{C5BC61F0-787C-4B13-B094-7F65C2839684}" name="Percent Actively Infected" totalsRowFunction="custom" dataDxfId="20" totalsRowDxfId="1">
      <calculatedColumnFormula>Table1[[#This Row],[Percent Infected]]*Table1[[#This Row],[% Active]]</calculatedColumnFormula>
      <totalsRowFormula>AVERAGE(Table1[Percent Actively Infected])</totalsRowFormula>
    </tableColumn>
    <tableColumn id="6" xr3:uid="{C200E07E-202A-4F23-AD30-2B5D0B3475C7}" name="1/# Active" totalsRowFunction="custom" dataDxfId="19" totalsRowDxfId="0">
      <calculatedColumnFormula>1/Table1[[#This Row],[Percent Actively Infected]]</calculatedColumnFormula>
      <totalsRowFormula>AVERAGE(Table1[1/'# Active])</totalsRow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X62" totalsRowShown="0">
  <autoFilter ref="A1:X62" xr:uid="{00000000-0009-0000-0100-000002000000}"/>
  <sortState xmlns:xlrd2="http://schemas.microsoft.com/office/spreadsheetml/2017/richdata2" ref="A2:X58">
    <sortCondition ref="X1:X58"/>
  </sortState>
  <tableColumns count="24">
    <tableColumn id="1" xr3:uid="{00000000-0010-0000-0100-000001000000}" name="State"/>
    <tableColumn id="2" xr3:uid="{00000000-0010-0000-0100-000002000000}" name="Cases"/>
    <tableColumn id="3" xr3:uid="{00000000-0010-0000-0100-000003000000}" name="New Cases"/>
    <tableColumn id="4" xr3:uid="{00000000-0010-0000-0100-000004000000}" name="Deaths"/>
    <tableColumn id="5" xr3:uid="{00000000-0010-0000-0100-000005000000}" name="New Deaths"/>
    <tableColumn id="6" xr3:uid="{00000000-0010-0000-0100-000006000000}" name="Active"/>
    <tableColumn id="7" xr3:uid="{00000000-0010-0000-0100-000007000000}" name="Cases/1M"/>
    <tableColumn id="8" xr3:uid="{00000000-0010-0000-0100-000008000000}" name="Deaths/1M"/>
    <tableColumn id="9" xr3:uid="{00000000-0010-0000-0100-000009000000}" name="Tests"/>
    <tableColumn id="10" xr3:uid="{00000000-0010-0000-0100-00000A000000}" name="Test/1M"/>
    <tableColumn id="11" xr3:uid="{00000000-0010-0000-0100-00000B000000}" name="Source"/>
    <tableColumn id="12" xr3:uid="{00000000-0010-0000-0100-00000C000000}" name="Projections"/>
    <tableColumn id="13" xr3:uid="{00000000-0010-0000-0100-00000D000000}" name="% Active"/>
    <tableColumn id="14" xr3:uid="{00000000-0010-0000-0100-00000E000000}" name="1/# "/>
    <tableColumn id="15" xr3:uid="{00000000-0010-0000-0100-00000F000000}" name="1/# Deaths"/>
    <tableColumn id="16" xr3:uid="{00000000-0010-0000-0100-000010000000}" name="Ex(Deaths)">
      <calculatedColumnFormula>Table2[[#This Row],[Deaths]]+Table2[[#This Row],[Active]]*Table2[[#This Row],[Death Rate]]</calculatedColumnFormula>
    </tableColumn>
    <tableColumn id="17" xr3:uid="{00000000-0010-0000-0100-000011000000}" name="Death Rate"/>
    <tableColumn id="18" xr3:uid="{00000000-0010-0000-0100-000012000000}" name="Cases per Death"/>
    <tableColumn id="19" xr3:uid="{00000000-0010-0000-0100-000013000000}" name="Percent Infected"/>
    <tableColumn id="20" xr3:uid="{00000000-0010-0000-0100-000014000000}" name="Percent Dead"/>
    <tableColumn id="21" xr3:uid="{00000000-0010-0000-0100-000015000000}" name="Percent Ex(Death)"/>
    <tableColumn id="22" xr3:uid="{00000000-0010-0000-0100-000016000000}" name="Cases per Test"/>
    <tableColumn id="23" xr3:uid="{9B168E7D-9EBA-4A79-8254-0356C277894C}" name="Percent Active Infected" dataDxfId="22">
      <calculatedColumnFormula>Table2[[#This Row],[Percent Infected]]*Table2[[#This Row],[% Active]]</calculatedColumnFormula>
    </tableColumn>
    <tableColumn id="24" xr3:uid="{6B6B44B4-3DE3-4BD0-979D-79BA94F42EB9}" name="1/# Active" dataDxfId="21">
      <calculatedColumnFormula>1/Table2[[#This Row],[Percent Active Infected]]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san-marino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arus/" TargetMode="External"/><Relationship Id="rId159" Type="http://schemas.openxmlformats.org/officeDocument/2006/relationships/hyperlink" Target="https://www.worldometers.info/world-population/senegal-population/" TargetMode="External"/><Relationship Id="rId324" Type="http://schemas.openxmlformats.org/officeDocument/2006/relationships/hyperlink" Target="https://www.worldometers.info/world-population/myanmar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french-guiana/" TargetMode="External"/><Relationship Id="rId226" Type="http://schemas.openxmlformats.org/officeDocument/2006/relationships/hyperlink" Target="https://www.worldometers.info/coronavirus/country/mali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turkey-population/" TargetMode="External"/><Relationship Id="rId74" Type="http://schemas.openxmlformats.org/officeDocument/2006/relationships/hyperlink" Target="https://www.worldometers.info/coronavirus/country/united-arab-emirates/" TargetMode="External"/><Relationship Id="rId128" Type="http://schemas.openxmlformats.org/officeDocument/2006/relationships/hyperlink" Target="https://www.worldometers.info/coronavirus/country/kenya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saint-vincent-and-the-grenadines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ugand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iraq/" TargetMode="External"/><Relationship Id="rId64" Type="http://schemas.openxmlformats.org/officeDocument/2006/relationships/hyperlink" Target="https://www.worldometers.info/world-population/belarus-population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costa-rica-population/" TargetMode="External"/><Relationship Id="rId290" Type="http://schemas.openxmlformats.org/officeDocument/2006/relationships/hyperlink" Target="https://www.worldometers.info/world-population/andorra-population/" TargetMode="External"/><Relationship Id="rId304" Type="http://schemas.openxmlformats.org/officeDocument/2006/relationships/hyperlink" Target="https://www.worldometers.info/world-population/reunion-population/" TargetMode="External"/><Relationship Id="rId325" Type="http://schemas.openxmlformats.org/officeDocument/2006/relationships/hyperlink" Target="https://www.worldometers.info/coronavirus/country/mauritiu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romania-population/" TargetMode="External"/><Relationship Id="rId150" Type="http://schemas.openxmlformats.org/officeDocument/2006/relationships/hyperlink" Target="https://www.worldometers.info/coronavirus/country/state-of-palestine/" TargetMode="External"/><Relationship Id="rId171" Type="http://schemas.openxmlformats.org/officeDocument/2006/relationships/hyperlink" Target="https://www.worldometers.info/world-population/french-guiana-population/" TargetMode="External"/><Relationship Id="rId192" Type="http://schemas.openxmlformats.org/officeDocument/2006/relationships/hyperlink" Target="https://www.worldometers.info/coronavirus/country/hungary/" TargetMode="External"/><Relationship Id="rId206" Type="http://schemas.openxmlformats.org/officeDocument/2006/relationships/hyperlink" Target="https://www.worldometers.info/coronavirus/country/thailand/" TargetMode="External"/><Relationship Id="rId227" Type="http://schemas.openxmlformats.org/officeDocument/2006/relationships/hyperlink" Target="https://www.worldometers.info/world-population/mali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iceland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kenya-population/" TargetMode="External"/><Relationship Id="rId280" Type="http://schemas.openxmlformats.org/officeDocument/2006/relationships/hyperlink" Target="https://www.worldometers.info/world-population/uganda-population/" TargetMode="External"/><Relationship Id="rId315" Type="http://schemas.openxmlformats.org/officeDocument/2006/relationships/hyperlink" Target="https://www.worldometers.info/coronavirus/country/viet-nam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world-population/philippines-population/" TargetMode="External"/><Relationship Id="rId75" Type="http://schemas.openxmlformats.org/officeDocument/2006/relationships/hyperlink" Target="https://www.worldometers.info/world-population/united-arab-emirates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mayotte-population/" TargetMode="External"/><Relationship Id="rId378" Type="http://schemas.openxmlformats.org/officeDocument/2006/relationships/hyperlink" Target="https://www.worldometers.info/world-population/saint-vincent-and-the-grenadin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yemen-population/" TargetMode="External"/><Relationship Id="rId424" Type="http://schemas.openxmlformats.org/officeDocument/2006/relationships/table" Target="../tables/table1.xm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sao-tome-and-principe/" TargetMode="External"/><Relationship Id="rId305" Type="http://schemas.openxmlformats.org/officeDocument/2006/relationships/hyperlink" Target="https://www.worldometers.info/coronavirus/country/syria/" TargetMode="External"/><Relationship Id="rId326" Type="http://schemas.openxmlformats.org/officeDocument/2006/relationships/hyperlink" Target="https://www.worldometers.info/world-population/mauritius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iraq-population/" TargetMode="External"/><Relationship Id="rId65" Type="http://schemas.openxmlformats.org/officeDocument/2006/relationships/hyperlink" Target="https://www.worldometers.info/coronavirus/country/belgium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haiti/" TargetMode="External"/><Relationship Id="rId193" Type="http://schemas.openxmlformats.org/officeDocument/2006/relationships/hyperlink" Target="https://www.worldometers.info/world-population/hungary-population/" TargetMode="External"/><Relationship Id="rId207" Type="http://schemas.openxmlformats.org/officeDocument/2006/relationships/hyperlink" Target="https://www.worldometers.info/world-population/thailand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iceland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coronavirus/country/mozambique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viet-nam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panama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sri-lanka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namibia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sao-tome-and-principe-population/" TargetMode="External"/><Relationship Id="rId306" Type="http://schemas.openxmlformats.org/officeDocument/2006/relationships/hyperlink" Target="https://www.worldometers.info/world-population/syr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qatar/" TargetMode="External"/><Relationship Id="rId66" Type="http://schemas.openxmlformats.org/officeDocument/2006/relationships/hyperlink" Target="https://www.worldometers.info/world-population/belgium-population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isle-of-man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liechtenstei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haiti-population/" TargetMode="External"/><Relationship Id="rId194" Type="http://schemas.openxmlformats.org/officeDocument/2006/relationships/hyperlink" Target="https://www.worldometers.info/coronavirus/country/zambia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mozambiqu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panama-population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burundi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south-korea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sri-lanka-population/" TargetMode="External"/><Relationship Id="rId370" Type="http://schemas.openxmlformats.org/officeDocument/2006/relationships/hyperlink" Target="https://www.worldometers.info/world-population/liechtenstei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zimbabwe/" TargetMode="External"/><Relationship Id="rId251" Type="http://schemas.openxmlformats.org/officeDocument/2006/relationships/hyperlink" Target="https://www.worldometers.info/world-population/namibi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channel-islands/" TargetMode="External"/><Relationship Id="rId328" Type="http://schemas.openxmlformats.org/officeDocument/2006/relationships/hyperlink" Target="https://www.worldometers.info/world-population/isle-of-man-population/" TargetMode="External"/><Relationship Id="rId349" Type="http://schemas.openxmlformats.org/officeDocument/2006/relationships/hyperlink" Target="https://www.worldometers.info/coronavirus/country/bermuda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czech-republic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tajikistan/" TargetMode="External"/><Relationship Id="rId195" Type="http://schemas.openxmlformats.org/officeDocument/2006/relationships/hyperlink" Target="https://www.worldometers.info/world-population/zambia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ontenegro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sweden/" TargetMode="External"/><Relationship Id="rId262" Type="http://schemas.openxmlformats.org/officeDocument/2006/relationships/hyperlink" Target="https://www.worldometers.info/coronavirus/country/new-zealand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burundi-population/" TargetMode="External"/><Relationship Id="rId339" Type="http://schemas.openxmlformats.org/officeDocument/2006/relationships/hyperlink" Target="https://www.worldometers.info/coronavirus/country/cambodi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south-korea-population/" TargetMode="External"/><Relationship Id="rId164" Type="http://schemas.openxmlformats.org/officeDocument/2006/relationships/hyperlink" Target="https://www.worldometers.info/coronavirus/country/malaysia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ermuda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somali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zimbabwe-population/" TargetMode="External"/><Relationship Id="rId252" Type="http://schemas.openxmlformats.org/officeDocument/2006/relationships/hyperlink" Target="https://www.worldometers.info/coronavirus/country/benin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channel-islands-population/" TargetMode="External"/><Relationship Id="rId329" Type="http://schemas.openxmlformats.org/officeDocument/2006/relationships/hyperlink" Target="https://www.worldometers.info/coronavirus/country/bahamas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ireland/" TargetMode="External"/><Relationship Id="rId133" Type="http://schemas.openxmlformats.org/officeDocument/2006/relationships/hyperlink" Target="https://www.worldometers.info/world-population/czech-republic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tajikistan-population/" TargetMode="External"/><Relationship Id="rId340" Type="http://schemas.openxmlformats.org/officeDocument/2006/relationships/hyperlink" Target="https://www.worldometers.info/world-population/cambodia-population/" TargetMode="External"/><Relationship Id="rId361" Type="http://schemas.openxmlformats.org/officeDocument/2006/relationships/hyperlink" Target="https://www.worldometers.info/coronavirus/country/barbados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lebanon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ontenegro-population/" TargetMode="External"/><Relationship Id="rId242" Type="http://schemas.openxmlformats.org/officeDocument/2006/relationships/hyperlink" Target="https://www.worldometers.info/coronavirus/country/estonia/" TargetMode="External"/><Relationship Id="rId263" Type="http://schemas.openxmlformats.org/officeDocument/2006/relationships/hyperlink" Target="https://www.worldometers.info/coronavirus/country/tunisia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guyana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swede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denmark/" TargetMode="External"/><Relationship Id="rId330" Type="http://schemas.openxmlformats.org/officeDocument/2006/relationships/hyperlink" Target="https://www.worldometers.info/world-population/bahamas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malaysia-population/" TargetMode="External"/><Relationship Id="rId186" Type="http://schemas.openxmlformats.org/officeDocument/2006/relationships/hyperlink" Target="https://www.worldometers.info/coronavirus/country/croatia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somalia-population/" TargetMode="External"/><Relationship Id="rId232" Type="http://schemas.openxmlformats.org/officeDocument/2006/relationships/hyperlink" Target="https://www.worldometers.info/coronavirus/country/south-sudan/" TargetMode="External"/><Relationship Id="rId253" Type="http://schemas.openxmlformats.org/officeDocument/2006/relationships/hyperlink" Target="https://www.worldometers.info/world-population/benin-populatio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tanzania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ireland-population/" TargetMode="External"/><Relationship Id="rId134" Type="http://schemas.openxmlformats.org/officeDocument/2006/relationships/hyperlink" Target="https://www.worldometers.info/coronavirus/country/venezuela/" TargetMode="External"/><Relationship Id="rId320" Type="http://schemas.openxmlformats.org/officeDocument/2006/relationships/hyperlink" Target="https://www.worldometers.info/world-population/guyana-population/" TargetMode="External"/><Relationship Id="rId80" Type="http://schemas.openxmlformats.org/officeDocument/2006/relationships/hyperlink" Target="https://www.worldometers.info/coronavirus/country/singapore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faeroe-islands/" TargetMode="External"/><Relationship Id="rId362" Type="http://schemas.openxmlformats.org/officeDocument/2006/relationships/hyperlink" Target="https://www.worldometers.info/world-population/barbado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lebanon-population/" TargetMode="External"/><Relationship Id="rId222" Type="http://schemas.openxmlformats.org/officeDocument/2006/relationships/hyperlink" Target="https://www.worldometers.info/coronavirus/country/china-hong-kong-sar/" TargetMode="External"/><Relationship Id="rId243" Type="http://schemas.openxmlformats.org/officeDocument/2006/relationships/hyperlink" Target="https://www.worldometers.info/world-population/estonia-population/" TargetMode="External"/><Relationship Id="rId264" Type="http://schemas.openxmlformats.org/officeDocument/2006/relationships/hyperlink" Target="https://www.worldometers.info/world-population/tunisia-population/" TargetMode="External"/><Relationship Id="rId285" Type="http://schemas.openxmlformats.org/officeDocument/2006/relationships/hyperlink" Target="https://www.worldometers.info/coronavirus/country/angol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tanzani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denmark-population/" TargetMode="External"/><Relationship Id="rId166" Type="http://schemas.openxmlformats.org/officeDocument/2006/relationships/hyperlink" Target="https://www.worldometers.info/coronavirus/country/democratic-republic-of-the-congo/" TargetMode="External"/><Relationship Id="rId187" Type="http://schemas.openxmlformats.org/officeDocument/2006/relationships/hyperlink" Target="https://www.worldometers.info/world-population/croatia-population/" TargetMode="External"/><Relationship Id="rId331" Type="http://schemas.openxmlformats.org/officeDocument/2006/relationships/hyperlink" Target="https://www.worldometers.info/coronavirus/country/mongolia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papua-new-guine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quatorial-guinea/" TargetMode="External"/><Relationship Id="rId233" Type="http://schemas.openxmlformats.org/officeDocument/2006/relationships/hyperlink" Target="https://www.worldometers.info/world-population/south-sudan-population/" TargetMode="External"/><Relationship Id="rId254" Type="http://schemas.openxmlformats.org/officeDocument/2006/relationships/hyperlink" Target="https://www.worldometers.info/coronavirus/country/sierra-leone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san-marino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singapore-population/" TargetMode="External"/><Relationship Id="rId135" Type="http://schemas.openxmlformats.org/officeDocument/2006/relationships/hyperlink" Target="https://www.worldometers.info/world-population/venezuela-population/" TargetMode="External"/><Relationship Id="rId156" Type="http://schemas.openxmlformats.org/officeDocument/2006/relationships/hyperlink" Target="https://www.worldometers.info/coronavirus/country/bosnia-and-herzegovina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greece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faeroe-islands-population/" TargetMode="External"/><Relationship Id="rId363" Type="http://schemas.openxmlformats.org/officeDocument/2006/relationships/hyperlink" Target="https://www.worldometers.info/coronavirus/country/turks-and-caicos-island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awi/" TargetMode="External"/><Relationship Id="rId223" Type="http://schemas.openxmlformats.org/officeDocument/2006/relationships/hyperlink" Target="https://www.worldometers.info/world-population/china-hong-kong-sar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suriname/" TargetMode="External"/><Relationship Id="rId286" Type="http://schemas.openxmlformats.org/officeDocument/2006/relationships/hyperlink" Target="https://www.worldometers.info/world-population/angola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ethiopia/" TargetMode="External"/><Relationship Id="rId167" Type="http://schemas.openxmlformats.org/officeDocument/2006/relationships/hyperlink" Target="https://www.worldometers.info/world-population/democratic-republic-of-the-congo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lesotho/" TargetMode="External"/><Relationship Id="rId332" Type="http://schemas.openxmlformats.org/officeDocument/2006/relationships/hyperlink" Target="https://www.worldometers.info/world-population/mongolia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papua-new-guine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dominican-republic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equatorial-guinea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olombia/" TargetMode="External"/><Relationship Id="rId255" Type="http://schemas.openxmlformats.org/officeDocument/2006/relationships/hyperlink" Target="https://www.worldometers.info/world-population/sierra-leone-population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bosnia-and-herzegovina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botswana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guadeloupe/" TargetMode="External"/><Relationship Id="rId364" Type="http://schemas.openxmlformats.org/officeDocument/2006/relationships/hyperlink" Target="https://www.worldometers.info/world-population/turks-and-caicos-islands-population/" TargetMode="External"/><Relationship Id="rId61" Type="http://schemas.openxmlformats.org/officeDocument/2006/relationships/hyperlink" Target="https://www.worldometers.info/coronavirus/country/bolivia/" TargetMode="External"/><Relationship Id="rId82" Type="http://schemas.openxmlformats.org/officeDocument/2006/relationships/hyperlink" Target="https://www.worldometers.info/coronavirus/country/portugal/" TargetMode="External"/><Relationship Id="rId199" Type="http://schemas.openxmlformats.org/officeDocument/2006/relationships/hyperlink" Target="https://www.worldometers.info/world-population/greece-population/" TargetMode="External"/><Relationship Id="rId203" Type="http://schemas.openxmlformats.org/officeDocument/2006/relationships/hyperlink" Target="https://www.worldometers.info/world-population/malaw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libya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world-population/suriname-population/" TargetMode="External"/><Relationship Id="rId287" Type="http://schemas.openxmlformats.org/officeDocument/2006/relationships/hyperlink" Target="https://www.worldometers.info/coronavirus/country/chad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colombia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ethiopia-population/" TargetMode="External"/><Relationship Id="rId168" Type="http://schemas.openxmlformats.org/officeDocument/2006/relationships/hyperlink" Target="https://www.worldometers.info/coronavirus/country/finland/" TargetMode="External"/><Relationship Id="rId312" Type="http://schemas.openxmlformats.org/officeDocument/2006/relationships/hyperlink" Target="https://www.worldometers.info/world-population/lesotho-population/" TargetMode="External"/><Relationship Id="rId333" Type="http://schemas.openxmlformats.org/officeDocument/2006/relationships/hyperlink" Target="https://www.worldometers.info/coronavirus/country/gambia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coronavirus/country/kazakhstan/" TargetMode="External"/><Relationship Id="rId72" Type="http://schemas.openxmlformats.org/officeDocument/2006/relationships/hyperlink" Target="https://www.worldometers.info/world-population/dominican-republic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french-polynesi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ongo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coronavirus/country/rwanda/" TargetMode="External"/><Relationship Id="rId277" Type="http://schemas.openxmlformats.org/officeDocument/2006/relationships/hyperlink" Target="https://www.worldometers.info/coronavirus/country/niger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enegal/" TargetMode="External"/><Relationship Id="rId302" Type="http://schemas.openxmlformats.org/officeDocument/2006/relationships/hyperlink" Target="https://www.worldometers.info/world-population/botswana-population/" TargetMode="External"/><Relationship Id="rId323" Type="http://schemas.openxmlformats.org/officeDocument/2006/relationships/hyperlink" Target="https://www.worldometers.info/coronavirus/country/myanmar/" TargetMode="External"/><Relationship Id="rId344" Type="http://schemas.openxmlformats.org/officeDocument/2006/relationships/hyperlink" Target="https://www.worldometers.info/world-population/guadeloupe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olivia-population/" TargetMode="External"/><Relationship Id="rId83" Type="http://schemas.openxmlformats.org/officeDocument/2006/relationships/hyperlink" Target="https://www.worldometers.info/world-population/portugal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libya-population/" TargetMode="External"/><Relationship Id="rId246" Type="http://schemas.openxmlformats.org/officeDocument/2006/relationships/hyperlink" Target="https://www.worldometers.info/coronavirus/country/guinea-bissau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chad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taiwa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turkey/" TargetMode="External"/><Relationship Id="rId52" Type="http://schemas.openxmlformats.org/officeDocument/2006/relationships/hyperlink" Target="https://www.worldometers.info/world-population/kazakhstan-population/" TargetMode="External"/><Relationship Id="rId73" Type="http://schemas.openxmlformats.org/officeDocument/2006/relationships/hyperlink" Target="https://www.worldometers.info/coronavirus/country/israel/" TargetMode="External"/><Relationship Id="rId94" Type="http://schemas.openxmlformats.org/officeDocument/2006/relationships/hyperlink" Target="https://www.worldometers.info/coronavirus/country/honduras/" TargetMode="External"/><Relationship Id="rId148" Type="http://schemas.openxmlformats.org/officeDocument/2006/relationships/hyperlink" Target="https://www.worldometers.info/coronavirus/country/sudan/" TargetMode="External"/><Relationship Id="rId169" Type="http://schemas.openxmlformats.org/officeDocument/2006/relationships/hyperlink" Target="https://www.worldometers.info/world-population/finland-population/" TargetMode="External"/><Relationship Id="rId334" Type="http://schemas.openxmlformats.org/officeDocument/2006/relationships/hyperlink" Target="https://www.worldometers.info/world-population/gambi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french-polynesi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congo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rwanda-population/" TargetMode="External"/><Relationship Id="rId278" Type="http://schemas.openxmlformats.org/officeDocument/2006/relationships/hyperlink" Target="https://www.worldometers.info/world-population/niger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reunion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romania/" TargetMode="External"/><Relationship Id="rId138" Type="http://schemas.openxmlformats.org/officeDocument/2006/relationships/hyperlink" Target="https://www.worldometers.info/coronavirus/country/costa-rica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entral-african-republic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world-population/guinea-bissau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andorr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coronavirus/country/philippines/" TargetMode="External"/><Relationship Id="rId149" Type="http://schemas.openxmlformats.org/officeDocument/2006/relationships/hyperlink" Target="https://www.worldometers.info/world-population/sudan-population/" TargetMode="External"/><Relationship Id="rId314" Type="http://schemas.openxmlformats.org/officeDocument/2006/relationships/hyperlink" Target="https://www.worldometers.info/world-population/taiwan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honduras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mayotte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yeme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orldometers.info/coronavirus/usa/louisiana/" TargetMode="External"/><Relationship Id="rId117" Type="http://schemas.openxmlformats.org/officeDocument/2006/relationships/hyperlink" Target="https://covid19.healthdata.org/united-states-of-america/vermont" TargetMode="External"/><Relationship Id="rId21" Type="http://schemas.openxmlformats.org/officeDocument/2006/relationships/hyperlink" Target="https://covid19.healthdata.org/united-states-of-america/massachusetts" TargetMode="External"/><Relationship Id="rId42" Type="http://schemas.openxmlformats.org/officeDocument/2006/relationships/hyperlink" Target="https://alpublichealth.maps.arcgis.com/apps/opsdashboard/index.html" TargetMode="External"/><Relationship Id="rId47" Type="http://schemas.openxmlformats.org/officeDocument/2006/relationships/hyperlink" Target="https://covid19.healthdata.org/united-states-of-america/washington" TargetMode="External"/><Relationship Id="rId63" Type="http://schemas.openxmlformats.org/officeDocument/2006/relationships/hyperlink" Target="https://www.worldometers.info/coronavirus/usa/nevada/" TargetMode="External"/><Relationship Id="rId68" Type="http://schemas.openxmlformats.org/officeDocument/2006/relationships/hyperlink" Target="https://coronavirus.utah.gov/case-counts/" TargetMode="External"/><Relationship Id="rId84" Type="http://schemas.openxmlformats.org/officeDocument/2006/relationships/hyperlink" Target="https://covid19.healthdata.org/united-states-of-america/idaho" TargetMode="External"/><Relationship Id="rId89" Type="http://schemas.openxmlformats.org/officeDocument/2006/relationships/hyperlink" Target="https://covid19.healthdata.org/united-states-of-america/delaware" TargetMode="External"/><Relationship Id="rId112" Type="http://schemas.openxmlformats.org/officeDocument/2006/relationships/hyperlink" Target="https://covid19.healthdata.org/united-states-of-america/alaska" TargetMode="External"/><Relationship Id="rId16" Type="http://schemas.openxmlformats.org/officeDocument/2006/relationships/hyperlink" Target="https://www.worldometers.info/coronavirus/usa/arizona/" TargetMode="External"/><Relationship Id="rId107" Type="http://schemas.openxmlformats.org/officeDocument/2006/relationships/hyperlink" Target="https://covid19.healthdata.org/united-states-of-america/montana" TargetMode="External"/><Relationship Id="rId11" Type="http://schemas.openxmlformats.org/officeDocument/2006/relationships/hyperlink" Target="https://www.worldometers.info/coronavirus/usa/illinois/" TargetMode="External"/><Relationship Id="rId32" Type="http://schemas.openxmlformats.org/officeDocument/2006/relationships/hyperlink" Target="https://www.worldometers.info/coronavirus/usa/virginia/" TargetMode="External"/><Relationship Id="rId37" Type="http://schemas.openxmlformats.org/officeDocument/2006/relationships/hyperlink" Target="https://www.worldometers.info/coronavirus/usa/ohio/" TargetMode="External"/><Relationship Id="rId53" Type="http://schemas.openxmlformats.org/officeDocument/2006/relationships/hyperlink" Target="https://covid19.healthdata.org/united-states-of-america/connecticut" TargetMode="External"/><Relationship Id="rId58" Type="http://schemas.openxmlformats.org/officeDocument/2006/relationships/hyperlink" Target="https://covid19.healthdata.org/united-states-of-america/colorado" TargetMode="External"/><Relationship Id="rId74" Type="http://schemas.openxmlformats.org/officeDocument/2006/relationships/hyperlink" Target="https://www.worldometers.info/coronavirus/usa/kansas/" TargetMode="External"/><Relationship Id="rId79" Type="http://schemas.openxmlformats.org/officeDocument/2006/relationships/hyperlink" Target="https://covid19.healthdata.org/united-states-of-america/new-mexico" TargetMode="External"/><Relationship Id="rId102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florida/" TargetMode="External"/><Relationship Id="rId61" Type="http://schemas.openxmlformats.org/officeDocument/2006/relationships/hyperlink" Target="https://www.worldometers.info/coronavirus/usa/iowa/" TargetMode="External"/><Relationship Id="rId82" Type="http://schemas.openxmlformats.org/officeDocument/2006/relationships/hyperlink" Target="https://covid19.healthdata.org/united-states-of-america/rhode-island" TargetMode="External"/><Relationship Id="rId90" Type="http://schemas.openxmlformats.org/officeDocument/2006/relationships/hyperlink" Target="https://www.worldometers.info/coronavirus/usa/district-of-columbia/" TargetMode="External"/><Relationship Id="rId95" Type="http://schemas.openxmlformats.org/officeDocument/2006/relationships/hyperlink" Target="https://covid19.healthdata.org/united-states-of-america/south-dakota" TargetMode="External"/><Relationship Id="rId1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dph.georgia.gov/covid-19-daily-status-report" TargetMode="External"/><Relationship Id="rId22" Type="http://schemas.openxmlformats.org/officeDocument/2006/relationships/hyperlink" Target="https://www.worldometers.info/coronavirus/usa/north-carolina/" TargetMode="External"/><Relationship Id="rId27" Type="http://schemas.openxmlformats.org/officeDocument/2006/relationships/hyperlink" Target="https://covid19.healthdata.org/united-states-of-america/louisiana" TargetMode="External"/><Relationship Id="rId30" Type="http://schemas.openxmlformats.org/officeDocument/2006/relationships/hyperlink" Target="https://www.worldometers.info/coronavirus/usa/michigan/" TargetMode="External"/><Relationship Id="rId35" Type="http://schemas.openxmlformats.org/officeDocument/2006/relationships/hyperlink" Target="https://coronavirus.maryland.gov/" TargetMode="External"/><Relationship Id="rId43" Type="http://schemas.openxmlformats.org/officeDocument/2006/relationships/hyperlink" Target="https://covid19.healthdata.org/united-states-of-america/alabama" TargetMode="External"/><Relationship Id="rId48" Type="http://schemas.openxmlformats.org/officeDocument/2006/relationships/hyperlink" Target="https://www.worldometers.info/coronavirus/usa/mississippi/" TargetMode="External"/><Relationship Id="rId56" Type="http://schemas.openxmlformats.org/officeDocument/2006/relationships/hyperlink" Target="https://www.worldometers.info/coronavirus/usa/colorado/" TargetMode="External"/><Relationship Id="rId64" Type="http://schemas.openxmlformats.org/officeDocument/2006/relationships/hyperlink" Target="https://covid19.healthdata.org/united-states-of-america/nevada" TargetMode="External"/><Relationship Id="rId69" Type="http://schemas.openxmlformats.org/officeDocument/2006/relationships/hyperlink" Target="https://covid19.healthdata.org/united-states-of-america/utah" TargetMode="External"/><Relationship Id="rId77" Type="http://schemas.openxmlformats.org/officeDocument/2006/relationships/hyperlink" Target="https://covid19.healthdata.org/united-states-of-america/nebraska" TargetMode="External"/><Relationship Id="rId100" Type="http://schemas.openxmlformats.org/officeDocument/2006/relationships/hyperlink" Target="https://dhhr.wv.gov/COVID-19/Pages/default.aspx" TargetMode="External"/><Relationship Id="rId105" Type="http://schemas.openxmlformats.org/officeDocument/2006/relationships/hyperlink" Target="https://covid19.healthdata.org/united-states-of-america/maine" TargetMode="External"/><Relationship Id="rId113" Type="http://schemas.openxmlformats.org/officeDocument/2006/relationships/hyperlink" Target="https://www.worldometers.info/coronavirus/usa/hawaii/" TargetMode="External"/><Relationship Id="rId118" Type="http://schemas.openxmlformats.org/officeDocument/2006/relationships/hyperlink" Target="http://dphss.guam.gov/covid-19/" TargetMode="External"/><Relationship Id="rId8" Type="http://schemas.openxmlformats.org/officeDocument/2006/relationships/hyperlink" Target="https://covid19.healthdata.org/united-states-of-america/texas" TargetMode="External"/><Relationship Id="rId51" Type="http://schemas.openxmlformats.org/officeDocument/2006/relationships/hyperlink" Target="https://covid19.healthdata.org/united-states-of-america/minnesota" TargetMode="External"/><Relationship Id="rId72" Type="http://schemas.openxmlformats.org/officeDocument/2006/relationships/hyperlink" Target="https://www.worldometers.info/coronavirus/usa/kentucky/" TargetMode="External"/><Relationship Id="rId80" Type="http://schemas.openxmlformats.org/officeDocument/2006/relationships/hyperlink" Target="https://www.worldometers.info/coronavirus/usa/rhode-island/" TargetMode="External"/><Relationship Id="rId85" Type="http://schemas.openxmlformats.org/officeDocument/2006/relationships/hyperlink" Target="https://www.worldometers.info/coronavirus/usa/oregon/" TargetMode="External"/><Relationship Id="rId93" Type="http://schemas.openxmlformats.org/officeDocument/2006/relationships/hyperlink" Target="https://www.worldometers.info/coronavirus/usa/south-dakota/" TargetMode="External"/><Relationship Id="rId98" Type="http://schemas.openxmlformats.org/officeDocument/2006/relationships/hyperlink" Target="https://covid19.healthdata.org/united-states-of-america/new-hampshire" TargetMode="External"/><Relationship Id="rId121" Type="http://schemas.openxmlformats.org/officeDocument/2006/relationships/table" Target="../tables/table2.xml"/><Relationship Id="rId3" Type="http://schemas.openxmlformats.org/officeDocument/2006/relationships/hyperlink" Target="https://www.worldometers.info/coronavirus/usa/new-york/" TargetMode="External"/><Relationship Id="rId12" Type="http://schemas.openxmlformats.org/officeDocument/2006/relationships/hyperlink" Target="https://covid19.healthdata.org/united-states-of-america/illinois" TargetMode="External"/><Relationship Id="rId17" Type="http://schemas.openxmlformats.org/officeDocument/2006/relationships/hyperlink" Target="https://www.azdhs.gov/preparedness/epidemiology-disease-control/infectious-disease-epidemiology/covid-19/dashboards/index.php" TargetMode="External"/><Relationship Id="rId25" Type="http://schemas.openxmlformats.org/officeDocument/2006/relationships/hyperlink" Target="https://covid19.healthdata.org/united-states-of-america/pennsylvania" TargetMode="External"/><Relationship Id="rId33" Type="http://schemas.openxmlformats.org/officeDocument/2006/relationships/hyperlink" Target="https://covid19.healthdata.org/united-states-of-america/virginia" TargetMode="External"/><Relationship Id="rId38" Type="http://schemas.openxmlformats.org/officeDocument/2006/relationships/hyperlink" Target="https://covid19.healthdata.org/united-states-of-america/ohio" TargetMode="External"/><Relationship Id="rId46" Type="http://schemas.openxmlformats.org/officeDocument/2006/relationships/hyperlink" Target="https://www.worldometers.info/coronavirus/usa/washington/" TargetMode="External"/><Relationship Id="rId59" Type="http://schemas.openxmlformats.org/officeDocument/2006/relationships/hyperlink" Target="https://www.worldometers.info/coronavirus/usa/missouri/" TargetMode="External"/><Relationship Id="rId67" Type="http://schemas.openxmlformats.org/officeDocument/2006/relationships/hyperlink" Target="https://www.worldometers.info/coronavirus/usa/utah/" TargetMode="External"/><Relationship Id="rId103" Type="http://schemas.openxmlformats.org/officeDocument/2006/relationships/hyperlink" Target="https://covid19.healthdata.org/united-states-of-america/north-dakota" TargetMode="External"/><Relationship Id="rId108" Type="http://schemas.openxmlformats.org/officeDocument/2006/relationships/hyperlink" Target="https://www.worldometers.info/coronavirus/usa/wyoming/" TargetMode="External"/><Relationship Id="rId116" Type="http://schemas.openxmlformats.org/officeDocument/2006/relationships/hyperlink" Target="https://www.healthvermont.gov/response/coronavirus-covid-19/current-activity-vermont" TargetMode="External"/><Relationship Id="rId20" Type="http://schemas.openxmlformats.org/officeDocument/2006/relationships/hyperlink" Target="https://www.mass.gov/doc/covid-19-dashboard-july-25-2020/download" TargetMode="External"/><Relationship Id="rId41" Type="http://schemas.openxmlformats.org/officeDocument/2006/relationships/hyperlink" Target="https://www.worldometers.info/coronavirus/usa/alabama/" TargetMode="External"/><Relationship Id="rId54" Type="http://schemas.openxmlformats.org/officeDocument/2006/relationships/hyperlink" Target="https://www.worldometers.info/coronavirus/usa/wisconsin/" TargetMode="External"/><Relationship Id="rId62" Type="http://schemas.openxmlformats.org/officeDocument/2006/relationships/hyperlink" Target="https://covid19.healthdata.org/united-states-of-america/iowa" TargetMode="External"/><Relationship Id="rId70" Type="http://schemas.openxmlformats.org/officeDocument/2006/relationships/hyperlink" Target="https://www.worldometers.info/coronavirus/usa/oklahoma/" TargetMode="External"/><Relationship Id="rId75" Type="http://schemas.openxmlformats.org/officeDocument/2006/relationships/hyperlink" Target="https://covid19.healthdata.org/united-states-of-america/kansas" TargetMode="External"/><Relationship Id="rId83" Type="http://schemas.openxmlformats.org/officeDocument/2006/relationships/hyperlink" Target="https://www.worldometers.info/coronavirus/usa/idaho/" TargetMode="External"/><Relationship Id="rId88" Type="http://schemas.openxmlformats.org/officeDocument/2006/relationships/hyperlink" Target="https://coronavirus.delaware.gov/" TargetMode="External"/><Relationship Id="rId91" Type="http://schemas.openxmlformats.org/officeDocument/2006/relationships/hyperlink" Target="https://coronavirus.dc.gov/page/coronavirus-data" TargetMode="External"/><Relationship Id="rId96" Type="http://schemas.openxmlformats.org/officeDocument/2006/relationships/hyperlink" Target="https://www.worldometers.info/coronavirus/usa/new-hampshire/" TargetMode="External"/><Relationship Id="rId111" Type="http://schemas.openxmlformats.org/officeDocument/2006/relationships/hyperlink" Target="http://dhss.alaska.gov/dph/Epi/id/Pages/COVID-19/monitoring.aspx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covid19.healthdata.org/united-states-of-america/florida" TargetMode="External"/><Relationship Id="rId15" Type="http://schemas.openxmlformats.org/officeDocument/2006/relationships/hyperlink" Target="https://covid19.healthdata.org/united-states-of-america/georgia" TargetMode="External"/><Relationship Id="rId23" Type="http://schemas.openxmlformats.org/officeDocument/2006/relationships/hyperlink" Target="https://covid19.healthdata.org/united-states-of-america/north-carolina" TargetMode="External"/><Relationship Id="rId28" Type="http://schemas.openxmlformats.org/officeDocument/2006/relationships/hyperlink" Target="https://www.worldometers.info/coronavirus/usa/tennessee/" TargetMode="External"/><Relationship Id="rId36" Type="http://schemas.openxmlformats.org/officeDocument/2006/relationships/hyperlink" Target="https://covid19.healthdata.org/united-states-of-america/maryland" TargetMode="External"/><Relationship Id="rId49" Type="http://schemas.openxmlformats.org/officeDocument/2006/relationships/hyperlink" Target="https://covid19.healthdata.org/united-states-of-america/mississippi" TargetMode="External"/><Relationship Id="rId57" Type="http://schemas.openxmlformats.org/officeDocument/2006/relationships/hyperlink" Target="https://covid19.colorado.gov/case-data" TargetMode="External"/><Relationship Id="rId106" Type="http://schemas.openxmlformats.org/officeDocument/2006/relationships/hyperlink" Target="https://www.worldometers.info/coronavirus/usa/montana/" TargetMode="External"/><Relationship Id="rId114" Type="http://schemas.openxmlformats.org/officeDocument/2006/relationships/hyperlink" Target="https://covid19.healthdata.org/united-states-of-america/hawaii" TargetMode="External"/><Relationship Id="rId119" Type="http://schemas.openxmlformats.org/officeDocument/2006/relationships/hyperlink" Target="https://www.covid19usvi.com/" TargetMode="External"/><Relationship Id="rId10" Type="http://schemas.openxmlformats.org/officeDocument/2006/relationships/hyperlink" Target="https://covid19.healthdata.org/united-states-of-america/new-jersey" TargetMode="External"/><Relationship Id="rId31" Type="http://schemas.openxmlformats.org/officeDocument/2006/relationships/hyperlink" Target="https://covid19.healthdata.org/united-states-of-america/michigan" TargetMode="External"/><Relationship Id="rId44" Type="http://schemas.openxmlformats.org/officeDocument/2006/relationships/hyperlink" Target="https://www.worldometers.info/coronavirus/usa/indiana/" TargetMode="External"/><Relationship Id="rId52" Type="http://schemas.openxmlformats.org/officeDocument/2006/relationships/hyperlink" Target="https://www.worldometers.info/coronavirus/usa/connecticut/" TargetMode="External"/><Relationship Id="rId60" Type="http://schemas.openxmlformats.org/officeDocument/2006/relationships/hyperlink" Target="https://covid19.healthdata.org/united-states-of-america/missouri" TargetMode="External"/><Relationship Id="rId65" Type="http://schemas.openxmlformats.org/officeDocument/2006/relationships/hyperlink" Target="https://www.worldometers.info/coronavirus/usa/arkansas/" TargetMode="External"/><Relationship Id="rId73" Type="http://schemas.openxmlformats.org/officeDocument/2006/relationships/hyperlink" Target="https://covid19.healthdata.org/united-states-of-america/kentucky" TargetMode="External"/><Relationship Id="rId78" Type="http://schemas.openxmlformats.org/officeDocument/2006/relationships/hyperlink" Target="https://www.worldometers.info/coronavirus/usa/new-mexico/" TargetMode="External"/><Relationship Id="rId81" Type="http://schemas.openxmlformats.org/officeDocument/2006/relationships/hyperlink" Target="https://docs.google.com/spreadsheets/d/1c2QrNMz8pIbYEKzMJL7Uh2dtThOJa2j1sSMwiDo5Gz4/edit" TargetMode="External"/><Relationship Id="rId86" Type="http://schemas.openxmlformats.org/officeDocument/2006/relationships/hyperlink" Target="https://covid19.healthdata.org/united-states-of-america/oregon" TargetMode="External"/><Relationship Id="rId94" Type="http://schemas.openxmlformats.org/officeDocument/2006/relationships/hyperlink" Target="https://doh.sd.gov/news/Coronavirus.aspx" TargetMode="External"/><Relationship Id="rId99" Type="http://schemas.openxmlformats.org/officeDocument/2006/relationships/hyperlink" Target="https://www.worldometers.info/coronavirus/usa/west-virginia/" TargetMode="External"/><Relationship Id="rId101" Type="http://schemas.openxmlformats.org/officeDocument/2006/relationships/hyperlink" Target="https://covid19.healthdata.org/united-states-of-america/west-virginia" TargetMode="External"/><Relationship Id="rId4" Type="http://schemas.openxmlformats.org/officeDocument/2006/relationships/hyperlink" Target="https://covid19.healthdata.org/united-states-of-america/new-york" TargetMode="External"/><Relationship Id="rId9" Type="http://schemas.openxmlformats.org/officeDocument/2006/relationships/hyperlink" Target="https://www.worldometers.info/coronavirus/usa/new-jersey/" TargetMode="External"/><Relationship Id="rId13" Type="http://schemas.openxmlformats.org/officeDocument/2006/relationships/hyperlink" Target="https://www.worldometers.info/coronavirus/usa/georgia/" TargetMode="External"/><Relationship Id="rId18" Type="http://schemas.openxmlformats.org/officeDocument/2006/relationships/hyperlink" Target="https://covid19.healthdata.org/united-states-of-america/arizona" TargetMode="External"/><Relationship Id="rId39" Type="http://schemas.openxmlformats.org/officeDocument/2006/relationships/hyperlink" Target="https://www.worldometers.info/coronavirus/usa/south-carolina/" TargetMode="External"/><Relationship Id="rId109" Type="http://schemas.openxmlformats.org/officeDocument/2006/relationships/hyperlink" Target="https://covid19.healthdata.org/united-states-of-america/wyoming" TargetMode="External"/><Relationship Id="rId34" Type="http://schemas.openxmlformats.org/officeDocument/2006/relationships/hyperlink" Target="https://www.worldometers.info/coronavirus/usa/maryland/" TargetMode="External"/><Relationship Id="rId50" Type="http://schemas.openxmlformats.org/officeDocument/2006/relationships/hyperlink" Target="https://www.worldometers.info/coronavirus/usa/minnesota/" TargetMode="External"/><Relationship Id="rId55" Type="http://schemas.openxmlformats.org/officeDocument/2006/relationships/hyperlink" Target="https://covid19.healthdata.org/united-states-of-america/wisconsin" TargetMode="External"/><Relationship Id="rId76" Type="http://schemas.openxmlformats.org/officeDocument/2006/relationships/hyperlink" Target="https://www.worldometers.info/coronavirus/usa/nebraska/" TargetMode="External"/><Relationship Id="rId97" Type="http://schemas.openxmlformats.org/officeDocument/2006/relationships/hyperlink" Target="https://www.nh.gov/covid19/" TargetMode="External"/><Relationship Id="rId104" Type="http://schemas.openxmlformats.org/officeDocument/2006/relationships/hyperlink" Target="https://www.worldometers.info/coronavirus/usa/maine/" TargetMode="External"/><Relationship Id="rId120" Type="http://schemas.openxmlformats.org/officeDocument/2006/relationships/hyperlink" Target="https://www.bop.gov/coronavirus/" TargetMode="External"/><Relationship Id="rId7" Type="http://schemas.openxmlformats.org/officeDocument/2006/relationships/hyperlink" Target="https://www.worldometers.info/coronavirus/usa/texas/" TargetMode="External"/><Relationship Id="rId71" Type="http://schemas.openxmlformats.org/officeDocument/2006/relationships/hyperlink" Target="https://covid19.healthdata.org/united-states-of-america/oklahoma" TargetMode="External"/><Relationship Id="rId92" Type="http://schemas.openxmlformats.org/officeDocument/2006/relationships/hyperlink" Target="https://covid19.healthdata.org/united-states-of-america/district-of-columbia" TargetMode="External"/><Relationship Id="rId2" Type="http://schemas.openxmlformats.org/officeDocument/2006/relationships/hyperlink" Target="https://covid19.healthdata.org/united-states-of-america/california" TargetMode="External"/><Relationship Id="rId29" Type="http://schemas.openxmlformats.org/officeDocument/2006/relationships/hyperlink" Target="https://covid19.healthdata.org/united-states-of-america/tennessee" TargetMode="External"/><Relationship Id="rId24" Type="http://schemas.openxmlformats.org/officeDocument/2006/relationships/hyperlink" Target="https://www.worldometers.info/coronavirus/usa/pennsylvania/" TargetMode="External"/><Relationship Id="rId40" Type="http://schemas.openxmlformats.org/officeDocument/2006/relationships/hyperlink" Target="https://covid19.healthdata.org/united-states-of-america/south-carolina" TargetMode="External"/><Relationship Id="rId45" Type="http://schemas.openxmlformats.org/officeDocument/2006/relationships/hyperlink" Target="https://covid19.healthdata.org/united-states-of-america/indiana" TargetMode="External"/><Relationship Id="rId66" Type="http://schemas.openxmlformats.org/officeDocument/2006/relationships/hyperlink" Target="https://covid19.healthdata.org/united-states-of-america/arkansas" TargetMode="External"/><Relationship Id="rId87" Type="http://schemas.openxmlformats.org/officeDocument/2006/relationships/hyperlink" Target="https://www.worldometers.info/coronavirus/usa/delaware/" TargetMode="External"/><Relationship Id="rId110" Type="http://schemas.openxmlformats.org/officeDocument/2006/relationships/hyperlink" Target="https://www.worldometers.info/coronavirus/usa/alaska/" TargetMode="External"/><Relationship Id="rId115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s://www.nhpr.org/post/explore-data-tracking-covid-19-new-hampshire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215"/>
  <sheetViews>
    <sheetView zoomScaleNormal="100" workbookViewId="0">
      <selection activeCell="U10" sqref="U10"/>
    </sheetView>
  </sheetViews>
  <sheetFormatPr defaultColWidth="8.7109375" defaultRowHeight="15" x14ac:dyDescent="0.25"/>
  <cols>
    <col min="1" max="1" width="8.7109375" style="34"/>
    <col min="2" max="2" width="8.42578125" style="1" customWidth="1"/>
    <col min="3" max="3" width="19.5703125" style="1" customWidth="1"/>
    <col min="4" max="4" width="11.42578125" style="1" customWidth="1"/>
    <col min="5" max="5" width="10.42578125" style="1" customWidth="1"/>
    <col min="6" max="6" width="14.5703125" style="1" customWidth="1"/>
    <col min="7" max="7" width="11.42578125" style="1" customWidth="1"/>
    <col min="8" max="8" width="11.7109375" style="1" customWidth="1"/>
    <col min="9" max="9" width="12.85546875" customWidth="1"/>
    <col min="10" max="10" width="10.28515625" customWidth="1"/>
    <col min="11" max="11" width="13.85546875" style="2" customWidth="1"/>
    <col min="12" max="12" width="14.42578125" customWidth="1"/>
    <col min="13" max="13" width="9.28515625" customWidth="1"/>
    <col min="14" max="14" width="13.5703125" customWidth="1"/>
    <col min="15" max="15" width="11.5703125" customWidth="1"/>
    <col min="16" max="16" width="11.28515625" customWidth="1"/>
    <col min="17" max="17" width="13.28515625" customWidth="1"/>
    <col min="18" max="18" width="12" customWidth="1"/>
    <col min="19" max="19" width="12.42578125" bestFit="1" customWidth="1"/>
    <col min="20" max="20" width="12" bestFit="1" customWidth="1"/>
  </cols>
  <sheetData>
    <row r="1" spans="1:1017" s="7" customFormat="1" ht="33" customHeight="1" thickBot="1" x14ac:dyDescent="0.3">
      <c r="A1" s="7" t="s">
        <v>343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12</v>
      </c>
      <c r="J1" s="4" t="s">
        <v>13</v>
      </c>
      <c r="K1" s="4" t="s">
        <v>14</v>
      </c>
      <c r="L1" s="4" t="s">
        <v>15</v>
      </c>
      <c r="M1" s="5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6" t="s">
        <v>21</v>
      </c>
      <c r="S1" s="7" t="s">
        <v>328</v>
      </c>
      <c r="T1" s="7" t="s">
        <v>329</v>
      </c>
      <c r="AMC1"/>
    </row>
    <row r="2" spans="1:1017" s="1" customFormat="1" ht="16.5" thickBot="1" x14ac:dyDescent="0.3">
      <c r="A2" s="1">
        <v>1</v>
      </c>
      <c r="B2" s="51">
        <v>23</v>
      </c>
      <c r="C2" s="42" t="s">
        <v>23</v>
      </c>
      <c r="D2" s="47">
        <v>109305</v>
      </c>
      <c r="E2" s="48">
        <v>165</v>
      </c>
      <c r="F2" s="47">
        <v>106024</v>
      </c>
      <c r="G2" s="47">
        <v>3116</v>
      </c>
      <c r="H2" s="48">
        <v>89</v>
      </c>
      <c r="I2" s="47">
        <v>2807805</v>
      </c>
      <c r="J2" s="8">
        <f>Table1[[#This Row],[Population]]/Table1[[#This Row],[Cases]]</f>
        <v>25.68780019212296</v>
      </c>
      <c r="K2" s="8">
        <f>Table1[[#This Row],[Population]]/Table1[[#This Row],[Deaths]]</f>
        <v>17017</v>
      </c>
      <c r="L2" s="9">
        <f>Table1[[#This Row],[Deaths]]+Table1[[#This Row],[Active]]*Table1[[#This Row],[Death Rate]]</f>
        <v>169.70371895155756</v>
      </c>
      <c r="M2" s="10">
        <f>Table1[[#This Row],[Deaths]]/Table1[[#This Row],[Cases]]</f>
        <v>1.5095375325922876E-3</v>
      </c>
      <c r="N2" s="11">
        <f>Table1[[#This Row],[Cases]]/Table1[[#This Row],[Deaths]]</f>
        <v>662.4545454545455</v>
      </c>
      <c r="O2" s="12">
        <f>Table1[[#This Row],[Cases]]/Table1[[#This Row],[Population]]</f>
        <v>3.8928985453049625E-2</v>
      </c>
      <c r="P2" s="12">
        <f>Table1[[#This Row],[Deaths]]/Table1[[#This Row],[Population]]</f>
        <v>5.8764764647117591E-5</v>
      </c>
      <c r="Q2" s="13">
        <f>1-Table1[[#This Row],[Deaths]]/Table1[[#This Row],[Ex(Deaths)]]</f>
        <v>2.7717241440656015E-2</v>
      </c>
      <c r="R2" s="14">
        <f>Table1[[#This Row],[Active]]/Table1[[#This Row],[Cases]]</f>
        <v>2.8507387585197382E-2</v>
      </c>
      <c r="S2" s="12">
        <f>Table1[[#This Row],[Percent Infected]]*Table1[[#This Row],[% Active]]</f>
        <v>1.1097636766085963E-3</v>
      </c>
      <c r="T2" s="8">
        <f>1/Table1[[#This Row],[Percent Actively Infected]]</f>
        <v>901.09274711168166</v>
      </c>
      <c r="AMC2"/>
    </row>
    <row r="3" spans="1:1017" s="1" customFormat="1" ht="16.5" thickBot="1" x14ac:dyDescent="0.3">
      <c r="A3" s="1">
        <v>2</v>
      </c>
      <c r="B3" s="51">
        <v>87</v>
      </c>
      <c r="C3" s="42" t="s">
        <v>83</v>
      </c>
      <c r="D3" s="47">
        <v>7332</v>
      </c>
      <c r="E3" s="48">
        <v>41</v>
      </c>
      <c r="F3" s="47">
        <v>5767</v>
      </c>
      <c r="G3" s="47">
        <v>1524</v>
      </c>
      <c r="H3" s="48">
        <v>25</v>
      </c>
      <c r="I3" s="42">
        <v>299130</v>
      </c>
      <c r="J3" s="8">
        <f>Table1[[#This Row],[Population]]/Table1[[#This Row],[Cases]]</f>
        <v>40.797872340425535</v>
      </c>
      <c r="K3" s="8">
        <f>Table1[[#This Row],[Population]]/Table1[[#This Row],[Deaths]]</f>
        <v>7295.8536585365855</v>
      </c>
      <c r="L3" s="9">
        <f>Table1[[#This Row],[Deaths]]+Table1[[#This Row],[Active]]*Table1[[#This Row],[Death Rate]]</f>
        <v>49.522094926350249</v>
      </c>
      <c r="M3" s="10">
        <f>Table1[[#This Row],[Deaths]]/Table1[[#This Row],[Cases]]</f>
        <v>5.5919258046917622E-3</v>
      </c>
      <c r="N3" s="11">
        <f>Table1[[#This Row],[Cases]]/Table1[[#This Row],[Deaths]]</f>
        <v>178.82926829268294</v>
      </c>
      <c r="O3" s="12">
        <f>Table1[[#This Row],[Cases]]/Table1[[#This Row],[Population]]</f>
        <v>2.4511082138200781E-2</v>
      </c>
      <c r="P3" s="12">
        <f>Table1[[#This Row],[Deaths]]/Table1[[#This Row],[Population]]</f>
        <v>1.3706415270952428E-4</v>
      </c>
      <c r="Q3" s="13">
        <f>1-Table1[[#This Row],[Deaths]]/Table1[[#This Row],[Ex(Deaths)]]</f>
        <v>0.17208672086720878</v>
      </c>
      <c r="R3" s="14">
        <f>Table1[[#This Row],[Active]]/Table1[[#This Row],[Cases]]</f>
        <v>0.20785597381342061</v>
      </c>
      <c r="S3" s="12">
        <f>Table1[[#This Row],[Percent Infected]]*Table1[[#This Row],[% Active]]</f>
        <v>5.094774847056463E-3</v>
      </c>
      <c r="T3" s="8">
        <f>1/Table1[[#This Row],[Percent Actively Infected]]</f>
        <v>196.27952755905514</v>
      </c>
      <c r="AMC3"/>
    </row>
    <row r="4" spans="1:1017" s="1" customFormat="1" ht="16.5" thickBot="1" x14ac:dyDescent="0.3">
      <c r="A4" s="1">
        <v>3</v>
      </c>
      <c r="B4" s="51">
        <v>48</v>
      </c>
      <c r="C4" s="42" t="s">
        <v>30</v>
      </c>
      <c r="D4" s="47">
        <v>38747</v>
      </c>
      <c r="E4" s="48">
        <v>140</v>
      </c>
      <c r="F4" s="47">
        <v>35205</v>
      </c>
      <c r="G4" s="47">
        <v>3402</v>
      </c>
      <c r="H4" s="48">
        <v>51</v>
      </c>
      <c r="I4" s="42">
        <v>1704719</v>
      </c>
      <c r="J4" s="8">
        <f>Table1[[#This Row],[Population]]/Table1[[#This Row],[Cases]]</f>
        <v>43.99615454099672</v>
      </c>
      <c r="K4" s="8">
        <f>Table1[[#This Row],[Population]]/Table1[[#This Row],[Deaths]]</f>
        <v>12176.564285714287</v>
      </c>
      <c r="L4" s="9">
        <f>Table1[[#This Row],[Deaths]]+Table1[[#This Row],[Active]]*Table1[[#This Row],[Death Rate]]</f>
        <v>152.29204841665162</v>
      </c>
      <c r="M4" s="10">
        <f>Table1[[#This Row],[Deaths]]/Table1[[#This Row],[Cases]]</f>
        <v>3.6131829560998273E-3</v>
      </c>
      <c r="N4" s="11">
        <f>Table1[[#This Row],[Cases]]/Table1[[#This Row],[Deaths]]</f>
        <v>276.76428571428573</v>
      </c>
      <c r="O4" s="12">
        <f>Table1[[#This Row],[Cases]]/Table1[[#This Row],[Population]]</f>
        <v>2.2729259191690832E-2</v>
      </c>
      <c r="P4" s="12">
        <f>Table1[[#This Row],[Deaths]]/Table1[[#This Row],[Population]]</f>
        <v>8.2124971916192643E-5</v>
      </c>
      <c r="Q4" s="13">
        <f>1-Table1[[#This Row],[Deaths]]/Table1[[#This Row],[Ex(Deaths)]]</f>
        <v>8.0713658687038947E-2</v>
      </c>
      <c r="R4" s="14">
        <f>Table1[[#This Row],[Active]]/Table1[[#This Row],[Cases]]</f>
        <v>8.7800345833225796E-2</v>
      </c>
      <c r="S4" s="12">
        <f>Table1[[#This Row],[Percent Infected]]*Table1[[#This Row],[% Active]]</f>
        <v>1.9956368175634812E-3</v>
      </c>
      <c r="T4" s="8">
        <f>1/Table1[[#This Row],[Percent Actively Infected]]</f>
        <v>501.09318048206939</v>
      </c>
      <c r="AMC4"/>
    </row>
    <row r="5" spans="1:1017" s="1" customFormat="1" ht="16.5" thickBot="1" x14ac:dyDescent="0.3">
      <c r="A5" s="1">
        <v>4</v>
      </c>
      <c r="B5" s="52">
        <v>153</v>
      </c>
      <c r="C5" s="42" t="s">
        <v>22</v>
      </c>
      <c r="D5" s="49">
        <v>699</v>
      </c>
      <c r="E5" s="49">
        <v>42</v>
      </c>
      <c r="F5" s="49">
        <v>657</v>
      </c>
      <c r="G5" s="49">
        <v>0</v>
      </c>
      <c r="H5" s="49"/>
      <c r="I5" s="42">
        <v>33936</v>
      </c>
      <c r="J5" s="8">
        <f>Table1[[#This Row],[Population]]/Table1[[#This Row],[Cases]]</f>
        <v>48.549356223175963</v>
      </c>
      <c r="K5" s="8">
        <f>Table1[[#This Row],[Population]]/Table1[[#This Row],[Deaths]]</f>
        <v>808</v>
      </c>
      <c r="L5" s="9">
        <f>Table1[[#This Row],[Deaths]]+Table1[[#This Row],[Active]]*Table1[[#This Row],[Death Rate]]</f>
        <v>42</v>
      </c>
      <c r="M5" s="10">
        <f>Table1[[#This Row],[Deaths]]/Table1[[#This Row],[Cases]]</f>
        <v>6.0085836909871244E-2</v>
      </c>
      <c r="N5" s="11">
        <f>Table1[[#This Row],[Cases]]/Table1[[#This Row],[Deaths]]</f>
        <v>16.642857142857142</v>
      </c>
      <c r="O5" s="12">
        <f>Table1[[#This Row],[Cases]]/Table1[[#This Row],[Population]]</f>
        <v>2.0597595473833098E-2</v>
      </c>
      <c r="P5" s="12">
        <f>Table1[[#This Row],[Deaths]]/Table1[[#This Row],[Population]]</f>
        <v>1.2376237623762376E-3</v>
      </c>
      <c r="Q5" s="13">
        <f>1-Table1[[#This Row],[Deaths]]/Table1[[#This Row],[Ex(Deaths)]]</f>
        <v>0</v>
      </c>
      <c r="R5" s="14">
        <f>Table1[[#This Row],[Active]]/Table1[[#This Row],[Cases]]</f>
        <v>0</v>
      </c>
      <c r="S5" s="12">
        <f>Table1[[#This Row],[Percent Infected]]*Table1[[#This Row],[% Active]]</f>
        <v>0</v>
      </c>
      <c r="T5" s="8" t="e">
        <f>1/Table1[[#This Row],[Percent Actively Infected]]</f>
        <v>#DIV/0!</v>
      </c>
      <c r="AMC5"/>
    </row>
    <row r="6" spans="1:1017" s="1" customFormat="1" ht="16.5" thickBot="1" x14ac:dyDescent="0.3">
      <c r="A6" s="1">
        <v>5</v>
      </c>
      <c r="B6" s="51">
        <v>8</v>
      </c>
      <c r="C6" s="42" t="s">
        <v>45</v>
      </c>
      <c r="D6" s="47">
        <v>343592</v>
      </c>
      <c r="E6" s="47">
        <v>9020</v>
      </c>
      <c r="F6" s="47">
        <v>316169</v>
      </c>
      <c r="G6" s="47">
        <v>18403</v>
      </c>
      <c r="H6" s="47">
        <v>1636</v>
      </c>
      <c r="I6" s="42">
        <v>19127140</v>
      </c>
      <c r="J6" s="8">
        <f>Table1[[#This Row],[Population]]/Table1[[#This Row],[Cases]]</f>
        <v>55.668176208992058</v>
      </c>
      <c r="K6" s="8">
        <f>Table1[[#This Row],[Population]]/Table1[[#This Row],[Deaths]]</f>
        <v>2120.5254988913525</v>
      </c>
      <c r="L6" s="9">
        <f>Table1[[#This Row],[Deaths]]+Table1[[#This Row],[Active]]*Table1[[#This Row],[Death Rate]]</f>
        <v>9503.1167780390697</v>
      </c>
      <c r="M6" s="10">
        <f>Table1[[#This Row],[Deaths]]/Table1[[#This Row],[Cases]]</f>
        <v>2.6252066404340031E-2</v>
      </c>
      <c r="N6" s="11">
        <f>Table1[[#This Row],[Cases]]/Table1[[#This Row],[Deaths]]</f>
        <v>38.092239467849225</v>
      </c>
      <c r="O6" s="12">
        <f>Table1[[#This Row],[Cases]]/Table1[[#This Row],[Population]]</f>
        <v>1.796358472829707E-2</v>
      </c>
      <c r="P6" s="12">
        <f>Table1[[#This Row],[Deaths]]/Table1[[#This Row],[Population]]</f>
        <v>4.7158121914724316E-4</v>
      </c>
      <c r="Q6" s="13">
        <f>1-Table1[[#This Row],[Deaths]]/Table1[[#This Row],[Ex(Deaths)]]</f>
        <v>5.0837718753021455E-2</v>
      </c>
      <c r="R6" s="14">
        <f>Table1[[#This Row],[Active]]/Table1[[#This Row],[Cases]]</f>
        <v>5.356061840787911E-2</v>
      </c>
      <c r="S6" s="12">
        <f>Table1[[#This Row],[Percent Infected]]*Table1[[#This Row],[% Active]]</f>
        <v>9.6214070686992414E-4</v>
      </c>
      <c r="T6" s="8">
        <f>1/Table1[[#This Row],[Percent Actively Infected]]</f>
        <v>1039.3490191816552</v>
      </c>
      <c r="AMC6"/>
    </row>
    <row r="7" spans="1:1017" s="1" customFormat="1" ht="16.5" thickBot="1" x14ac:dyDescent="0.3">
      <c r="A7" s="1">
        <v>6</v>
      </c>
      <c r="B7" s="53">
        <v>208</v>
      </c>
      <c r="C7" s="42" t="s">
        <v>24</v>
      </c>
      <c r="D7" s="50">
        <v>12</v>
      </c>
      <c r="E7" s="50"/>
      <c r="F7" s="50">
        <v>12</v>
      </c>
      <c r="G7" s="50">
        <v>0</v>
      </c>
      <c r="H7" s="50"/>
      <c r="I7" s="42">
        <v>801</v>
      </c>
      <c r="J7" s="8">
        <f>Table1[[#This Row],[Population]]/Table1[[#This Row],[Cases]]</f>
        <v>66.75</v>
      </c>
      <c r="K7" s="8" t="e">
        <f>Table1[[#This Row],[Population]]/Table1[[#This Row],[Deaths]]</f>
        <v>#DIV/0!</v>
      </c>
      <c r="L7" s="9">
        <f>Table1[[#This Row],[Deaths]]+Table1[[#This Row],[Active]]*Table1[[#This Row],[Death Rate]]</f>
        <v>0</v>
      </c>
      <c r="M7" s="10">
        <f>Table1[[#This Row],[Deaths]]/Table1[[#This Row],[Cases]]</f>
        <v>0</v>
      </c>
      <c r="N7" s="11" t="e">
        <f>Table1[[#This Row],[Cases]]/Table1[[#This Row],[Deaths]]</f>
        <v>#DIV/0!</v>
      </c>
      <c r="O7" s="12">
        <f>Table1[[#This Row],[Cases]]/Table1[[#This Row],[Population]]</f>
        <v>1.4981273408239701E-2</v>
      </c>
      <c r="P7" s="12">
        <f>Table1[[#This Row],[Deaths]]/Table1[[#This Row],[Population]]</f>
        <v>0</v>
      </c>
      <c r="Q7" s="13" t="e">
        <f>1-Table1[[#This Row],[Deaths]]/Table1[[#This Row],[Ex(Deaths)]]</f>
        <v>#DIV/0!</v>
      </c>
      <c r="R7" s="14">
        <f>Table1[[#This Row],[Active]]/Table1[[#This Row],[Cases]]</f>
        <v>0</v>
      </c>
      <c r="S7" s="12">
        <f>Table1[[#This Row],[Percent Infected]]*Table1[[#This Row],[% Active]]</f>
        <v>0</v>
      </c>
      <c r="T7" s="8" t="e">
        <f>1/Table1[[#This Row],[Percent Actively Infected]]</f>
        <v>#DIV/0!</v>
      </c>
      <c r="AMC7"/>
    </row>
    <row r="8" spans="1:1017" s="1" customFormat="1" ht="16.5" thickBot="1" x14ac:dyDescent="0.3">
      <c r="A8" s="1">
        <v>7</v>
      </c>
      <c r="B8" s="51">
        <v>36</v>
      </c>
      <c r="C8" s="42" t="s">
        <v>32</v>
      </c>
      <c r="D8" s="47">
        <v>63773</v>
      </c>
      <c r="E8" s="48">
        <v>433</v>
      </c>
      <c r="F8" s="47">
        <v>54373</v>
      </c>
      <c r="G8" s="47">
        <v>8967</v>
      </c>
      <c r="H8" s="48">
        <v>123</v>
      </c>
      <c r="I8" s="42">
        <v>4274587</v>
      </c>
      <c r="J8" s="8">
        <f>Table1[[#This Row],[Population]]/Table1[[#This Row],[Cases]]</f>
        <v>67.028162388471614</v>
      </c>
      <c r="K8" s="8">
        <f>Table1[[#This Row],[Population]]/Table1[[#This Row],[Deaths]]</f>
        <v>9872.0254041570442</v>
      </c>
      <c r="L8" s="9">
        <f>Table1[[#This Row],[Deaths]]+Table1[[#This Row],[Active]]*Table1[[#This Row],[Death Rate]]</f>
        <v>493.88330484687879</v>
      </c>
      <c r="M8" s="10">
        <f>Table1[[#This Row],[Deaths]]/Table1[[#This Row],[Cases]]</f>
        <v>6.7897072428770794E-3</v>
      </c>
      <c r="N8" s="11">
        <f>Table1[[#This Row],[Cases]]/Table1[[#This Row],[Deaths]]</f>
        <v>147.28175519630486</v>
      </c>
      <c r="O8" s="12">
        <f>Table1[[#This Row],[Cases]]/Table1[[#This Row],[Population]]</f>
        <v>1.491910212612353E-2</v>
      </c>
      <c r="P8" s="12">
        <f>Table1[[#This Row],[Deaths]]/Table1[[#This Row],[Population]]</f>
        <v>1.0129633576296377E-4</v>
      </c>
      <c r="Q8" s="13">
        <f>1-Table1[[#This Row],[Deaths]]/Table1[[#This Row],[Ex(Deaths)]]</f>
        <v>0.12327467693153704</v>
      </c>
      <c r="R8" s="14">
        <f>Table1[[#This Row],[Active]]/Table1[[#This Row],[Cases]]</f>
        <v>0.14060809433459301</v>
      </c>
      <c r="S8" s="12">
        <f>Table1[[#This Row],[Percent Infected]]*Table1[[#This Row],[% Active]]</f>
        <v>2.0977465191374042E-3</v>
      </c>
      <c r="T8" s="8">
        <f>1/Table1[[#This Row],[Percent Actively Infected]]</f>
        <v>476.70201851232298</v>
      </c>
      <c r="AMC8"/>
    </row>
    <row r="9" spans="1:1017" s="1" customFormat="1" ht="16.5" thickBot="1" x14ac:dyDescent="0.3">
      <c r="A9" s="1">
        <v>8</v>
      </c>
      <c r="B9" s="51">
        <v>31</v>
      </c>
      <c r="C9" s="42" t="s">
        <v>76</v>
      </c>
      <c r="D9" s="47">
        <v>76005</v>
      </c>
      <c r="E9" s="48">
        <v>384</v>
      </c>
      <c r="F9" s="47">
        <v>55299</v>
      </c>
      <c r="G9" s="47">
        <v>20322</v>
      </c>
      <c r="H9" s="48">
        <v>167</v>
      </c>
      <c r="I9" s="42">
        <v>5114175</v>
      </c>
      <c r="J9" s="8">
        <f>Table1[[#This Row],[Population]]/Table1[[#This Row],[Cases]]</f>
        <v>67.287349516479182</v>
      </c>
      <c r="K9" s="8">
        <f>Table1[[#This Row],[Population]]/Table1[[#This Row],[Deaths]]</f>
        <v>13318.1640625</v>
      </c>
      <c r="L9" s="9">
        <f>Table1[[#This Row],[Deaths]]+Table1[[#This Row],[Active]]*Table1[[#This Row],[Death Rate]]</f>
        <v>486.67282415630552</v>
      </c>
      <c r="M9" s="10">
        <f>Table1[[#This Row],[Deaths]]/Table1[[#This Row],[Cases]]</f>
        <v>5.0522991908427076E-3</v>
      </c>
      <c r="N9" s="11">
        <f>Table1[[#This Row],[Cases]]/Table1[[#This Row],[Deaths]]</f>
        <v>197.9296875</v>
      </c>
      <c r="O9" s="12">
        <f>Table1[[#This Row],[Cases]]/Table1[[#This Row],[Population]]</f>
        <v>1.4861634574491488E-2</v>
      </c>
      <c r="P9" s="12">
        <f>Table1[[#This Row],[Deaths]]/Table1[[#This Row],[Population]]</f>
        <v>7.5085424335303349E-5</v>
      </c>
      <c r="Q9" s="13">
        <f>1-Table1[[#This Row],[Deaths]]/Table1[[#This Row],[Ex(Deaths)]]</f>
        <v>0.2109688872278801</v>
      </c>
      <c r="R9" s="14">
        <f>Table1[[#This Row],[Active]]/Table1[[#This Row],[Cases]]</f>
        <v>0.26737714624037895</v>
      </c>
      <c r="S9" s="12">
        <f>Table1[[#This Row],[Percent Infected]]*Table1[[#This Row],[% Active]]</f>
        <v>3.9736614409948828E-3</v>
      </c>
      <c r="T9" s="8">
        <f>1/Table1[[#This Row],[Percent Actively Infected]]</f>
        <v>251.65707115441387</v>
      </c>
      <c r="AMC9"/>
    </row>
    <row r="10" spans="1:1017" s="1" customFormat="1" ht="16.5" thickBot="1" x14ac:dyDescent="0.3">
      <c r="A10" s="1">
        <v>9</v>
      </c>
      <c r="B10" s="51">
        <v>40</v>
      </c>
      <c r="C10" s="42" t="s">
        <v>54</v>
      </c>
      <c r="D10" s="47">
        <v>58864</v>
      </c>
      <c r="E10" s="47">
        <v>1275</v>
      </c>
      <c r="F10" s="47">
        <v>33428</v>
      </c>
      <c r="G10" s="47">
        <v>24161</v>
      </c>
      <c r="H10" s="48">
        <v>158</v>
      </c>
      <c r="I10" s="42">
        <v>4319053</v>
      </c>
      <c r="J10" s="8">
        <f>Table1[[#This Row],[Population]]/Table1[[#This Row],[Cases]]</f>
        <v>73.373420086980161</v>
      </c>
      <c r="K10" s="8">
        <f>Table1[[#This Row],[Population]]/Table1[[#This Row],[Deaths]]</f>
        <v>3387.4925490196078</v>
      </c>
      <c r="L10" s="9">
        <f>Table1[[#This Row],[Deaths]]+Table1[[#This Row],[Active]]*Table1[[#This Row],[Death Rate]]</f>
        <v>1798.3296242185377</v>
      </c>
      <c r="M10" s="10">
        <f>Table1[[#This Row],[Deaths]]/Table1[[#This Row],[Cases]]</f>
        <v>2.1660097852677359E-2</v>
      </c>
      <c r="N10" s="11">
        <f>Table1[[#This Row],[Cases]]/Table1[[#This Row],[Deaths]]</f>
        <v>46.167843137254899</v>
      </c>
      <c r="O10" s="12">
        <f>Table1[[#This Row],[Cases]]/Table1[[#This Row],[Population]]</f>
        <v>1.3628913560449478E-2</v>
      </c>
      <c r="P10" s="12">
        <f>Table1[[#This Row],[Deaths]]/Table1[[#This Row],[Population]]</f>
        <v>2.9520360134501709E-4</v>
      </c>
      <c r="Q10" s="13">
        <f>1-Table1[[#This Row],[Deaths]]/Table1[[#This Row],[Ex(Deaths)]]</f>
        <v>0.29100873230954538</v>
      </c>
      <c r="R10" s="14">
        <f>Table1[[#This Row],[Active]]/Table1[[#This Row],[Cases]]</f>
        <v>0.41045460723022559</v>
      </c>
      <c r="S10" s="12">
        <f>Table1[[#This Row],[Percent Infected]]*Table1[[#This Row],[% Active]]</f>
        <v>5.5940503624289858E-3</v>
      </c>
      <c r="T10" s="8">
        <f>1/Table1[[#This Row],[Percent Actively Infected]]</f>
        <v>178.7613509374612</v>
      </c>
      <c r="AMC10"/>
    </row>
    <row r="11" spans="1:1017" s="1" customFormat="1" ht="16.5" thickBot="1" x14ac:dyDescent="0.3">
      <c r="A11" s="1">
        <v>10</v>
      </c>
      <c r="B11" s="51">
        <v>1</v>
      </c>
      <c r="C11" s="42" t="s">
        <v>33</v>
      </c>
      <c r="D11" s="47">
        <v>4332050</v>
      </c>
      <c r="E11" s="47">
        <v>149541</v>
      </c>
      <c r="F11" s="47">
        <v>2061879</v>
      </c>
      <c r="G11" s="47">
        <v>2120630</v>
      </c>
      <c r="H11" s="47">
        <v>18984</v>
      </c>
      <c r="I11" s="42">
        <v>331134610</v>
      </c>
      <c r="J11" s="8">
        <f>Table1[[#This Row],[Population]]/Table1[[#This Row],[Cases]]</f>
        <v>76.438316732263019</v>
      </c>
      <c r="K11" s="8">
        <f>Table1[[#This Row],[Population]]/Table1[[#This Row],[Deaths]]</f>
        <v>2214.3399469041933</v>
      </c>
      <c r="L11" s="9">
        <f>Table1[[#This Row],[Deaths]]+Table1[[#This Row],[Active]]*Table1[[#This Row],[Death Rate]]</f>
        <v>222744.47891413997</v>
      </c>
      <c r="M11" s="10">
        <f>Table1[[#This Row],[Deaths]]/Table1[[#This Row],[Cases]]</f>
        <v>3.4519684675846311E-2</v>
      </c>
      <c r="N11" s="11">
        <f>Table1[[#This Row],[Cases]]/Table1[[#This Row],[Deaths]]</f>
        <v>28.968978407259549</v>
      </c>
      <c r="O11" s="12">
        <f>Table1[[#This Row],[Cases]]/Table1[[#This Row],[Population]]</f>
        <v>1.3082444024803085E-2</v>
      </c>
      <c r="P11" s="12">
        <f>Table1[[#This Row],[Deaths]]/Table1[[#This Row],[Population]]</f>
        <v>4.5160184252561214E-4</v>
      </c>
      <c r="Q11" s="16">
        <f>1-Table1[[#This Row],[Deaths]]/Table1[[#This Row],[Ex(Deaths)]]</f>
        <v>0.32864329239943713</v>
      </c>
      <c r="R11" s="14">
        <f>Table1[[#This Row],[Active]]/Table1[[#This Row],[Cases]]</f>
        <v>0.48952112741081011</v>
      </c>
      <c r="S11" s="12">
        <f>Table1[[#This Row],[Percent Infected]]*Table1[[#This Row],[% Active]]</f>
        <v>6.4041327483104222E-3</v>
      </c>
      <c r="T11" s="8">
        <f>1/Table1[[#This Row],[Percent Actively Infected]]</f>
        <v>156.14916793594358</v>
      </c>
      <c r="AMC11"/>
    </row>
    <row r="12" spans="1:1017" s="1" customFormat="1" ht="16.5" thickBot="1" x14ac:dyDescent="0.3">
      <c r="A12" s="1">
        <v>11</v>
      </c>
      <c r="B12" s="51">
        <v>50</v>
      </c>
      <c r="C12" s="42" t="s">
        <v>57</v>
      </c>
      <c r="D12" s="47">
        <v>37317</v>
      </c>
      <c r="E12" s="48">
        <v>705</v>
      </c>
      <c r="F12" s="47">
        <v>26478</v>
      </c>
      <c r="G12" s="47">
        <v>10134</v>
      </c>
      <c r="H12" s="48">
        <v>10</v>
      </c>
      <c r="I12" s="42">
        <v>2963630</v>
      </c>
      <c r="J12" s="8">
        <f>Table1[[#This Row],[Population]]/Table1[[#This Row],[Cases]]</f>
        <v>79.417691668676468</v>
      </c>
      <c r="K12" s="8">
        <f>Table1[[#This Row],[Population]]/Table1[[#This Row],[Deaths]]</f>
        <v>4203.7304964539007</v>
      </c>
      <c r="L12" s="9">
        <f>Table1[[#This Row],[Deaths]]+Table1[[#This Row],[Active]]*Table1[[#This Row],[Death Rate]]</f>
        <v>896.45349304606475</v>
      </c>
      <c r="M12" s="10">
        <f>Table1[[#This Row],[Deaths]]/Table1[[#This Row],[Cases]]</f>
        <v>1.889219390626256E-2</v>
      </c>
      <c r="N12" s="11">
        <f>Table1[[#This Row],[Cases]]/Table1[[#This Row],[Deaths]]</f>
        <v>52.931914893617019</v>
      </c>
      <c r="O12" s="12">
        <f>Table1[[#This Row],[Cases]]/Table1[[#This Row],[Population]]</f>
        <v>1.2591652804162462E-2</v>
      </c>
      <c r="P12" s="12">
        <f>Table1[[#This Row],[Deaths]]/Table1[[#This Row],[Population]]</f>
        <v>2.3788394637657198E-4</v>
      </c>
      <c r="Q12" s="13">
        <f>1-Table1[[#This Row],[Deaths]]/Table1[[#This Row],[Ex(Deaths)]]</f>
        <v>0.2135676803439337</v>
      </c>
      <c r="R12" s="14">
        <f>Table1[[#This Row],[Active]]/Table1[[#This Row],[Cases]]</f>
        <v>0.2715652383632125</v>
      </c>
      <c r="S12" s="12">
        <f>Table1[[#This Row],[Percent Infected]]*Table1[[#This Row],[% Active]]</f>
        <v>3.419455195149192E-3</v>
      </c>
      <c r="T12" s="8">
        <f>1/Table1[[#This Row],[Percent Actively Infected]]</f>
        <v>292.44424708900732</v>
      </c>
      <c r="AMC12"/>
    </row>
    <row r="13" spans="1:1017" s="1" customFormat="1" ht="16.5" thickBot="1" x14ac:dyDescent="0.3">
      <c r="A13" s="1">
        <v>12</v>
      </c>
      <c r="B13" s="51">
        <v>147</v>
      </c>
      <c r="C13" s="42" t="s">
        <v>25</v>
      </c>
      <c r="D13" s="48">
        <v>897</v>
      </c>
      <c r="E13" s="48">
        <v>52</v>
      </c>
      <c r="F13" s="48">
        <v>803</v>
      </c>
      <c r="G13" s="48">
        <v>42</v>
      </c>
      <c r="H13" s="48"/>
      <c r="I13" s="42">
        <v>77274</v>
      </c>
      <c r="J13" s="8">
        <f>Table1[[#This Row],[Population]]/Table1[[#This Row],[Cases]]</f>
        <v>86.147157190635454</v>
      </c>
      <c r="K13" s="8">
        <f>Table1[[#This Row],[Population]]/Table1[[#This Row],[Deaths]]</f>
        <v>1486.0384615384614</v>
      </c>
      <c r="L13" s="9">
        <f>Table1[[#This Row],[Deaths]]+Table1[[#This Row],[Active]]*Table1[[#This Row],[Death Rate]]</f>
        <v>54.434782608695656</v>
      </c>
      <c r="M13" s="10">
        <f>Table1[[#This Row],[Deaths]]/Table1[[#This Row],[Cases]]</f>
        <v>5.7971014492753624E-2</v>
      </c>
      <c r="N13" s="11">
        <f>Table1[[#This Row],[Cases]]/Table1[[#This Row],[Deaths]]</f>
        <v>17.25</v>
      </c>
      <c r="O13" s="12">
        <f>Table1[[#This Row],[Cases]]/Table1[[#This Row],[Population]]</f>
        <v>1.1608044102803012E-2</v>
      </c>
      <c r="P13" s="12">
        <f>Table1[[#This Row],[Deaths]]/Table1[[#This Row],[Population]]</f>
        <v>6.7293009291611672E-4</v>
      </c>
      <c r="Q13" s="13">
        <f>1-Table1[[#This Row],[Deaths]]/Table1[[#This Row],[Ex(Deaths)]]</f>
        <v>4.4728434504792358E-2</v>
      </c>
      <c r="R13" s="14">
        <f>Table1[[#This Row],[Active]]/Table1[[#This Row],[Cases]]</f>
        <v>4.6822742474916385E-2</v>
      </c>
      <c r="S13" s="12">
        <f>Table1[[#This Row],[Percent Infected]]*Table1[[#This Row],[% Active]]</f>
        <v>5.435204596630172E-4</v>
      </c>
      <c r="T13" s="8">
        <f>1/Table1[[#This Row],[Percent Actively Infected]]</f>
        <v>1839.8571428571433</v>
      </c>
      <c r="AMC13"/>
    </row>
    <row r="14" spans="1:1017" s="1" customFormat="1" ht="16.5" thickBot="1" x14ac:dyDescent="0.3">
      <c r="A14" s="1">
        <v>13</v>
      </c>
      <c r="B14" s="51">
        <v>7</v>
      </c>
      <c r="C14" s="42" t="s">
        <v>44</v>
      </c>
      <c r="D14" s="47">
        <v>379884</v>
      </c>
      <c r="E14" s="47">
        <v>18030</v>
      </c>
      <c r="F14" s="47">
        <v>263130</v>
      </c>
      <c r="G14" s="47">
        <v>98724</v>
      </c>
      <c r="H14" s="47">
        <v>1402</v>
      </c>
      <c r="I14" s="42">
        <v>33001256</v>
      </c>
      <c r="J14" s="8">
        <f>Table1[[#This Row],[Population]]/Table1[[#This Row],[Cases]]</f>
        <v>86.871929325794184</v>
      </c>
      <c r="K14" s="8">
        <f>Table1[[#This Row],[Population]]/Table1[[#This Row],[Deaths]]</f>
        <v>1830.3525235718248</v>
      </c>
      <c r="L14" s="9">
        <f>Table1[[#This Row],[Deaths]]+Table1[[#This Row],[Active]]*Table1[[#This Row],[Death Rate]]</f>
        <v>22715.624348485326</v>
      </c>
      <c r="M14" s="10">
        <f>Table1[[#This Row],[Deaths]]/Table1[[#This Row],[Cases]]</f>
        <v>4.7461856777332029E-2</v>
      </c>
      <c r="N14" s="11">
        <f>Table1[[#This Row],[Cases]]/Table1[[#This Row],[Deaths]]</f>
        <v>21.069550748752079</v>
      </c>
      <c r="O14" s="12">
        <f>Table1[[#This Row],[Cases]]/Table1[[#This Row],[Population]]</f>
        <v>1.1511198240454849E-2</v>
      </c>
      <c r="P14" s="12">
        <f>Table1[[#This Row],[Deaths]]/Table1[[#This Row],[Population]]</f>
        <v>5.4634284222394446E-4</v>
      </c>
      <c r="Q14" s="13">
        <f>1-Table1[[#This Row],[Deaths]]/Table1[[#This Row],[Ex(Deaths)]]</f>
        <v>0.20627319225754681</v>
      </c>
      <c r="R14" s="14">
        <f>Table1[[#This Row],[Active]]/Table1[[#This Row],[Cases]]</f>
        <v>0.25987933158543136</v>
      </c>
      <c r="S14" s="12">
        <f>Table1[[#This Row],[Percent Infected]]*Table1[[#This Row],[% Active]]</f>
        <v>2.9915225044767997E-3</v>
      </c>
      <c r="T14" s="8">
        <f>1/Table1[[#This Row],[Percent Actively Infected]]</f>
        <v>334.27794659859808</v>
      </c>
      <c r="AMC14"/>
    </row>
    <row r="15" spans="1:1017" s="1" customFormat="1" ht="16.5" thickBot="1" x14ac:dyDescent="0.3">
      <c r="A15" s="1">
        <v>14</v>
      </c>
      <c r="B15" s="51">
        <v>2</v>
      </c>
      <c r="C15" s="42" t="s">
        <v>73</v>
      </c>
      <c r="D15" s="47">
        <v>2396434</v>
      </c>
      <c r="E15" s="47">
        <v>86496</v>
      </c>
      <c r="F15" s="47">
        <v>1617480</v>
      </c>
      <c r="G15" s="47">
        <v>692458</v>
      </c>
      <c r="H15" s="47">
        <v>8318</v>
      </c>
      <c r="I15" s="42">
        <v>212661228</v>
      </c>
      <c r="J15" s="8">
        <f>Table1[[#This Row],[Population]]/Table1[[#This Row],[Cases]]</f>
        <v>88.740698888431723</v>
      </c>
      <c r="K15" s="8">
        <f>Table1[[#This Row],[Population]]/Table1[[#This Row],[Deaths]]</f>
        <v>2458.625</v>
      </c>
      <c r="L15" s="9">
        <f>Table1[[#This Row],[Deaths]]+Table1[[#This Row],[Active]]*Table1[[#This Row],[Death Rate]]</f>
        <v>111489.32223128199</v>
      </c>
      <c r="M15" s="10">
        <f>Table1[[#This Row],[Deaths]]/Table1[[#This Row],[Cases]]</f>
        <v>3.6093629117263402E-2</v>
      </c>
      <c r="N15" s="11">
        <f>Table1[[#This Row],[Cases]]/Table1[[#This Row],[Deaths]]</f>
        <v>27.705720495745467</v>
      </c>
      <c r="O15" s="12">
        <f>Table1[[#This Row],[Cases]]/Table1[[#This Row],[Population]]</f>
        <v>1.1268786616806333E-2</v>
      </c>
      <c r="P15" s="12">
        <f>Table1[[#This Row],[Deaths]]/Table1[[#This Row],[Population]]</f>
        <v>4.0673140474858916E-4</v>
      </c>
      <c r="Q15" s="13">
        <f>1-Table1[[#This Row],[Deaths]]/Table1[[#This Row],[Ex(Deaths)]]</f>
        <v>0.22417682457010479</v>
      </c>
      <c r="R15" s="14">
        <f>Table1[[#This Row],[Active]]/Table1[[#This Row],[Cases]]</f>
        <v>0.28895350341382237</v>
      </c>
      <c r="S15" s="12">
        <f>Table1[[#This Row],[Percent Infected]]*Table1[[#This Row],[% Active]]</f>
        <v>3.2561553721489845E-3</v>
      </c>
      <c r="T15" s="8">
        <f>1/Table1[[#This Row],[Percent Actively Infected]]</f>
        <v>307.11065219840043</v>
      </c>
      <c r="AMC15"/>
    </row>
    <row r="16" spans="1:1017" s="1" customFormat="1" ht="16.5" thickBot="1" x14ac:dyDescent="0.3">
      <c r="A16" s="1">
        <v>15</v>
      </c>
      <c r="B16" s="51">
        <v>110</v>
      </c>
      <c r="C16" s="42" t="s">
        <v>28</v>
      </c>
      <c r="D16" s="47">
        <v>2862</v>
      </c>
      <c r="E16" s="48">
        <v>38</v>
      </c>
      <c r="F16" s="47">
        <v>2650</v>
      </c>
      <c r="G16" s="48">
        <v>174</v>
      </c>
      <c r="H16" s="48">
        <v>3</v>
      </c>
      <c r="I16" s="42">
        <v>273202</v>
      </c>
      <c r="J16" s="8">
        <f>Table1[[#This Row],[Population]]/Table1[[#This Row],[Cases]]</f>
        <v>95.458420684835772</v>
      </c>
      <c r="K16" s="8">
        <f>Table1[[#This Row],[Population]]/Table1[[#This Row],[Deaths]]</f>
        <v>7189.5263157894733</v>
      </c>
      <c r="L16" s="9">
        <f>Table1[[#This Row],[Deaths]]+Table1[[#This Row],[Active]]*Table1[[#This Row],[Death Rate]]</f>
        <v>40.310272536687634</v>
      </c>
      <c r="M16" s="10">
        <f>Table1[[#This Row],[Deaths]]/Table1[[#This Row],[Cases]]</f>
        <v>1.3277428371767994E-2</v>
      </c>
      <c r="N16" s="11">
        <f>Table1[[#This Row],[Cases]]/Table1[[#This Row],[Deaths]]</f>
        <v>75.315789473684205</v>
      </c>
      <c r="O16" s="12">
        <f>Table1[[#This Row],[Cases]]/Table1[[#This Row],[Population]]</f>
        <v>1.0475765184735104E-2</v>
      </c>
      <c r="P16" s="12">
        <f>Table1[[#This Row],[Deaths]]/Table1[[#This Row],[Population]]</f>
        <v>1.3909122187978127E-4</v>
      </c>
      <c r="Q16" s="13">
        <f>1-Table1[[#This Row],[Deaths]]/Table1[[#This Row],[Ex(Deaths)]]</f>
        <v>5.7312252964426991E-2</v>
      </c>
      <c r="R16" s="14">
        <f>Table1[[#This Row],[Active]]/Table1[[#This Row],[Cases]]</f>
        <v>6.0796645702306078E-2</v>
      </c>
      <c r="S16" s="12">
        <f>Table1[[#This Row],[Percent Infected]]*Table1[[#This Row],[% Active]]</f>
        <v>6.3689138439689311E-4</v>
      </c>
      <c r="T16" s="8">
        <f>1/Table1[[#This Row],[Percent Actively Infected]]</f>
        <v>1570.1264367816093</v>
      </c>
      <c r="AMC16"/>
    </row>
    <row r="17" spans="1:1017" s="1" customFormat="1" ht="16.5" thickBot="1" x14ac:dyDescent="0.3">
      <c r="A17" s="1">
        <v>16</v>
      </c>
      <c r="B17" s="51">
        <v>92</v>
      </c>
      <c r="C17" s="42" t="s">
        <v>26</v>
      </c>
      <c r="D17" s="47">
        <v>6189</v>
      </c>
      <c r="E17" s="48">
        <v>112</v>
      </c>
      <c r="F17" s="47">
        <v>4647</v>
      </c>
      <c r="G17" s="47">
        <v>1430</v>
      </c>
      <c r="H17" s="48">
        <v>3</v>
      </c>
      <c r="I17" s="42">
        <v>626618</v>
      </c>
      <c r="J17" s="8">
        <f>Table1[[#This Row],[Population]]/Table1[[#This Row],[Cases]]</f>
        <v>101.24705121990628</v>
      </c>
      <c r="K17" s="8">
        <f>Table1[[#This Row],[Population]]/Table1[[#This Row],[Deaths]]</f>
        <v>5594.8035714285716</v>
      </c>
      <c r="L17" s="9">
        <f>Table1[[#This Row],[Deaths]]+Table1[[#This Row],[Active]]*Table1[[#This Row],[Death Rate]]</f>
        <v>137.87817094845695</v>
      </c>
      <c r="M17" s="10">
        <f>Table1[[#This Row],[Deaths]]/Table1[[#This Row],[Cases]]</f>
        <v>1.809662304087898E-2</v>
      </c>
      <c r="N17" s="11">
        <f>Table1[[#This Row],[Cases]]/Table1[[#This Row],[Deaths]]</f>
        <v>55.258928571428569</v>
      </c>
      <c r="O17" s="12">
        <f>Table1[[#This Row],[Cases]]/Table1[[#This Row],[Population]]</f>
        <v>9.8768308602689356E-3</v>
      </c>
      <c r="P17" s="12">
        <f>Table1[[#This Row],[Deaths]]/Table1[[#This Row],[Population]]</f>
        <v>1.7873728491680737E-4</v>
      </c>
      <c r="Q17" s="13">
        <f>1-Table1[[#This Row],[Deaths]]/Table1[[#This Row],[Ex(Deaths)]]</f>
        <v>0.18768867305420667</v>
      </c>
      <c r="R17" s="14">
        <f>Table1[[#This Row],[Active]]/Table1[[#This Row],[Cases]]</f>
        <v>0.23105509775407981</v>
      </c>
      <c r="S17" s="12">
        <f>Table1[[#This Row],[Percent Infected]]*Table1[[#This Row],[% Active]]</f>
        <v>2.282092119919951E-3</v>
      </c>
      <c r="T17" s="8">
        <f>1/Table1[[#This Row],[Percent Actively Infected]]</f>
        <v>438.19440559440562</v>
      </c>
      <c r="AMC17"/>
    </row>
    <row r="18" spans="1:1017" s="1" customFormat="1" ht="16.5" thickBot="1" x14ac:dyDescent="0.3">
      <c r="A18" s="1">
        <v>17</v>
      </c>
      <c r="B18" s="51">
        <v>42</v>
      </c>
      <c r="C18" s="42" t="s">
        <v>29</v>
      </c>
      <c r="D18" s="47">
        <v>50369</v>
      </c>
      <c r="E18" s="48">
        <v>27</v>
      </c>
      <c r="F18" s="47">
        <v>45521</v>
      </c>
      <c r="G18" s="47">
        <v>4821</v>
      </c>
      <c r="H18" s="48"/>
      <c r="I18" s="42">
        <v>5853425</v>
      </c>
      <c r="J18" s="8">
        <f>Table1[[#This Row],[Population]]/Table1[[#This Row],[Cases]]</f>
        <v>116.21086382497171</v>
      </c>
      <c r="K18" s="8">
        <f>Table1[[#This Row],[Population]]/Table1[[#This Row],[Deaths]]</f>
        <v>216793.51851851851</v>
      </c>
      <c r="L18" s="9">
        <f>Table1[[#This Row],[Deaths]]+Table1[[#This Row],[Active]]*Table1[[#This Row],[Death Rate]]</f>
        <v>29.584268101411581</v>
      </c>
      <c r="M18" s="10">
        <f>Table1[[#This Row],[Deaths]]/Table1[[#This Row],[Cases]]</f>
        <v>5.3604399531457841E-4</v>
      </c>
      <c r="N18" s="11">
        <f>Table1[[#This Row],[Cases]]/Table1[[#This Row],[Deaths]]</f>
        <v>1865.5185185185185</v>
      </c>
      <c r="O18" s="12">
        <f>Table1[[#This Row],[Cases]]/Table1[[#This Row],[Population]]</f>
        <v>8.6050474722064434E-3</v>
      </c>
      <c r="P18" s="12">
        <f>Table1[[#This Row],[Deaths]]/Table1[[#This Row],[Population]]</f>
        <v>4.6126840268731556E-6</v>
      </c>
      <c r="Q18" s="13">
        <f>1-Table1[[#This Row],[Deaths]]/Table1[[#This Row],[Ex(Deaths)]]</f>
        <v>8.7352781300960247E-2</v>
      </c>
      <c r="R18" s="14">
        <f>Table1[[#This Row],[Active]]/Table1[[#This Row],[Cases]]</f>
        <v>9.5713633385614172E-2</v>
      </c>
      <c r="S18" s="12">
        <f>Table1[[#This Row],[Percent Infected]]*Table1[[#This Row],[% Active]]</f>
        <v>8.2362035902057353E-4</v>
      </c>
      <c r="T18" s="8">
        <f>1/Table1[[#This Row],[Percent Actively Infected]]</f>
        <v>1214.1516282928851</v>
      </c>
      <c r="AMC18"/>
    </row>
    <row r="19" spans="1:1017" s="1" customFormat="1" ht="16.5" thickBot="1" x14ac:dyDescent="0.3">
      <c r="A19" s="1">
        <v>18</v>
      </c>
      <c r="B19" s="51">
        <v>30</v>
      </c>
      <c r="C19" s="42" t="s">
        <v>47</v>
      </c>
      <c r="D19" s="47">
        <v>78997</v>
      </c>
      <c r="E19" s="47">
        <v>5697</v>
      </c>
      <c r="F19" s="48" t="s">
        <v>41</v>
      </c>
      <c r="G19" s="48" t="s">
        <v>41</v>
      </c>
      <c r="H19" s="48">
        <v>50</v>
      </c>
      <c r="I19" s="42">
        <v>10103535</v>
      </c>
      <c r="J19" s="8">
        <f>Table1[[#This Row],[Population]]/Table1[[#This Row],[Cases]]</f>
        <v>127.89770497613833</v>
      </c>
      <c r="K19" s="8">
        <f>Table1[[#This Row],[Population]]/Table1[[#This Row],[Deaths]]</f>
        <v>1773.4834123222749</v>
      </c>
      <c r="L19" s="9" t="e">
        <f>Table1[[#This Row],[Deaths]]+Table1[[#This Row],[Active]]*Table1[[#This Row],[Death Rate]]</f>
        <v>#VALUE!</v>
      </c>
      <c r="M19" s="10">
        <f>Table1[[#This Row],[Deaths]]/Table1[[#This Row],[Cases]]</f>
        <v>7.211666265807562E-2</v>
      </c>
      <c r="N19" s="11">
        <f>Table1[[#This Row],[Cases]]/Table1[[#This Row],[Deaths]]</f>
        <v>13.866420923292962</v>
      </c>
      <c r="O19" s="12">
        <f>Table1[[#This Row],[Cases]]/Table1[[#This Row],[Population]]</f>
        <v>7.8187485865095739E-3</v>
      </c>
      <c r="P19" s="12">
        <f>Table1[[#This Row],[Deaths]]/Table1[[#This Row],[Population]]</f>
        <v>5.638620542216165E-4</v>
      </c>
      <c r="Q19" s="13" t="e">
        <f>1-Table1[[#This Row],[Deaths]]/Table1[[#This Row],[Ex(Deaths)]]</f>
        <v>#VALUE!</v>
      </c>
      <c r="R19" s="14" t="e">
        <f>Table1[[#This Row],[Active]]/Table1[[#This Row],[Cases]]</f>
        <v>#VALUE!</v>
      </c>
      <c r="S19" s="12" t="e">
        <f>Table1[[#This Row],[Percent Infected]]*Table1[[#This Row],[% Active]]</f>
        <v>#VALUE!</v>
      </c>
      <c r="T19" s="8" t="e">
        <f>1/Table1[[#This Row],[Percent Actively Infected]]</f>
        <v>#VALUE!</v>
      </c>
      <c r="AMC19"/>
    </row>
    <row r="20" spans="1:1017" s="1" customFormat="1" ht="16.5" thickBot="1" x14ac:dyDescent="0.3">
      <c r="A20" s="1">
        <v>19</v>
      </c>
      <c r="B20" s="51">
        <v>13</v>
      </c>
      <c r="C20" s="42" t="s">
        <v>64</v>
      </c>
      <c r="D20" s="47">
        <v>266941</v>
      </c>
      <c r="E20" s="47">
        <v>2733</v>
      </c>
      <c r="F20" s="47">
        <v>220323</v>
      </c>
      <c r="G20" s="47">
        <v>43885</v>
      </c>
      <c r="H20" s="47">
        <v>2120</v>
      </c>
      <c r="I20" s="42">
        <v>34848130</v>
      </c>
      <c r="J20" s="8">
        <f>Table1[[#This Row],[Population]]/Table1[[#This Row],[Cases]]</f>
        <v>130.54618810898288</v>
      </c>
      <c r="K20" s="8">
        <f>Table1[[#This Row],[Population]]/Table1[[#This Row],[Deaths]]</f>
        <v>12750.870837907061</v>
      </c>
      <c r="L20" s="9">
        <f>Table1[[#This Row],[Deaths]]+Table1[[#This Row],[Active]]*Table1[[#This Row],[Death Rate]]</f>
        <v>3182.3041720829697</v>
      </c>
      <c r="M20" s="10">
        <f>Table1[[#This Row],[Deaths]]/Table1[[#This Row],[Cases]]</f>
        <v>1.0238217433814962E-2</v>
      </c>
      <c r="N20" s="15">
        <f>Table1[[#This Row],[Cases]]/Table1[[#This Row],[Deaths]]</f>
        <v>97.673252835711679</v>
      </c>
      <c r="O20" s="12">
        <f>Table1[[#This Row],[Cases]]/Table1[[#This Row],[Population]]</f>
        <v>7.6601240870026602E-3</v>
      </c>
      <c r="P20" s="12">
        <f>Table1[[#This Row],[Deaths]]/Table1[[#This Row],[Population]]</f>
        <v>7.8426015972736559E-5</v>
      </c>
      <c r="Q20" s="13">
        <f>1-Table1[[#This Row],[Deaths]]/Table1[[#This Row],[Ex(Deaths)]]</f>
        <v>0.14118831757961048</v>
      </c>
      <c r="R20" s="14">
        <f>Table1[[#This Row],[Active]]/Table1[[#This Row],[Cases]]</f>
        <v>0.16439962388692633</v>
      </c>
      <c r="S20" s="12">
        <f>Table1[[#This Row],[Percent Infected]]*Table1[[#This Row],[% Active]]</f>
        <v>1.2593215188304223E-3</v>
      </c>
      <c r="T20" s="8">
        <f>1/Table1[[#This Row],[Percent Actively Infected]]</f>
        <v>794.07838669249168</v>
      </c>
      <c r="AMC20"/>
    </row>
    <row r="21" spans="1:1017" s="1" customFormat="1" ht="16.5" thickBot="1" x14ac:dyDescent="0.3">
      <c r="A21" s="1">
        <v>20</v>
      </c>
      <c r="B21" s="51">
        <v>5</v>
      </c>
      <c r="C21" s="42" t="s">
        <v>112</v>
      </c>
      <c r="D21" s="47">
        <v>434200</v>
      </c>
      <c r="E21" s="47">
        <v>6655</v>
      </c>
      <c r="F21" s="47">
        <v>263054</v>
      </c>
      <c r="G21" s="47">
        <v>164491</v>
      </c>
      <c r="H21" s="48">
        <v>539</v>
      </c>
      <c r="I21" s="42">
        <v>59357051</v>
      </c>
      <c r="J21" s="8">
        <f>Table1[[#This Row],[Population]]/Table1[[#This Row],[Cases]]</f>
        <v>136.7044011976048</v>
      </c>
      <c r="K21" s="8">
        <f>Table1[[#This Row],[Population]]/Table1[[#This Row],[Deaths]]</f>
        <v>8919.1661908339593</v>
      </c>
      <c r="L21" s="9">
        <f>Table1[[#This Row],[Deaths]]+Table1[[#This Row],[Active]]*Table1[[#This Row],[Death Rate]]</f>
        <v>9176.1598456932297</v>
      </c>
      <c r="M21" s="10">
        <f>Table1[[#This Row],[Deaths]]/Table1[[#This Row],[Cases]]</f>
        <v>1.5327038231229847E-2</v>
      </c>
      <c r="N21" s="11">
        <f>Table1[[#This Row],[Cases]]/Table1[[#This Row],[Deaths]]</f>
        <v>65.244177310293011</v>
      </c>
      <c r="O21" s="12">
        <f>Table1[[#This Row],[Cases]]/Table1[[#This Row],[Population]]</f>
        <v>7.3150534382174746E-3</v>
      </c>
      <c r="P21" s="12">
        <f>Table1[[#This Row],[Deaths]]/Table1[[#This Row],[Population]]</f>
        <v>1.1211810371104858E-4</v>
      </c>
      <c r="Q21" s="13">
        <f>1-Table1[[#This Row],[Deaths]]/Table1[[#This Row],[Ex(Deaths)]]</f>
        <v>0.27475108194377407</v>
      </c>
      <c r="R21" s="14">
        <f>Table1[[#This Row],[Active]]/Table1[[#This Row],[Cases]]</f>
        <v>0.37883694150161218</v>
      </c>
      <c r="S21" s="12">
        <f>Table1[[#This Row],[Percent Infected]]*Table1[[#This Row],[% Active]]</f>
        <v>2.7712124714551604E-3</v>
      </c>
      <c r="T21" s="8">
        <f>1/Table1[[#This Row],[Percent Actively Infected]]</f>
        <v>360.85287948884741</v>
      </c>
      <c r="AMC21"/>
    </row>
    <row r="22" spans="1:1017" s="1" customFormat="1" ht="16.5" thickBot="1" x14ac:dyDescent="0.3">
      <c r="A22" s="1">
        <v>21</v>
      </c>
      <c r="B22" s="51">
        <v>33</v>
      </c>
      <c r="C22" s="42" t="s">
        <v>38</v>
      </c>
      <c r="D22" s="47">
        <v>67132</v>
      </c>
      <c r="E22" s="48">
        <v>534</v>
      </c>
      <c r="F22" s="47">
        <v>60425</v>
      </c>
      <c r="G22" s="47">
        <v>6173</v>
      </c>
      <c r="H22" s="48">
        <v>89</v>
      </c>
      <c r="I22" s="42">
        <v>9449102</v>
      </c>
      <c r="J22" s="8">
        <f>Table1[[#This Row],[Population]]/Table1[[#This Row],[Cases]]</f>
        <v>140.75406661502711</v>
      </c>
      <c r="K22" s="8">
        <f>Table1[[#This Row],[Population]]/Table1[[#This Row],[Deaths]]</f>
        <v>17694.947565543072</v>
      </c>
      <c r="L22" s="9">
        <f>Table1[[#This Row],[Deaths]]+Table1[[#This Row],[Active]]*Table1[[#This Row],[Death Rate]]</f>
        <v>583.10299112196867</v>
      </c>
      <c r="M22" s="10">
        <f>Table1[[#This Row],[Deaths]]/Table1[[#This Row],[Cases]]</f>
        <v>7.9544777453375431E-3</v>
      </c>
      <c r="N22" s="11">
        <f>Table1[[#This Row],[Cases]]/Table1[[#This Row],[Deaths]]</f>
        <v>125.71535580524345</v>
      </c>
      <c r="O22" s="12">
        <f>Table1[[#This Row],[Cases]]/Table1[[#This Row],[Population]]</f>
        <v>7.1045904679619288E-3</v>
      </c>
      <c r="P22" s="12">
        <f>Table1[[#This Row],[Deaths]]/Table1[[#This Row],[Population]]</f>
        <v>5.651330676714041E-5</v>
      </c>
      <c r="Q22" s="13">
        <f>1-Table1[[#This Row],[Deaths]]/Table1[[#This Row],[Ex(Deaths)]]</f>
        <v>8.420980833503855E-2</v>
      </c>
      <c r="R22" s="14">
        <f>Table1[[#This Row],[Active]]/Table1[[#This Row],[Cases]]</f>
        <v>9.1953166895072394E-2</v>
      </c>
      <c r="S22" s="12">
        <f>Table1[[#This Row],[Percent Infected]]*Table1[[#This Row],[% Active]]</f>
        <v>6.5328959302164377E-4</v>
      </c>
      <c r="T22" s="8">
        <f>1/Table1[[#This Row],[Percent Actively Infected]]</f>
        <v>1530.7147254171391</v>
      </c>
      <c r="AMC22"/>
    </row>
    <row r="23" spans="1:1017" s="1" customFormat="1" ht="16.5" thickBot="1" x14ac:dyDescent="0.3">
      <c r="A23" s="1">
        <v>22</v>
      </c>
      <c r="B23" s="51">
        <v>9</v>
      </c>
      <c r="C23" s="42" t="s">
        <v>27</v>
      </c>
      <c r="D23" s="47">
        <v>319501</v>
      </c>
      <c r="E23" s="47">
        <v>28432</v>
      </c>
      <c r="F23" s="48" t="s">
        <v>41</v>
      </c>
      <c r="G23" s="48" t="s">
        <v>41</v>
      </c>
      <c r="H23" s="48">
        <v>617</v>
      </c>
      <c r="I23" s="42">
        <v>46756057</v>
      </c>
      <c r="J23" s="8">
        <f>Table1[[#This Row],[Population]]/Table1[[#This Row],[Cases]]</f>
        <v>146.34087843230537</v>
      </c>
      <c r="K23" s="8">
        <f>Table1[[#This Row],[Population]]/Table1[[#This Row],[Deaths]]</f>
        <v>1644.4870920090038</v>
      </c>
      <c r="L23" s="9" t="e">
        <f>Table1[[#This Row],[Deaths]]+Table1[[#This Row],[Active]]*Table1[[#This Row],[Death Rate]]</f>
        <v>#VALUE!</v>
      </c>
      <c r="M23" s="10">
        <f>Table1[[#This Row],[Deaths]]/Table1[[#This Row],[Cases]]</f>
        <v>8.898876685831969E-2</v>
      </c>
      <c r="N23" s="11">
        <f>Table1[[#This Row],[Cases]]/Table1[[#This Row],[Deaths]]</f>
        <v>11.237373382104671</v>
      </c>
      <c r="O23" s="12">
        <f>Table1[[#This Row],[Cases]]/Table1[[#This Row],[Population]]</f>
        <v>6.8333606488673758E-3</v>
      </c>
      <c r="P23" s="12">
        <f>Table1[[#This Row],[Deaths]]/Table1[[#This Row],[Population]]</f>
        <v>6.0809233764087508E-4</v>
      </c>
      <c r="Q23" s="13" t="e">
        <f>1-Table1[[#This Row],[Deaths]]/Table1[[#This Row],[Ex(Deaths)]]</f>
        <v>#VALUE!</v>
      </c>
      <c r="R23" s="14" t="e">
        <f>Table1[[#This Row],[Active]]/Table1[[#This Row],[Cases]]</f>
        <v>#VALUE!</v>
      </c>
      <c r="S23" s="12" t="e">
        <f>Table1[[#This Row],[Percent Infected]]*Table1[[#This Row],[% Active]]</f>
        <v>#VALUE!</v>
      </c>
      <c r="T23" s="8" t="e">
        <f>1/Table1[[#This Row],[Percent Actively Infected]]</f>
        <v>#VALUE!</v>
      </c>
      <c r="AMC23"/>
    </row>
    <row r="24" spans="1:1017" s="1" customFormat="1" ht="16.5" thickBot="1" x14ac:dyDescent="0.3">
      <c r="A24" s="1">
        <v>23</v>
      </c>
      <c r="B24" s="51">
        <v>38</v>
      </c>
      <c r="C24" s="42" t="s">
        <v>70</v>
      </c>
      <c r="D24" s="47">
        <v>61388</v>
      </c>
      <c r="E24" s="48">
        <v>464</v>
      </c>
      <c r="F24" s="47">
        <v>26959</v>
      </c>
      <c r="G24" s="47">
        <v>33965</v>
      </c>
      <c r="H24" s="48">
        <v>329</v>
      </c>
      <c r="I24" s="47">
        <v>9197590</v>
      </c>
      <c r="J24" s="8">
        <f>Table1[[#This Row],[Population]]/Table1[[#This Row],[Cases]]</f>
        <v>149.82716491822507</v>
      </c>
      <c r="K24" s="8">
        <f>Table1[[#This Row],[Population]]/Table1[[#This Row],[Deaths]]</f>
        <v>19822.392241379312</v>
      </c>
      <c r="L24" s="9">
        <f>Table1[[#This Row],[Deaths]]+Table1[[#This Row],[Active]]*Table1[[#This Row],[Death Rate]]</f>
        <v>720.72378966573274</v>
      </c>
      <c r="M24" s="10">
        <f>Table1[[#This Row],[Deaths]]/Table1[[#This Row],[Cases]]</f>
        <v>7.5584804847852998E-3</v>
      </c>
      <c r="N24" s="11">
        <f>Table1[[#This Row],[Cases]]/Table1[[#This Row],[Deaths]]</f>
        <v>132.30172413793105</v>
      </c>
      <c r="O24" s="12">
        <f>Table1[[#This Row],[Cases]]/Table1[[#This Row],[Population]]</f>
        <v>6.6743570870195345E-3</v>
      </c>
      <c r="P24" s="12">
        <f>Table1[[#This Row],[Deaths]]/Table1[[#This Row],[Population]]</f>
        <v>5.0447997790725613E-5</v>
      </c>
      <c r="Q24" s="13">
        <f>1-Table1[[#This Row],[Deaths]]/Table1[[#This Row],[Ex(Deaths)]]</f>
        <v>0.35620274139250996</v>
      </c>
      <c r="R24" s="14">
        <f>Table1[[#This Row],[Active]]/Table1[[#This Row],[Cases]]</f>
        <v>0.55328402945201016</v>
      </c>
      <c r="S24" s="12">
        <f>Table1[[#This Row],[Percent Infected]]*Table1[[#This Row],[% Active]]</f>
        <v>3.6928151831077489E-3</v>
      </c>
      <c r="T24" s="8">
        <f>1/Table1[[#This Row],[Percent Actively Infected]]</f>
        <v>270.79611364640073</v>
      </c>
      <c r="AMC24"/>
    </row>
    <row r="25" spans="1:1017" s="1" customFormat="1" ht="16.5" thickBot="1" x14ac:dyDescent="0.3">
      <c r="A25" s="1">
        <v>24</v>
      </c>
      <c r="B25" s="51">
        <v>106</v>
      </c>
      <c r="C25" s="42" t="s">
        <v>53</v>
      </c>
      <c r="D25" s="47">
        <v>3252</v>
      </c>
      <c r="E25" s="48">
        <v>15</v>
      </c>
      <c r="F25" s="47">
        <v>2498</v>
      </c>
      <c r="G25" s="48">
        <v>739</v>
      </c>
      <c r="H25" s="48">
        <v>12</v>
      </c>
      <c r="I25" s="42">
        <v>541136</v>
      </c>
      <c r="J25" s="8">
        <f>Table1[[#This Row],[Population]]/Table1[[#This Row],[Cases]]</f>
        <v>166.4009840098401</v>
      </c>
      <c r="K25" s="8">
        <f>Table1[[#This Row],[Population]]/Table1[[#This Row],[Deaths]]</f>
        <v>36075.73333333333</v>
      </c>
      <c r="L25" s="9">
        <f>Table1[[#This Row],[Deaths]]+Table1[[#This Row],[Active]]*Table1[[#This Row],[Death Rate]]</f>
        <v>18.408671586715869</v>
      </c>
      <c r="M25" s="10">
        <f>Table1[[#This Row],[Deaths]]/Table1[[#This Row],[Cases]]</f>
        <v>4.6125461254612546E-3</v>
      </c>
      <c r="N25" s="11">
        <f>Table1[[#This Row],[Cases]]/Table1[[#This Row],[Deaths]]</f>
        <v>216.8</v>
      </c>
      <c r="O25" s="12">
        <f>Table1[[#This Row],[Cases]]/Table1[[#This Row],[Population]]</f>
        <v>6.0095798468407201E-3</v>
      </c>
      <c r="P25" s="12">
        <f>Table1[[#This Row],[Deaths]]/Table1[[#This Row],[Population]]</f>
        <v>2.7719464238195205E-5</v>
      </c>
      <c r="Q25" s="13">
        <f>1-Table1[[#This Row],[Deaths]]/Table1[[#This Row],[Ex(Deaths)]]</f>
        <v>0.18516662490603863</v>
      </c>
      <c r="R25" s="14">
        <f>Table1[[#This Row],[Active]]/Table1[[#This Row],[Cases]]</f>
        <v>0.22724477244772448</v>
      </c>
      <c r="S25" s="12">
        <f>Table1[[#This Row],[Percent Infected]]*Table1[[#This Row],[% Active]]</f>
        <v>1.3656456048017503E-3</v>
      </c>
      <c r="T25" s="8">
        <f>1/Table1[[#This Row],[Percent Actively Infected]]</f>
        <v>732.25439783491208</v>
      </c>
      <c r="AMC25"/>
    </row>
    <row r="26" spans="1:1017" s="1" customFormat="1" ht="16.5" thickBot="1" x14ac:dyDescent="0.3">
      <c r="A26" s="1">
        <v>25</v>
      </c>
      <c r="B26" s="51">
        <v>39</v>
      </c>
      <c r="C26" s="42" t="s">
        <v>50</v>
      </c>
      <c r="D26" s="47">
        <v>58913</v>
      </c>
      <c r="E26" s="48">
        <v>344</v>
      </c>
      <c r="F26" s="47">
        <v>52182</v>
      </c>
      <c r="G26" s="47">
        <v>6387</v>
      </c>
      <c r="H26" s="48"/>
      <c r="I26" s="42">
        <v>9898162</v>
      </c>
      <c r="J26" s="8">
        <f>Table1[[#This Row],[Population]]/Table1[[#This Row],[Cases]]</f>
        <v>168.01320591380511</v>
      </c>
      <c r="K26" s="8">
        <f>Table1[[#This Row],[Population]]/Table1[[#This Row],[Deaths]]</f>
        <v>28773.726744186046</v>
      </c>
      <c r="L26" s="9">
        <f>Table1[[#This Row],[Deaths]]+Table1[[#This Row],[Active]]*Table1[[#This Row],[Death Rate]]</f>
        <v>381.29445113981632</v>
      </c>
      <c r="M26" s="10">
        <f>Table1[[#This Row],[Deaths]]/Table1[[#This Row],[Cases]]</f>
        <v>5.8391187004566058E-3</v>
      </c>
      <c r="N26" s="11">
        <f>Table1[[#This Row],[Cases]]/Table1[[#This Row],[Deaths]]</f>
        <v>171.25872093023256</v>
      </c>
      <c r="O26" s="12">
        <f>Table1[[#This Row],[Cases]]/Table1[[#This Row],[Population]]</f>
        <v>5.9519130925519302E-3</v>
      </c>
      <c r="P26" s="12">
        <f>Table1[[#This Row],[Deaths]]/Table1[[#This Row],[Population]]</f>
        <v>3.4753927042212483E-5</v>
      </c>
      <c r="Q26" s="13">
        <f>1-Table1[[#This Row],[Deaths]]/Table1[[#This Row],[Ex(Deaths)]]</f>
        <v>9.7810107197549678E-2</v>
      </c>
      <c r="R26" s="14">
        <f>Table1[[#This Row],[Active]]/Table1[[#This Row],[Cases]]</f>
        <v>0.1084141021506289</v>
      </c>
      <c r="S26" s="12">
        <f>Table1[[#This Row],[Percent Infected]]*Table1[[#This Row],[% Active]]</f>
        <v>6.4527131400759054E-4</v>
      </c>
      <c r="T26" s="8">
        <f>1/Table1[[#This Row],[Percent Actively Infected]]</f>
        <v>1549.7357131673712</v>
      </c>
      <c r="AMC26"/>
    </row>
    <row r="27" spans="1:1017" s="1" customFormat="1" ht="16.5" thickBot="1" x14ac:dyDescent="0.3">
      <c r="A27" s="1">
        <v>26</v>
      </c>
      <c r="B27" s="51">
        <v>32</v>
      </c>
      <c r="C27" s="42" t="s">
        <v>100</v>
      </c>
      <c r="D27" s="47">
        <v>68281</v>
      </c>
      <c r="E27" s="47">
        <v>2535</v>
      </c>
      <c r="F27" s="47">
        <v>20951</v>
      </c>
      <c r="G27" s="47">
        <v>44795</v>
      </c>
      <c r="H27" s="48">
        <v>71</v>
      </c>
      <c r="I27" s="42">
        <v>11683237</v>
      </c>
      <c r="J27" s="8">
        <f>Table1[[#This Row],[Population]]/Table1[[#This Row],[Cases]]</f>
        <v>171.10524157525521</v>
      </c>
      <c r="K27" s="8">
        <f>Table1[[#This Row],[Population]]/Table1[[#This Row],[Deaths]]</f>
        <v>4608.7719921104535</v>
      </c>
      <c r="L27" s="9">
        <f>Table1[[#This Row],[Deaths]]+Table1[[#This Row],[Active]]*Table1[[#This Row],[Death Rate]]</f>
        <v>4198.0589036481597</v>
      </c>
      <c r="M27" s="10">
        <f>Table1[[#This Row],[Deaths]]/Table1[[#This Row],[Cases]]</f>
        <v>3.7125994053982807E-2</v>
      </c>
      <c r="N27" s="11">
        <f>Table1[[#This Row],[Cases]]/Table1[[#This Row],[Deaths]]</f>
        <v>26.935305719921104</v>
      </c>
      <c r="O27" s="12">
        <f>Table1[[#This Row],[Cases]]/Table1[[#This Row],[Population]]</f>
        <v>5.8443563200849214E-3</v>
      </c>
      <c r="P27" s="12">
        <f>Table1[[#This Row],[Deaths]]/Table1[[#This Row],[Population]]</f>
        <v>2.1697753798882963E-4</v>
      </c>
      <c r="Q27" s="13">
        <f>1-Table1[[#This Row],[Deaths]]/Table1[[#This Row],[Ex(Deaths)]]</f>
        <v>0.39614949237680852</v>
      </c>
      <c r="R27" s="14">
        <f>Table1[[#This Row],[Active]]/Table1[[#This Row],[Cases]]</f>
        <v>0.65603901524582242</v>
      </c>
      <c r="S27" s="12">
        <f>Table1[[#This Row],[Percent Infected]]*Table1[[#This Row],[% Active]]</f>
        <v>3.8341257649742106E-3</v>
      </c>
      <c r="T27" s="8">
        <f>1/Table1[[#This Row],[Percent Actively Infected]]</f>
        <v>260.81564906797632</v>
      </c>
      <c r="AMC27"/>
    </row>
    <row r="28" spans="1:1017" s="1" customFormat="1" ht="16.5" thickBot="1" x14ac:dyDescent="0.3">
      <c r="A28" s="1">
        <v>27</v>
      </c>
      <c r="B28" s="51">
        <v>37</v>
      </c>
      <c r="C28" s="42" t="s">
        <v>79</v>
      </c>
      <c r="D28" s="47">
        <v>62908</v>
      </c>
      <c r="E28" s="47">
        <v>1063</v>
      </c>
      <c r="F28" s="47">
        <v>28603</v>
      </c>
      <c r="G28" s="47">
        <v>33242</v>
      </c>
      <c r="H28" s="48">
        <v>267</v>
      </c>
      <c r="I28" s="42">
        <v>10855084</v>
      </c>
      <c r="J28" s="8">
        <f>Table1[[#This Row],[Population]]/Table1[[#This Row],[Cases]]</f>
        <v>172.55490557639729</v>
      </c>
      <c r="K28" s="8">
        <f>Table1[[#This Row],[Population]]/Table1[[#This Row],[Deaths]]</f>
        <v>10211.744120413923</v>
      </c>
      <c r="L28" s="9">
        <f>Table1[[#This Row],[Deaths]]+Table1[[#This Row],[Active]]*Table1[[#This Row],[Death Rate]]</f>
        <v>1624.7130730590702</v>
      </c>
      <c r="M28" s="10">
        <f>Table1[[#This Row],[Deaths]]/Table1[[#This Row],[Cases]]</f>
        <v>1.6897691867489031E-2</v>
      </c>
      <c r="N28" s="11">
        <f>Table1[[#This Row],[Cases]]/Table1[[#This Row],[Deaths]]</f>
        <v>59.179680150517406</v>
      </c>
      <c r="O28" s="12">
        <f>Table1[[#This Row],[Cases]]/Table1[[#This Row],[Population]]</f>
        <v>5.7952568584453143E-3</v>
      </c>
      <c r="P28" s="12">
        <f>Table1[[#This Row],[Deaths]]/Table1[[#This Row],[Population]]</f>
        <v>9.7926464686961433E-5</v>
      </c>
      <c r="Q28" s="13">
        <f>1-Table1[[#This Row],[Deaths]]/Table1[[#This Row],[Ex(Deaths)]]</f>
        <v>0.34573062922516895</v>
      </c>
      <c r="R28" s="14">
        <f>Table1[[#This Row],[Active]]/Table1[[#This Row],[Cases]]</f>
        <v>0.52842245819291667</v>
      </c>
      <c r="S28" s="12">
        <f>Table1[[#This Row],[Percent Infected]]*Table1[[#This Row],[% Active]]</f>
        <v>3.0623438749990328E-3</v>
      </c>
      <c r="T28" s="8">
        <f>1/Table1[[#This Row],[Percent Actively Infected]]</f>
        <v>326.54725949100532</v>
      </c>
      <c r="AMC28"/>
    </row>
    <row r="29" spans="1:1017" s="1" customFormat="1" ht="16.5" thickBot="1" x14ac:dyDescent="0.3">
      <c r="A29" s="1">
        <v>28</v>
      </c>
      <c r="B29" s="51">
        <v>60</v>
      </c>
      <c r="C29" s="42" t="s">
        <v>72</v>
      </c>
      <c r="D29" s="47">
        <v>23034</v>
      </c>
      <c r="E29" s="48">
        <v>735</v>
      </c>
      <c r="F29" s="47">
        <v>15909</v>
      </c>
      <c r="G29" s="47">
        <v>6390</v>
      </c>
      <c r="H29" s="48">
        <v>362</v>
      </c>
      <c r="I29" s="42">
        <v>4033289</v>
      </c>
      <c r="J29" s="8">
        <f>Table1[[#This Row],[Population]]/Table1[[#This Row],[Cases]]</f>
        <v>175.10154554137361</v>
      </c>
      <c r="K29" s="8">
        <f>Table1[[#This Row],[Population]]/Table1[[#This Row],[Deaths]]</f>
        <v>5487.4680272108844</v>
      </c>
      <c r="L29" s="9">
        <f>Table1[[#This Row],[Deaths]]+Table1[[#This Row],[Active]]*Table1[[#This Row],[Death Rate]]</f>
        <v>938.90075540505336</v>
      </c>
      <c r="M29" s="10">
        <f>Table1[[#This Row],[Deaths]]/Table1[[#This Row],[Cases]]</f>
        <v>3.1909351393592078E-2</v>
      </c>
      <c r="N29" s="11">
        <f>Table1[[#This Row],[Cases]]/Table1[[#This Row],[Deaths]]</f>
        <v>31.33877551020408</v>
      </c>
      <c r="O29" s="12">
        <f>Table1[[#This Row],[Cases]]/Table1[[#This Row],[Population]]</f>
        <v>5.7109718644014849E-3</v>
      </c>
      <c r="P29" s="12">
        <f>Table1[[#This Row],[Deaths]]/Table1[[#This Row],[Population]]</f>
        <v>1.8223340802010467E-4</v>
      </c>
      <c r="Q29" s="13">
        <f>1-Table1[[#This Row],[Deaths]]/Table1[[#This Row],[Ex(Deaths)]]</f>
        <v>0.21716965742251215</v>
      </c>
      <c r="R29" s="14">
        <f>Table1[[#This Row],[Active]]/Table1[[#This Row],[Cases]]</f>
        <v>0.27741599374837195</v>
      </c>
      <c r="S29" s="12">
        <f>Table1[[#This Row],[Percent Infected]]*Table1[[#This Row],[% Active]]</f>
        <v>1.5843149350319304E-3</v>
      </c>
      <c r="T29" s="8">
        <f>1/Table1[[#This Row],[Percent Actively Infected]]</f>
        <v>631.18763693270739</v>
      </c>
      <c r="AMC29"/>
    </row>
    <row r="30" spans="1:1017" s="1" customFormat="1" ht="16.5" thickBot="1" x14ac:dyDescent="0.3">
      <c r="A30" s="1">
        <v>29</v>
      </c>
      <c r="B30" s="51">
        <v>34</v>
      </c>
      <c r="C30" s="42" t="s">
        <v>35</v>
      </c>
      <c r="D30" s="47">
        <v>65727</v>
      </c>
      <c r="E30" s="47">
        <v>9821</v>
      </c>
      <c r="F30" s="47">
        <v>17425</v>
      </c>
      <c r="G30" s="47">
        <v>38481</v>
      </c>
      <c r="H30" s="48">
        <v>45</v>
      </c>
      <c r="I30" s="42">
        <v>11593089</v>
      </c>
      <c r="J30" s="8">
        <f>Table1[[#This Row],[Population]]/Table1[[#This Row],[Cases]]</f>
        <v>176.38244557031356</v>
      </c>
      <c r="K30" s="8">
        <f>Table1[[#This Row],[Population]]/Table1[[#This Row],[Deaths]]</f>
        <v>1180.4387536910701</v>
      </c>
      <c r="L30" s="9">
        <f>Table1[[#This Row],[Deaths]]+Table1[[#This Row],[Active]]*Table1[[#This Row],[Death Rate]]</f>
        <v>15570.872974576658</v>
      </c>
      <c r="M30" s="10">
        <f>Table1[[#This Row],[Deaths]]/Table1[[#This Row],[Cases]]</f>
        <v>0.14942109026731784</v>
      </c>
      <c r="N30" s="11">
        <f>Table1[[#This Row],[Cases]]/Table1[[#This Row],[Deaths]]</f>
        <v>6.6924956725384384</v>
      </c>
      <c r="O30" s="12">
        <f>Table1[[#This Row],[Cases]]/Table1[[#This Row],[Population]]</f>
        <v>5.6694984399757479E-3</v>
      </c>
      <c r="P30" s="12">
        <f>Table1[[#This Row],[Deaths]]/Table1[[#This Row],[Population]]</f>
        <v>8.4714263817003391E-4</v>
      </c>
      <c r="Q30" s="13">
        <f>1-Table1[[#This Row],[Deaths]]/Table1[[#This Row],[Ex(Deaths)]]</f>
        <v>0.36927107323813912</v>
      </c>
      <c r="R30" s="14">
        <f>Table1[[#This Row],[Active]]/Table1[[#This Row],[Cases]]</f>
        <v>0.58546715961477014</v>
      </c>
      <c r="S30" s="12">
        <f>Table1[[#This Row],[Percent Infected]]*Table1[[#This Row],[% Active]]</f>
        <v>3.3193051480929713E-3</v>
      </c>
      <c r="T30" s="8">
        <f>1/Table1[[#This Row],[Percent Actively Infected]]</f>
        <v>301.26787245653702</v>
      </c>
      <c r="AMC30"/>
    </row>
    <row r="31" spans="1:1017" s="1" customFormat="1" ht="16.5" thickBot="1" x14ac:dyDescent="0.3">
      <c r="A31" s="1">
        <v>30</v>
      </c>
      <c r="B31" s="51">
        <v>4</v>
      </c>
      <c r="C31" s="42" t="s">
        <v>56</v>
      </c>
      <c r="D31" s="47">
        <v>812485</v>
      </c>
      <c r="E31" s="47">
        <v>13269</v>
      </c>
      <c r="F31" s="47">
        <v>600250</v>
      </c>
      <c r="G31" s="47">
        <v>198966</v>
      </c>
      <c r="H31" s="47">
        <v>2300</v>
      </c>
      <c r="I31" s="42">
        <v>145938879</v>
      </c>
      <c r="J31" s="8">
        <f>Table1[[#This Row],[Population]]/Table1[[#This Row],[Cases]]</f>
        <v>179.62039791503844</v>
      </c>
      <c r="K31" s="8">
        <f>Table1[[#This Row],[Population]]/Table1[[#This Row],[Deaths]]</f>
        <v>10998.483608410581</v>
      </c>
      <c r="L31" s="9">
        <f>Table1[[#This Row],[Deaths]]+Table1[[#This Row],[Active]]*Table1[[#This Row],[Death Rate]]</f>
        <v>16518.389039797657</v>
      </c>
      <c r="M31" s="10">
        <f>Table1[[#This Row],[Deaths]]/Table1[[#This Row],[Cases]]</f>
        <v>1.6331378425447855E-2</v>
      </c>
      <c r="N31" s="11">
        <f>Table1[[#This Row],[Cases]]/Table1[[#This Row],[Deaths]]</f>
        <v>61.231818524380131</v>
      </c>
      <c r="O31" s="12">
        <f>Table1[[#This Row],[Cases]]/Table1[[#This Row],[Population]]</f>
        <v>5.567296429623802E-3</v>
      </c>
      <c r="P31" s="12">
        <f>Table1[[#This Row],[Deaths]]/Table1[[#This Row],[Population]]</f>
        <v>9.0921624798831019E-5</v>
      </c>
      <c r="Q31" s="13">
        <f>1-Table1[[#This Row],[Deaths]]/Table1[[#This Row],[Ex(Deaths)]]</f>
        <v>0.19671343446197587</v>
      </c>
      <c r="R31" s="14">
        <f>Table1[[#This Row],[Active]]/Table1[[#This Row],[Cases]]</f>
        <v>0.24488575173695515</v>
      </c>
      <c r="S31" s="12">
        <f>Table1[[#This Row],[Percent Infected]]*Table1[[#This Row],[% Active]]</f>
        <v>1.3633515713108912E-3</v>
      </c>
      <c r="T31" s="8">
        <f>1/Table1[[#This Row],[Percent Actively Infected]]</f>
        <v>733.48652031000256</v>
      </c>
      <c r="AMC31"/>
    </row>
    <row r="32" spans="1:1017" s="1" customFormat="1" ht="16.5" thickBot="1" x14ac:dyDescent="0.3">
      <c r="A32" s="1">
        <v>31</v>
      </c>
      <c r="B32" s="51">
        <v>177</v>
      </c>
      <c r="C32" s="42" t="s">
        <v>36</v>
      </c>
      <c r="D32" s="48">
        <v>185</v>
      </c>
      <c r="E32" s="48"/>
      <c r="F32" s="48">
        <v>180</v>
      </c>
      <c r="G32" s="48">
        <v>5</v>
      </c>
      <c r="H32" s="48"/>
      <c r="I32" s="42">
        <v>33690</v>
      </c>
      <c r="J32" s="8">
        <f>Table1[[#This Row],[Population]]/Table1[[#This Row],[Cases]]</f>
        <v>182.1081081081081</v>
      </c>
      <c r="K32" s="8" t="e">
        <f>Table1[[#This Row],[Population]]/Table1[[#This Row],[Deaths]]</f>
        <v>#DIV/0!</v>
      </c>
      <c r="L32" s="9">
        <f>Table1[[#This Row],[Deaths]]+Table1[[#This Row],[Active]]*Table1[[#This Row],[Death Rate]]</f>
        <v>0</v>
      </c>
      <c r="M32" s="10">
        <f>Table1[[#This Row],[Deaths]]/Table1[[#This Row],[Cases]]</f>
        <v>0</v>
      </c>
      <c r="N32" s="11" t="e">
        <f>Table1[[#This Row],[Cases]]/Table1[[#This Row],[Deaths]]</f>
        <v>#DIV/0!</v>
      </c>
      <c r="O32" s="12">
        <f>Table1[[#This Row],[Cases]]/Table1[[#This Row],[Population]]</f>
        <v>5.4912436924903531E-3</v>
      </c>
      <c r="P32" s="12">
        <f>Table1[[#This Row],[Deaths]]/Table1[[#This Row],[Population]]</f>
        <v>0</v>
      </c>
      <c r="Q32" s="13" t="e">
        <f>1-Table1[[#This Row],[Deaths]]/Table1[[#This Row],[Ex(Deaths)]]</f>
        <v>#DIV/0!</v>
      </c>
      <c r="R32" s="14">
        <f>Table1[[#This Row],[Active]]/Table1[[#This Row],[Cases]]</f>
        <v>2.7027027027027029E-2</v>
      </c>
      <c r="S32" s="12">
        <f>Table1[[#This Row],[Percent Infected]]*Table1[[#This Row],[% Active]]</f>
        <v>1.4841199168892847E-4</v>
      </c>
      <c r="T32" s="8">
        <f>1/Table1[[#This Row],[Percent Actively Infected]]</f>
        <v>6738</v>
      </c>
      <c r="AMC32"/>
    </row>
    <row r="33" spans="1:1017" s="1" customFormat="1" ht="16.5" thickBot="1" x14ac:dyDescent="0.3">
      <c r="A33" s="1">
        <v>32</v>
      </c>
      <c r="B33" s="51">
        <v>126</v>
      </c>
      <c r="C33" s="42" t="s">
        <v>31</v>
      </c>
      <c r="D33" s="47">
        <v>1847</v>
      </c>
      <c r="E33" s="48">
        <v>10</v>
      </c>
      <c r="F33" s="47">
        <v>1823</v>
      </c>
      <c r="G33" s="48">
        <v>14</v>
      </c>
      <c r="H33" s="48"/>
      <c r="I33" s="42">
        <v>341393</v>
      </c>
      <c r="J33" s="8">
        <f>Table1[[#This Row],[Population]]/Table1[[#This Row],[Cases]]</f>
        <v>184.83649160801301</v>
      </c>
      <c r="K33" s="8">
        <f>Table1[[#This Row],[Population]]/Table1[[#This Row],[Deaths]]</f>
        <v>34139.300000000003</v>
      </c>
      <c r="L33" s="9">
        <f>Table1[[#This Row],[Deaths]]+Table1[[#This Row],[Active]]*Table1[[#This Row],[Death Rate]]</f>
        <v>10.075798592311857</v>
      </c>
      <c r="M33" s="10">
        <f>Table1[[#This Row],[Deaths]]/Table1[[#This Row],[Cases]]</f>
        <v>5.4141851651326473E-3</v>
      </c>
      <c r="N33" s="11">
        <f>Table1[[#This Row],[Cases]]/Table1[[#This Row],[Deaths]]</f>
        <v>184.7</v>
      </c>
      <c r="O33" s="12">
        <f>Table1[[#This Row],[Cases]]/Table1[[#This Row],[Population]]</f>
        <v>5.4101870864370384E-3</v>
      </c>
      <c r="P33" s="12">
        <f>Table1[[#This Row],[Deaths]]/Table1[[#This Row],[Population]]</f>
        <v>2.9291754663979638E-5</v>
      </c>
      <c r="Q33" s="13">
        <f>1-Table1[[#This Row],[Deaths]]/Table1[[#This Row],[Ex(Deaths)]]</f>
        <v>7.522837184309572E-3</v>
      </c>
      <c r="R33" s="14">
        <f>Table1[[#This Row],[Active]]/Table1[[#This Row],[Cases]]</f>
        <v>7.5798592311857064E-3</v>
      </c>
      <c r="S33" s="12">
        <f>Table1[[#This Row],[Percent Infected]]*Table1[[#This Row],[% Active]]</f>
        <v>4.1008456529571489E-5</v>
      </c>
      <c r="T33" s="8">
        <f>1/Table1[[#This Row],[Percent Actively Infected]]</f>
        <v>24385.214285714286</v>
      </c>
      <c r="AMC33"/>
    </row>
    <row r="34" spans="1:1017" s="1" customFormat="1" ht="16.5" thickBot="1" x14ac:dyDescent="0.3">
      <c r="A34" s="1">
        <v>33</v>
      </c>
      <c r="B34" s="51">
        <v>58</v>
      </c>
      <c r="C34" s="42" t="s">
        <v>34</v>
      </c>
      <c r="D34" s="47">
        <v>25869</v>
      </c>
      <c r="E34" s="47">
        <v>1764</v>
      </c>
      <c r="F34" s="47">
        <v>23364</v>
      </c>
      <c r="G34" s="48">
        <v>741</v>
      </c>
      <c r="H34" s="48">
        <v>5</v>
      </c>
      <c r="I34" s="42">
        <v>4941393</v>
      </c>
      <c r="J34" s="8">
        <f>Table1[[#This Row],[Population]]/Table1[[#This Row],[Cases]]</f>
        <v>191.01600371100545</v>
      </c>
      <c r="K34" s="8">
        <f>Table1[[#This Row],[Population]]/Table1[[#This Row],[Deaths]]</f>
        <v>2801.2431972789113</v>
      </c>
      <c r="L34" s="9">
        <f>Table1[[#This Row],[Deaths]]+Table1[[#This Row],[Active]]*Table1[[#This Row],[Death Rate]]</f>
        <v>1814.5285863388613</v>
      </c>
      <c r="M34" s="10">
        <f>Table1[[#This Row],[Deaths]]/Table1[[#This Row],[Cases]]</f>
        <v>6.8189725153658814E-2</v>
      </c>
      <c r="N34" s="11">
        <f>Table1[[#This Row],[Cases]]/Table1[[#This Row],[Deaths]]</f>
        <v>14.664965986394558</v>
      </c>
      <c r="O34" s="12">
        <f>Table1[[#This Row],[Cases]]/Table1[[#This Row],[Population]]</f>
        <v>5.2351634448019012E-3</v>
      </c>
      <c r="P34" s="12">
        <f>Table1[[#This Row],[Deaths]]/Table1[[#This Row],[Population]]</f>
        <v>3.5698435643552332E-4</v>
      </c>
      <c r="Q34" s="13">
        <f>1-Table1[[#This Row],[Deaths]]/Table1[[#This Row],[Ex(Deaths)]]</f>
        <v>2.7846674182638198E-2</v>
      </c>
      <c r="R34" s="14">
        <f>Table1[[#This Row],[Active]]/Table1[[#This Row],[Cases]]</f>
        <v>2.8644323321349877E-2</v>
      </c>
      <c r="S34" s="12">
        <f>Table1[[#This Row],[Percent Infected]]*Table1[[#This Row],[% Active]]</f>
        <v>1.4995771435301745E-4</v>
      </c>
      <c r="T34" s="8">
        <f>1/Table1[[#This Row],[Percent Actively Infected]]</f>
        <v>6668.5465587044537</v>
      </c>
      <c r="AMC34"/>
    </row>
    <row r="35" spans="1:1017" s="1" customFormat="1" ht="16.5" thickBot="1" x14ac:dyDescent="0.3">
      <c r="A35" s="1">
        <v>34</v>
      </c>
      <c r="B35" s="51">
        <v>94</v>
      </c>
      <c r="C35" s="42" t="s">
        <v>58</v>
      </c>
      <c r="D35" s="47">
        <v>5039</v>
      </c>
      <c r="E35" s="48">
        <v>58</v>
      </c>
      <c r="F35" s="47">
        <v>4949</v>
      </c>
      <c r="G35" s="48">
        <v>32</v>
      </c>
      <c r="H35" s="48"/>
      <c r="I35" s="42">
        <v>988915</v>
      </c>
      <c r="J35" s="8">
        <f>Table1[[#This Row],[Population]]/Table1[[#This Row],[Cases]]</f>
        <v>196.25223258583051</v>
      </c>
      <c r="K35" s="8">
        <f>Table1[[#This Row],[Population]]/Table1[[#This Row],[Deaths]]</f>
        <v>17050.258620689656</v>
      </c>
      <c r="L35" s="9">
        <f>Table1[[#This Row],[Deaths]]+Table1[[#This Row],[Active]]*Table1[[#This Row],[Death Rate]]</f>
        <v>58.368327049017665</v>
      </c>
      <c r="M35" s="10">
        <f>Table1[[#This Row],[Deaths]]/Table1[[#This Row],[Cases]]</f>
        <v>1.1510220281801944E-2</v>
      </c>
      <c r="N35" s="11">
        <f>Table1[[#This Row],[Cases]]/Table1[[#This Row],[Deaths]]</f>
        <v>86.879310344827587</v>
      </c>
      <c r="O35" s="12">
        <f>Table1[[#This Row],[Cases]]/Table1[[#This Row],[Population]]</f>
        <v>5.0954834338643867E-3</v>
      </c>
      <c r="P35" s="12">
        <f>Table1[[#This Row],[Deaths]]/Table1[[#This Row],[Population]]</f>
        <v>5.8650136766051686E-5</v>
      </c>
      <c r="Q35" s="13">
        <f>1-Table1[[#This Row],[Deaths]]/Table1[[#This Row],[Ex(Deaths)]]</f>
        <v>6.3103924275291767E-3</v>
      </c>
      <c r="R35" s="14">
        <f>Table1[[#This Row],[Active]]/Table1[[#This Row],[Cases]]</f>
        <v>6.350466362373487E-3</v>
      </c>
      <c r="S35" s="12">
        <f>Table1[[#This Row],[Percent Infected]]*Table1[[#This Row],[% Active]]</f>
        <v>3.2358696146787138E-5</v>
      </c>
      <c r="T35" s="8">
        <f>1/Table1[[#This Row],[Percent Actively Infected]]</f>
        <v>30903.593749999996</v>
      </c>
      <c r="AMC35"/>
    </row>
    <row r="36" spans="1:1017" s="1" customFormat="1" ht="16.5" thickBot="1" x14ac:dyDescent="0.3">
      <c r="A36" s="1">
        <v>35</v>
      </c>
      <c r="B36" s="51">
        <v>53</v>
      </c>
      <c r="C36" s="42" t="s">
        <v>136</v>
      </c>
      <c r="D36" s="47">
        <v>32813</v>
      </c>
      <c r="E36" s="47">
        <v>1277</v>
      </c>
      <c r="F36" s="47">
        <v>20388</v>
      </c>
      <c r="G36" s="47">
        <v>11148</v>
      </c>
      <c r="H36" s="48">
        <v>24</v>
      </c>
      <c r="I36" s="42">
        <v>6530946</v>
      </c>
      <c r="J36" s="8">
        <f>Table1[[#This Row],[Population]]/Table1[[#This Row],[Cases]]</f>
        <v>199.03532136653155</v>
      </c>
      <c r="K36" s="8">
        <f>Table1[[#This Row],[Population]]/Table1[[#This Row],[Deaths]]</f>
        <v>5114.2881754111195</v>
      </c>
      <c r="L36" s="9">
        <f>Table1[[#This Row],[Deaths]]+Table1[[#This Row],[Active]]*Table1[[#This Row],[Death Rate]]</f>
        <v>1710.852314631396</v>
      </c>
      <c r="M36" s="10">
        <f>Table1[[#This Row],[Deaths]]/Table1[[#This Row],[Cases]]</f>
        <v>3.891750220949014E-2</v>
      </c>
      <c r="N36" s="11">
        <f>Table1[[#This Row],[Cases]]/Table1[[#This Row],[Deaths]]</f>
        <v>25.695379796397809</v>
      </c>
      <c r="O36" s="12">
        <f>Table1[[#This Row],[Cases]]/Table1[[#This Row],[Population]]</f>
        <v>5.0242338552485355E-3</v>
      </c>
      <c r="P36" s="12">
        <f>Table1[[#This Row],[Deaths]]/Table1[[#This Row],[Population]]</f>
        <v>1.9553063216263004E-4</v>
      </c>
      <c r="Q36" s="13">
        <f>1-Table1[[#This Row],[Deaths]]/Table1[[#This Row],[Ex(Deaths)]]</f>
        <v>0.25358840790700843</v>
      </c>
      <c r="R36" s="14">
        <f>Table1[[#This Row],[Active]]/Table1[[#This Row],[Cases]]</f>
        <v>0.33974339438637124</v>
      </c>
      <c r="S36" s="12">
        <f>Table1[[#This Row],[Percent Infected]]*Table1[[#This Row],[% Active]]</f>
        <v>1.7069502641730617E-3</v>
      </c>
      <c r="T36" s="8">
        <f>1/Table1[[#This Row],[Percent Actively Infected]]</f>
        <v>585.840150699677</v>
      </c>
      <c r="AMC36"/>
    </row>
    <row r="37" spans="1:1017" s="1" customFormat="1" ht="16.5" thickBot="1" x14ac:dyDescent="0.3">
      <c r="A37" s="1">
        <v>36</v>
      </c>
      <c r="B37" s="51">
        <v>43</v>
      </c>
      <c r="C37" s="42" t="s">
        <v>49</v>
      </c>
      <c r="D37" s="47">
        <v>50164</v>
      </c>
      <c r="E37" s="47">
        <v>1717</v>
      </c>
      <c r="F37" s="47">
        <v>35217</v>
      </c>
      <c r="G37" s="47">
        <v>13230</v>
      </c>
      <c r="H37" s="48">
        <v>48</v>
      </c>
      <c r="I37" s="42">
        <v>10194564</v>
      </c>
      <c r="J37" s="8">
        <f>Table1[[#This Row],[Population]]/Table1[[#This Row],[Cases]]</f>
        <v>203.22470297424448</v>
      </c>
      <c r="K37" s="8">
        <f>Table1[[#This Row],[Population]]/Table1[[#This Row],[Deaths]]</f>
        <v>5937.4280722189869</v>
      </c>
      <c r="L37" s="9">
        <f>Table1[[#This Row],[Deaths]]+Table1[[#This Row],[Active]]*Table1[[#This Row],[Death Rate]]</f>
        <v>2169.8329080615581</v>
      </c>
      <c r="M37" s="10">
        <f>Table1[[#This Row],[Deaths]]/Table1[[#This Row],[Cases]]</f>
        <v>3.4227733035643089E-2</v>
      </c>
      <c r="N37" s="11">
        <f>Table1[[#This Row],[Cases]]/Table1[[#This Row],[Deaths]]</f>
        <v>29.216074548631333</v>
      </c>
      <c r="O37" s="12">
        <f>Table1[[#This Row],[Cases]]/Table1[[#This Row],[Population]]</f>
        <v>4.9206616388891176E-3</v>
      </c>
      <c r="P37" s="12">
        <f>Table1[[#This Row],[Deaths]]/Table1[[#This Row],[Population]]</f>
        <v>1.6842309293462672E-4</v>
      </c>
      <c r="Q37" s="13">
        <f>1-Table1[[#This Row],[Deaths]]/Table1[[#This Row],[Ex(Deaths)]]</f>
        <v>0.20869482916364324</v>
      </c>
      <c r="R37" s="14">
        <f>Table1[[#This Row],[Active]]/Table1[[#This Row],[Cases]]</f>
        <v>0.26373494936607927</v>
      </c>
      <c r="S37" s="12">
        <f>Table1[[#This Row],[Percent Infected]]*Table1[[#This Row],[% Active]]</f>
        <v>1.2977504481800301E-3</v>
      </c>
      <c r="T37" s="8">
        <f>1/Table1[[#This Row],[Percent Actively Infected]]</f>
        <v>770.56417233560092</v>
      </c>
      <c r="AMC37"/>
    </row>
    <row r="38" spans="1:1017" s="1" customFormat="1" ht="16.5" thickBot="1" x14ac:dyDescent="0.3">
      <c r="A38" s="1">
        <v>37</v>
      </c>
      <c r="B38" s="51">
        <v>79</v>
      </c>
      <c r="C38" s="42" t="s">
        <v>85</v>
      </c>
      <c r="D38" s="47">
        <v>10086</v>
      </c>
      <c r="E38" s="48">
        <v>460</v>
      </c>
      <c r="F38" s="47">
        <v>5427</v>
      </c>
      <c r="G38" s="47">
        <v>4199</v>
      </c>
      <c r="H38" s="48">
        <v>55</v>
      </c>
      <c r="I38" s="42">
        <v>2083368</v>
      </c>
      <c r="J38" s="8">
        <f>Table1[[#This Row],[Population]]/Table1[[#This Row],[Cases]]</f>
        <v>206.56038072575848</v>
      </c>
      <c r="K38" s="8">
        <f>Table1[[#This Row],[Population]]/Table1[[#This Row],[Deaths]]</f>
        <v>4529.0608695652172</v>
      </c>
      <c r="L38" s="9">
        <f>Table1[[#This Row],[Deaths]]+Table1[[#This Row],[Active]]*Table1[[#This Row],[Death Rate]]</f>
        <v>651.50703946063845</v>
      </c>
      <c r="M38" s="10">
        <f>Table1[[#This Row],[Deaths]]/Table1[[#This Row],[Cases]]</f>
        <v>4.5607773150902239E-2</v>
      </c>
      <c r="N38" s="11">
        <f>Table1[[#This Row],[Cases]]/Table1[[#This Row],[Deaths]]</f>
        <v>21.92608695652174</v>
      </c>
      <c r="O38" s="12">
        <f>Table1[[#This Row],[Cases]]/Table1[[#This Row],[Population]]</f>
        <v>4.8411994424412781E-3</v>
      </c>
      <c r="P38" s="12">
        <f>Table1[[#This Row],[Deaths]]/Table1[[#This Row],[Population]]</f>
        <v>2.2079632594913622E-4</v>
      </c>
      <c r="Q38" s="13">
        <f>1-Table1[[#This Row],[Deaths]]/Table1[[#This Row],[Ex(Deaths)]]</f>
        <v>0.29394469723486172</v>
      </c>
      <c r="R38" s="14">
        <f>Table1[[#This Row],[Active]]/Table1[[#This Row],[Cases]]</f>
        <v>0.41631965100138807</v>
      </c>
      <c r="S38" s="12">
        <f>Table1[[#This Row],[Percent Infected]]*Table1[[#This Row],[% Active]]</f>
        <v>2.0154864623052673E-3</v>
      </c>
      <c r="T38" s="8">
        <f>1/Table1[[#This Row],[Percent Actively Infected]]</f>
        <v>496.15813288878303</v>
      </c>
      <c r="AMC38"/>
    </row>
    <row r="39" spans="1:1017" s="1" customFormat="1" ht="16.5" thickBot="1" x14ac:dyDescent="0.3">
      <c r="A39" s="1">
        <v>38</v>
      </c>
      <c r="B39" s="51">
        <v>15</v>
      </c>
      <c r="C39" s="42" t="s">
        <v>108</v>
      </c>
      <c r="D39" s="47">
        <v>240795</v>
      </c>
      <c r="E39" s="47">
        <v>8269</v>
      </c>
      <c r="F39" s="47">
        <v>119667</v>
      </c>
      <c r="G39" s="47">
        <v>112859</v>
      </c>
      <c r="H39" s="47">
        <v>1493</v>
      </c>
      <c r="I39" s="42">
        <v>50918491</v>
      </c>
      <c r="J39" s="8">
        <f>Table1[[#This Row],[Population]]/Table1[[#This Row],[Cases]]</f>
        <v>211.45991818767001</v>
      </c>
      <c r="K39" s="8">
        <f>Table1[[#This Row],[Population]]/Table1[[#This Row],[Deaths]]</f>
        <v>6157.7568025154187</v>
      </c>
      <c r="L39" s="9">
        <f>Table1[[#This Row],[Deaths]]+Table1[[#This Row],[Active]]*Table1[[#This Row],[Death Rate]]</f>
        <v>12144.624788720696</v>
      </c>
      <c r="M39" s="10">
        <f>Table1[[#This Row],[Deaths]]/Table1[[#This Row],[Cases]]</f>
        <v>3.4340414045142133E-2</v>
      </c>
      <c r="N39" s="11">
        <f>Table1[[#This Row],[Cases]]/Table1[[#This Row],[Deaths]]</f>
        <v>29.120208005804813</v>
      </c>
      <c r="O39" s="12">
        <f>Table1[[#This Row],[Cases]]/Table1[[#This Row],[Population]]</f>
        <v>4.7290285959181314E-3</v>
      </c>
      <c r="P39" s="12">
        <f>Table1[[#This Row],[Deaths]]/Table1[[#This Row],[Population]]</f>
        <v>1.6239680001514577E-4</v>
      </c>
      <c r="Q39" s="13">
        <f>1-Table1[[#This Row],[Deaths]]/Table1[[#This Row],[Ex(Deaths)]]</f>
        <v>0.31912264529738099</v>
      </c>
      <c r="R39" s="14">
        <f>Table1[[#This Row],[Active]]/Table1[[#This Row],[Cases]]</f>
        <v>0.46869328682073963</v>
      </c>
      <c r="S39" s="12">
        <f>Table1[[#This Row],[Percent Infected]]*Table1[[#This Row],[% Active]]</f>
        <v>2.2164639560901364E-3</v>
      </c>
      <c r="T39" s="8">
        <f>1/Table1[[#This Row],[Percent Actively Infected]]</f>
        <v>451.1690782303582</v>
      </c>
      <c r="AMC39"/>
    </row>
    <row r="40" spans="1:1017" s="1" customFormat="1" ht="16.5" thickBot="1" x14ac:dyDescent="0.3">
      <c r="A40" s="1">
        <v>39</v>
      </c>
      <c r="B40" s="51">
        <v>29</v>
      </c>
      <c r="C40" s="42" t="s">
        <v>65</v>
      </c>
      <c r="D40" s="47">
        <v>80036</v>
      </c>
      <c r="E40" s="47">
        <v>5507</v>
      </c>
      <c r="F40" s="47">
        <v>34544</v>
      </c>
      <c r="G40" s="47">
        <v>39985</v>
      </c>
      <c r="H40" s="48">
        <v>278</v>
      </c>
      <c r="I40" s="42">
        <v>17660035</v>
      </c>
      <c r="J40" s="8">
        <f>Table1[[#This Row],[Population]]/Table1[[#This Row],[Cases]]</f>
        <v>220.65114448498176</v>
      </c>
      <c r="K40" s="8">
        <f>Table1[[#This Row],[Population]]/Table1[[#This Row],[Deaths]]</f>
        <v>3206.8340294171053</v>
      </c>
      <c r="L40" s="9">
        <f>Table1[[#This Row],[Deaths]]+Table1[[#This Row],[Active]]*Table1[[#This Row],[Death Rate]]</f>
        <v>8258.2293842770741</v>
      </c>
      <c r="M40" s="10">
        <f>Table1[[#This Row],[Deaths]]/Table1[[#This Row],[Cases]]</f>
        <v>6.880653705832375E-2</v>
      </c>
      <c r="N40" s="11">
        <f>Table1[[#This Row],[Cases]]/Table1[[#This Row],[Deaths]]</f>
        <v>14.533502814599601</v>
      </c>
      <c r="O40" s="12">
        <f>Table1[[#This Row],[Cases]]/Table1[[#This Row],[Population]]</f>
        <v>4.5320408481636645E-3</v>
      </c>
      <c r="P40" s="12">
        <f>Table1[[#This Row],[Deaths]]/Table1[[#This Row],[Population]]</f>
        <v>3.1183403656901017E-4</v>
      </c>
      <c r="Q40" s="13">
        <f>1-Table1[[#This Row],[Deaths]]/Table1[[#This Row],[Ex(Deaths)]]</f>
        <v>0.33315003207771965</v>
      </c>
      <c r="R40" s="14">
        <f>Table1[[#This Row],[Active]]/Table1[[#This Row],[Cases]]</f>
        <v>0.49958768554150634</v>
      </c>
      <c r="S40" s="12">
        <f>Table1[[#This Row],[Percent Infected]]*Table1[[#This Row],[% Active]]</f>
        <v>2.2641517981136505E-3</v>
      </c>
      <c r="T40" s="8">
        <f>1/Table1[[#This Row],[Percent Actively Infected]]</f>
        <v>441.66649993747654</v>
      </c>
      <c r="AMC40"/>
    </row>
    <row r="41" spans="1:1017" s="1" customFormat="1" ht="16.5" thickBot="1" x14ac:dyDescent="0.3">
      <c r="A41" s="1">
        <v>40</v>
      </c>
      <c r="B41" s="51">
        <v>10</v>
      </c>
      <c r="C41" s="42" t="s">
        <v>40</v>
      </c>
      <c r="D41" s="47">
        <v>298681</v>
      </c>
      <c r="E41" s="47">
        <v>45738</v>
      </c>
      <c r="F41" s="48" t="s">
        <v>41</v>
      </c>
      <c r="G41" s="48" t="s">
        <v>41</v>
      </c>
      <c r="H41" s="48">
        <v>104</v>
      </c>
      <c r="I41" s="42">
        <v>67910360</v>
      </c>
      <c r="J41" s="8">
        <f>Table1[[#This Row],[Population]]/Table1[[#This Row],[Cases]]</f>
        <v>227.36752588882453</v>
      </c>
      <c r="K41" s="8">
        <f>Table1[[#This Row],[Population]]/Table1[[#This Row],[Deaths]]</f>
        <v>1484.7689011325374</v>
      </c>
      <c r="L41" s="9" t="e">
        <f>Table1[[#This Row],[Deaths]]+Table1[[#This Row],[Active]]*Table1[[#This Row],[Death Rate]]</f>
        <v>#VALUE!</v>
      </c>
      <c r="M41" s="10">
        <f>Table1[[#This Row],[Deaths]]/Table1[[#This Row],[Cases]]</f>
        <v>0.15313327597001483</v>
      </c>
      <c r="N41" s="11">
        <f>Table1[[#This Row],[Cases]]/Table1[[#This Row],[Deaths]]</f>
        <v>6.5302593029865754</v>
      </c>
      <c r="O41" s="12">
        <f>Table1[[#This Row],[Cases]]/Table1[[#This Row],[Population]]</f>
        <v>4.3981654640028412E-3</v>
      </c>
      <c r="P41" s="12">
        <f>Table1[[#This Row],[Deaths]]/Table1[[#This Row],[Population]]</f>
        <v>6.7350548576093541E-4</v>
      </c>
      <c r="Q41" s="13" t="e">
        <f>1-Table1[[#This Row],[Deaths]]/Table1[[#This Row],[Ex(Deaths)]]</f>
        <v>#VALUE!</v>
      </c>
      <c r="R41" s="14" t="e">
        <f>Table1[[#This Row],[Active]]/Table1[[#This Row],[Cases]]</f>
        <v>#VALUE!</v>
      </c>
      <c r="S41" s="12" t="e">
        <f>Table1[[#This Row],[Percent Infected]]*Table1[[#This Row],[% Active]]</f>
        <v>#VALUE!</v>
      </c>
      <c r="T41" s="8" t="e">
        <f>1/Table1[[#This Row],[Percent Actively Infected]]</f>
        <v>#VALUE!</v>
      </c>
      <c r="AMC41"/>
    </row>
    <row r="42" spans="1:1017" s="1" customFormat="1" ht="16.5" thickBot="1" x14ac:dyDescent="0.3">
      <c r="A42" s="1">
        <v>41</v>
      </c>
      <c r="B42" s="51">
        <v>174</v>
      </c>
      <c r="C42" s="42" t="s">
        <v>39</v>
      </c>
      <c r="D42" s="48">
        <v>214</v>
      </c>
      <c r="E42" s="48"/>
      <c r="F42" s="48">
        <v>188</v>
      </c>
      <c r="G42" s="48">
        <v>26</v>
      </c>
      <c r="H42" s="48">
        <v>2</v>
      </c>
      <c r="I42" s="42">
        <v>48876</v>
      </c>
      <c r="J42" s="8">
        <f>Table1[[#This Row],[Population]]/Table1[[#This Row],[Cases]]</f>
        <v>228.39252336448598</v>
      </c>
      <c r="K42" s="8" t="e">
        <f>Table1[[#This Row],[Population]]/Table1[[#This Row],[Deaths]]</f>
        <v>#DIV/0!</v>
      </c>
      <c r="L42" s="9">
        <f>Table1[[#This Row],[Deaths]]+Table1[[#This Row],[Active]]*Table1[[#This Row],[Death Rate]]</f>
        <v>0</v>
      </c>
      <c r="M42" s="10">
        <f>Table1[[#This Row],[Deaths]]/Table1[[#This Row],[Cases]]</f>
        <v>0</v>
      </c>
      <c r="N42" s="11" t="e">
        <f>Table1[[#This Row],[Cases]]/Table1[[#This Row],[Deaths]]</f>
        <v>#DIV/0!</v>
      </c>
      <c r="O42" s="12">
        <f>Table1[[#This Row],[Cases]]/Table1[[#This Row],[Population]]</f>
        <v>4.3784270398559621E-3</v>
      </c>
      <c r="P42" s="12">
        <f>Table1[[#This Row],[Deaths]]/Table1[[#This Row],[Population]]</f>
        <v>0</v>
      </c>
      <c r="Q42" s="13" t="e">
        <f>1-Table1[[#This Row],[Deaths]]/Table1[[#This Row],[Ex(Deaths)]]</f>
        <v>#DIV/0!</v>
      </c>
      <c r="R42" s="14">
        <f>Table1[[#This Row],[Active]]/Table1[[#This Row],[Cases]]</f>
        <v>0.12149532710280374</v>
      </c>
      <c r="S42" s="12">
        <f>Table1[[#This Row],[Percent Infected]]*Table1[[#This Row],[% Active]]</f>
        <v>5.3195842540306078E-4</v>
      </c>
      <c r="T42" s="8">
        <f>1/Table1[[#This Row],[Percent Actively Infected]]</f>
        <v>1879.846153846154</v>
      </c>
      <c r="AMC42"/>
    </row>
    <row r="43" spans="1:1017" s="1" customFormat="1" ht="16.5" thickBot="1" x14ac:dyDescent="0.3">
      <c r="A43" s="1">
        <v>42</v>
      </c>
      <c r="B43" s="51">
        <v>112</v>
      </c>
      <c r="C43" s="42" t="s">
        <v>103</v>
      </c>
      <c r="D43" s="47">
        <v>2747</v>
      </c>
      <c r="E43" s="48">
        <v>43</v>
      </c>
      <c r="F43" s="48">
        <v>664</v>
      </c>
      <c r="G43" s="47">
        <v>2040</v>
      </c>
      <c r="H43" s="48">
        <v>7</v>
      </c>
      <c r="I43" s="42">
        <v>628072</v>
      </c>
      <c r="J43" s="8">
        <f>Table1[[#This Row],[Population]]/Table1[[#This Row],[Cases]]</f>
        <v>228.63924281033854</v>
      </c>
      <c r="K43" s="8">
        <f>Table1[[#This Row],[Population]]/Table1[[#This Row],[Deaths]]</f>
        <v>14606.325581395349</v>
      </c>
      <c r="L43" s="9">
        <f>Table1[[#This Row],[Deaths]]+Table1[[#This Row],[Active]]*Table1[[#This Row],[Death Rate]]</f>
        <v>74.93301783764106</v>
      </c>
      <c r="M43" s="10">
        <f>Table1[[#This Row],[Deaths]]/Table1[[#This Row],[Cases]]</f>
        <v>1.5653440116490717E-2</v>
      </c>
      <c r="N43" s="11">
        <f>Table1[[#This Row],[Cases]]/Table1[[#This Row],[Deaths]]</f>
        <v>63.883720930232556</v>
      </c>
      <c r="O43" s="12">
        <f>Table1[[#This Row],[Cases]]/Table1[[#This Row],[Population]]</f>
        <v>4.3737023780713036E-3</v>
      </c>
      <c r="P43" s="12">
        <f>Table1[[#This Row],[Deaths]]/Table1[[#This Row],[Population]]</f>
        <v>6.8463488262492203E-5</v>
      </c>
      <c r="Q43" s="13">
        <f>1-Table1[[#This Row],[Deaths]]/Table1[[#This Row],[Ex(Deaths)]]</f>
        <v>0.42615416753707958</v>
      </c>
      <c r="R43" s="14">
        <f>Table1[[#This Row],[Active]]/Table1[[#This Row],[Cases]]</f>
        <v>0.74262832180560612</v>
      </c>
      <c r="S43" s="12">
        <f>Table1[[#This Row],[Percent Infected]]*Table1[[#This Row],[% Active]]</f>
        <v>3.2480352571042808E-3</v>
      </c>
      <c r="T43" s="8">
        <f>1/Table1[[#This Row],[Percent Actively Infected]]</f>
        <v>307.87843137254902</v>
      </c>
      <c r="AMC43"/>
    </row>
    <row r="44" spans="1:1017" s="1" customFormat="1" ht="16.5" thickBot="1" x14ac:dyDescent="0.3">
      <c r="A44" s="1">
        <v>43</v>
      </c>
      <c r="B44" s="51">
        <v>27</v>
      </c>
      <c r="C44" s="42" t="s">
        <v>106</v>
      </c>
      <c r="D44" s="47">
        <v>81720</v>
      </c>
      <c r="E44" s="48">
        <v>585</v>
      </c>
      <c r="F44" s="47">
        <v>51823</v>
      </c>
      <c r="G44" s="47">
        <v>29312</v>
      </c>
      <c r="H44" s="48">
        <v>221</v>
      </c>
      <c r="I44" s="42">
        <v>18791305</v>
      </c>
      <c r="J44" s="8">
        <f>Table1[[#This Row],[Population]]/Table1[[#This Row],[Cases]]</f>
        <v>229.94744248653942</v>
      </c>
      <c r="K44" s="8">
        <f>Table1[[#This Row],[Population]]/Table1[[#This Row],[Deaths]]</f>
        <v>32121.888888888891</v>
      </c>
      <c r="L44" s="9">
        <f>Table1[[#This Row],[Deaths]]+Table1[[#This Row],[Active]]*Table1[[#This Row],[Death Rate]]</f>
        <v>794.83259911894277</v>
      </c>
      <c r="M44" s="10">
        <f>Table1[[#This Row],[Deaths]]/Table1[[#This Row],[Cases]]</f>
        <v>7.1585903083700442E-3</v>
      </c>
      <c r="N44" s="11">
        <f>Table1[[#This Row],[Cases]]/Table1[[#This Row],[Deaths]]</f>
        <v>139.69230769230768</v>
      </c>
      <c r="O44" s="12">
        <f>Table1[[#This Row],[Cases]]/Table1[[#This Row],[Population]]</f>
        <v>4.3488198398142115E-3</v>
      </c>
      <c r="P44" s="12">
        <f>Table1[[#This Row],[Deaths]]/Table1[[#This Row],[Population]]</f>
        <v>3.1131419558141387E-5</v>
      </c>
      <c r="Q44" s="13">
        <f>1-Table1[[#This Row],[Deaths]]/Table1[[#This Row],[Ex(Deaths)]]</f>
        <v>0.26399596512717061</v>
      </c>
      <c r="R44" s="14">
        <f>Table1[[#This Row],[Active]]/Table1[[#This Row],[Cases]]</f>
        <v>0.35868820362212434</v>
      </c>
      <c r="S44" s="12">
        <f>Table1[[#This Row],[Percent Infected]]*Table1[[#This Row],[% Active]]</f>
        <v>1.5598703762192141E-3</v>
      </c>
      <c r="T44" s="8">
        <f>1/Table1[[#This Row],[Percent Actively Infected]]</f>
        <v>641.07890966157208</v>
      </c>
      <c r="AMC44"/>
    </row>
    <row r="45" spans="1:1017" s="1" customFormat="1" ht="16.5" thickBot="1" x14ac:dyDescent="0.3">
      <c r="A45" s="1">
        <v>44</v>
      </c>
      <c r="B45" s="51">
        <v>14</v>
      </c>
      <c r="C45" s="42" t="s">
        <v>42</v>
      </c>
      <c r="D45" s="47">
        <v>245864</v>
      </c>
      <c r="E45" s="47">
        <v>35102</v>
      </c>
      <c r="F45" s="47">
        <v>198320</v>
      </c>
      <c r="G45" s="47">
        <v>12442</v>
      </c>
      <c r="H45" s="48">
        <v>41</v>
      </c>
      <c r="I45" s="42">
        <v>60455471</v>
      </c>
      <c r="J45" s="8">
        <f>Table1[[#This Row],[Population]]/Table1[[#This Row],[Cases]]</f>
        <v>245.88988627859305</v>
      </c>
      <c r="K45" s="8">
        <f>Table1[[#This Row],[Population]]/Table1[[#This Row],[Deaths]]</f>
        <v>1722.2799555580877</v>
      </c>
      <c r="L45" s="9">
        <f>Table1[[#This Row],[Deaths]]+Table1[[#This Row],[Active]]*Table1[[#This Row],[Death Rate]]</f>
        <v>36878.344174014899</v>
      </c>
      <c r="M45" s="10">
        <f>Table1[[#This Row],[Deaths]]/Table1[[#This Row],[Cases]]</f>
        <v>0.1427699866592913</v>
      </c>
      <c r="N45" s="11">
        <f>Table1[[#This Row],[Cases]]/Table1[[#This Row],[Deaths]]</f>
        <v>7.0042732607828615</v>
      </c>
      <c r="O45" s="12">
        <f>Table1[[#This Row],[Cases]]/Table1[[#This Row],[Population]]</f>
        <v>4.0668610455454066E-3</v>
      </c>
      <c r="P45" s="12">
        <f>Table1[[#This Row],[Deaths]]/Table1[[#This Row],[Population]]</f>
        <v>5.8062569721770922E-4</v>
      </c>
      <c r="Q45" s="13">
        <f>1-Table1[[#This Row],[Deaths]]/Table1[[#This Row],[Ex(Deaths)]]</f>
        <v>4.8167677096157213E-2</v>
      </c>
      <c r="R45" s="14">
        <f>Table1[[#This Row],[Active]]/Table1[[#This Row],[Cases]]</f>
        <v>5.0605212637881106E-2</v>
      </c>
      <c r="S45" s="12">
        <f>Table1[[#This Row],[Percent Infected]]*Table1[[#This Row],[% Active]]</f>
        <v>2.0580436797854078E-4</v>
      </c>
      <c r="T45" s="8">
        <f>1/Table1[[#This Row],[Percent Actively Infected]]</f>
        <v>4858.9833628034075</v>
      </c>
      <c r="AMC45"/>
    </row>
    <row r="46" spans="1:1017" s="1" customFormat="1" ht="16.5" thickBot="1" x14ac:dyDescent="0.3">
      <c r="A46" s="1">
        <v>45</v>
      </c>
      <c r="B46" s="51">
        <v>119</v>
      </c>
      <c r="C46" s="42" t="s">
        <v>94</v>
      </c>
      <c r="D46" s="47">
        <v>2258</v>
      </c>
      <c r="E46" s="48">
        <v>22</v>
      </c>
      <c r="F46" s="47">
        <v>1363</v>
      </c>
      <c r="G46" s="48">
        <v>873</v>
      </c>
      <c r="H46" s="48"/>
      <c r="I46" s="42">
        <v>556383</v>
      </c>
      <c r="J46" s="8">
        <f>Table1[[#This Row],[Population]]/Table1[[#This Row],[Cases]]</f>
        <v>246.40522586359612</v>
      </c>
      <c r="K46" s="8">
        <f>Table1[[#This Row],[Population]]/Table1[[#This Row],[Deaths]]</f>
        <v>25290.136363636364</v>
      </c>
      <c r="L46" s="9">
        <f>Table1[[#This Row],[Deaths]]+Table1[[#This Row],[Active]]*Table1[[#This Row],[Death Rate]]</f>
        <v>30.505757307351637</v>
      </c>
      <c r="M46" s="10">
        <f>Table1[[#This Row],[Deaths]]/Table1[[#This Row],[Cases]]</f>
        <v>9.7431355181576609E-3</v>
      </c>
      <c r="N46" s="11">
        <f>Table1[[#This Row],[Cases]]/Table1[[#This Row],[Deaths]]</f>
        <v>102.63636363636364</v>
      </c>
      <c r="O46" s="12">
        <f>Table1[[#This Row],[Cases]]/Table1[[#This Row],[Population]]</f>
        <v>4.058355485340134E-3</v>
      </c>
      <c r="P46" s="12">
        <f>Table1[[#This Row],[Deaths]]/Table1[[#This Row],[Population]]</f>
        <v>3.954110747452744E-5</v>
      </c>
      <c r="Q46" s="13">
        <f>1-Table1[[#This Row],[Deaths]]/Table1[[#This Row],[Ex(Deaths)]]</f>
        <v>0.2788246566592143</v>
      </c>
      <c r="R46" s="14">
        <f>Table1[[#This Row],[Active]]/Table1[[#This Row],[Cases]]</f>
        <v>0.38662533215234723</v>
      </c>
      <c r="S46" s="12">
        <f>Table1[[#This Row],[Percent Infected]]*Table1[[#This Row],[% Active]]</f>
        <v>1.5690630375119296E-3</v>
      </c>
      <c r="T46" s="8">
        <f>1/Table1[[#This Row],[Percent Actively Infected]]</f>
        <v>637.32302405498285</v>
      </c>
      <c r="AMC46"/>
    </row>
    <row r="47" spans="1:1017" s="1" customFormat="1" ht="16.5" thickBot="1" x14ac:dyDescent="0.3">
      <c r="A47" s="1">
        <v>46</v>
      </c>
      <c r="B47" s="51">
        <v>52</v>
      </c>
      <c r="C47" s="42" t="s">
        <v>46</v>
      </c>
      <c r="D47" s="47">
        <v>34412</v>
      </c>
      <c r="E47" s="47">
        <v>1977</v>
      </c>
      <c r="F47" s="47">
        <v>30700</v>
      </c>
      <c r="G47" s="47">
        <v>1735</v>
      </c>
      <c r="H47" s="48">
        <v>20</v>
      </c>
      <c r="I47" s="42">
        <v>8658880</v>
      </c>
      <c r="J47" s="8">
        <f>Table1[[#This Row],[Population]]/Table1[[#This Row],[Cases]]</f>
        <v>251.62385214460073</v>
      </c>
      <c r="K47" s="8">
        <f>Table1[[#This Row],[Population]]/Table1[[#This Row],[Deaths]]</f>
        <v>4379.8077895801716</v>
      </c>
      <c r="L47" s="9">
        <f>Table1[[#This Row],[Deaths]]+Table1[[#This Row],[Active]]*Table1[[#This Row],[Death Rate]]</f>
        <v>2076.6772928048354</v>
      </c>
      <c r="M47" s="10">
        <f>Table1[[#This Row],[Deaths]]/Table1[[#This Row],[Cases]]</f>
        <v>5.7450889224689064E-2</v>
      </c>
      <c r="N47" s="11">
        <f>Table1[[#This Row],[Cases]]/Table1[[#This Row],[Deaths]]</f>
        <v>17.406170966110267</v>
      </c>
      <c r="O47" s="12">
        <f>Table1[[#This Row],[Cases]]/Table1[[#This Row],[Population]]</f>
        <v>3.9741860379171436E-3</v>
      </c>
      <c r="P47" s="12">
        <f>Table1[[#This Row],[Deaths]]/Table1[[#This Row],[Population]]</f>
        <v>2.2832052182268376E-4</v>
      </c>
      <c r="Q47" s="13">
        <f>1-Table1[[#This Row],[Deaths]]/Table1[[#This Row],[Ex(Deaths)]]</f>
        <v>4.799845077046494E-2</v>
      </c>
      <c r="R47" s="14">
        <f>Table1[[#This Row],[Active]]/Table1[[#This Row],[Cases]]</f>
        <v>5.0418458677205624E-2</v>
      </c>
      <c r="S47" s="12">
        <f>Table1[[#This Row],[Percent Infected]]*Table1[[#This Row],[% Active]]</f>
        <v>2.0037233452825304E-4</v>
      </c>
      <c r="T47" s="8">
        <f>1/Table1[[#This Row],[Percent Actively Infected]]</f>
        <v>4990.7089337175803</v>
      </c>
      <c r="AMC47"/>
    </row>
    <row r="48" spans="1:1017" s="1" customFormat="1" ht="16.5" thickBot="1" x14ac:dyDescent="0.3">
      <c r="A48" s="1">
        <v>47</v>
      </c>
      <c r="B48" s="52">
        <v>167</v>
      </c>
      <c r="C48" s="42" t="s">
        <v>37</v>
      </c>
      <c r="D48" s="49">
        <v>336</v>
      </c>
      <c r="E48" s="49">
        <v>24</v>
      </c>
      <c r="F48" s="49">
        <v>312</v>
      </c>
      <c r="G48" s="49">
        <v>0</v>
      </c>
      <c r="H48" s="49"/>
      <c r="I48" s="42">
        <v>85064</v>
      </c>
      <c r="J48" s="8">
        <f>Table1[[#This Row],[Population]]/Table1[[#This Row],[Cases]]</f>
        <v>253.16666666666666</v>
      </c>
      <c r="K48" s="8">
        <f>Table1[[#This Row],[Population]]/Table1[[#This Row],[Deaths]]</f>
        <v>3544.3333333333335</v>
      </c>
      <c r="L48" s="9">
        <f>Table1[[#This Row],[Deaths]]+Table1[[#This Row],[Active]]*Table1[[#This Row],[Death Rate]]</f>
        <v>24</v>
      </c>
      <c r="M48" s="10">
        <f>Table1[[#This Row],[Deaths]]/Table1[[#This Row],[Cases]]</f>
        <v>7.1428571428571425E-2</v>
      </c>
      <c r="N48" s="11">
        <f>Table1[[#This Row],[Cases]]/Table1[[#This Row],[Deaths]]</f>
        <v>14</v>
      </c>
      <c r="O48" s="12">
        <f>Table1[[#This Row],[Cases]]/Table1[[#This Row],[Population]]</f>
        <v>3.9499670836076368E-3</v>
      </c>
      <c r="P48" s="12">
        <f>Table1[[#This Row],[Deaths]]/Table1[[#This Row],[Population]]</f>
        <v>2.8214050597197407E-4</v>
      </c>
      <c r="Q48" s="13">
        <f>1-Table1[[#This Row],[Deaths]]/Table1[[#This Row],[Ex(Deaths)]]</f>
        <v>0</v>
      </c>
      <c r="R48" s="14">
        <f>Table1[[#This Row],[Active]]/Table1[[#This Row],[Cases]]</f>
        <v>0</v>
      </c>
      <c r="S48" s="12">
        <f>Table1[[#This Row],[Percent Infected]]*Table1[[#This Row],[% Active]]</f>
        <v>0</v>
      </c>
      <c r="T48" s="8" t="e">
        <f>1/Table1[[#This Row],[Percent Actively Infected]]</f>
        <v>#DIV/0!</v>
      </c>
      <c r="AMC48"/>
    </row>
    <row r="49" spans="1:1017" s="1" customFormat="1" ht="16.5" thickBot="1" x14ac:dyDescent="0.3">
      <c r="A49" s="1">
        <v>48</v>
      </c>
      <c r="B49" s="51">
        <v>148</v>
      </c>
      <c r="C49" s="42" t="s">
        <v>82</v>
      </c>
      <c r="D49" s="48">
        <v>862</v>
      </c>
      <c r="E49" s="48">
        <v>14</v>
      </c>
      <c r="F49" s="48">
        <v>662</v>
      </c>
      <c r="G49" s="48">
        <v>186</v>
      </c>
      <c r="H49" s="48"/>
      <c r="I49" s="42">
        <v>219410</v>
      </c>
      <c r="J49" s="8">
        <f>Table1[[#This Row],[Population]]/Table1[[#This Row],[Cases]]</f>
        <v>254.53596287703016</v>
      </c>
      <c r="K49" s="8">
        <f>Table1[[#This Row],[Population]]/Table1[[#This Row],[Deaths]]</f>
        <v>15672.142857142857</v>
      </c>
      <c r="L49" s="9">
        <f>Table1[[#This Row],[Deaths]]+Table1[[#This Row],[Active]]*Table1[[#This Row],[Death Rate]]</f>
        <v>17.020881670533644</v>
      </c>
      <c r="M49" s="10">
        <f>Table1[[#This Row],[Deaths]]/Table1[[#This Row],[Cases]]</f>
        <v>1.6241299303944315E-2</v>
      </c>
      <c r="N49" s="11">
        <f>Table1[[#This Row],[Cases]]/Table1[[#This Row],[Deaths]]</f>
        <v>61.571428571428569</v>
      </c>
      <c r="O49" s="12">
        <f>Table1[[#This Row],[Cases]]/Table1[[#This Row],[Population]]</f>
        <v>3.928717925345244E-3</v>
      </c>
      <c r="P49" s="12">
        <f>Table1[[#This Row],[Deaths]]/Table1[[#This Row],[Population]]</f>
        <v>6.3807483706303263E-5</v>
      </c>
      <c r="Q49" s="13">
        <f>1-Table1[[#This Row],[Deaths]]/Table1[[#This Row],[Ex(Deaths)]]</f>
        <v>0.1774809160305344</v>
      </c>
      <c r="R49" s="14">
        <f>Table1[[#This Row],[Active]]/Table1[[#This Row],[Cases]]</f>
        <v>0.21577726218097448</v>
      </c>
      <c r="S49" s="12">
        <f>Table1[[#This Row],[Percent Infected]]*Table1[[#This Row],[% Active]]</f>
        <v>8.4772799781231481E-4</v>
      </c>
      <c r="T49" s="8">
        <f>1/Table1[[#This Row],[Percent Actively Infected]]</f>
        <v>1179.6236559139786</v>
      </c>
      <c r="AMC49"/>
    </row>
    <row r="50" spans="1:1017" s="1" customFormat="1" ht="16.5" thickBot="1" x14ac:dyDescent="0.3">
      <c r="A50" s="1">
        <v>49</v>
      </c>
      <c r="B50" s="51">
        <v>49</v>
      </c>
      <c r="C50" s="42" t="s">
        <v>110</v>
      </c>
      <c r="D50" s="47">
        <v>38438</v>
      </c>
      <c r="E50" s="47">
        <v>1098</v>
      </c>
      <c r="F50" s="47">
        <v>4713</v>
      </c>
      <c r="G50" s="47">
        <v>32627</v>
      </c>
      <c r="H50" s="48">
        <v>51</v>
      </c>
      <c r="I50" s="42">
        <v>9914535</v>
      </c>
      <c r="J50" s="8">
        <f>Table1[[#This Row],[Population]]/Table1[[#This Row],[Cases]]</f>
        <v>257.93576668921378</v>
      </c>
      <c r="K50" s="8">
        <f>Table1[[#This Row],[Population]]/Table1[[#This Row],[Deaths]]</f>
        <v>9029.6311475409839</v>
      </c>
      <c r="L50" s="9">
        <f>Table1[[#This Row],[Deaths]]+Table1[[#This Row],[Active]]*Table1[[#This Row],[Death Rate]]</f>
        <v>2030.0059836620012</v>
      </c>
      <c r="M50" s="10">
        <f>Table1[[#This Row],[Deaths]]/Table1[[#This Row],[Cases]]</f>
        <v>2.8565482075029919E-2</v>
      </c>
      <c r="N50" s="11">
        <f>Table1[[#This Row],[Cases]]/Table1[[#This Row],[Deaths]]</f>
        <v>35.007285974499091</v>
      </c>
      <c r="O50" s="12">
        <f>Table1[[#This Row],[Cases]]/Table1[[#This Row],[Population]]</f>
        <v>3.8769342182966727E-3</v>
      </c>
      <c r="P50" s="12">
        <f>Table1[[#This Row],[Deaths]]/Table1[[#This Row],[Population]]</f>
        <v>1.1074649491882372E-4</v>
      </c>
      <c r="Q50" s="13">
        <f>1-Table1[[#This Row],[Deaths]]/Table1[[#This Row],[Ex(Deaths)]]</f>
        <v>0.45911489481460632</v>
      </c>
      <c r="R50" s="14">
        <f>Table1[[#This Row],[Active]]/Table1[[#This Row],[Cases]]</f>
        <v>0.84882147874499192</v>
      </c>
      <c r="S50" s="12">
        <f>Table1[[#This Row],[Percent Infected]]*Table1[[#This Row],[% Active]]</f>
        <v>3.290825036171641E-3</v>
      </c>
      <c r="T50" s="8">
        <f>1/Table1[[#This Row],[Percent Actively Infected]]</f>
        <v>303.87516474085879</v>
      </c>
      <c r="AMC50"/>
    </row>
    <row r="51" spans="1:1017" s="1" customFormat="1" ht="16.5" thickBot="1" x14ac:dyDescent="0.3">
      <c r="A51" s="1">
        <v>50</v>
      </c>
      <c r="B51" s="53">
        <v>205</v>
      </c>
      <c r="C51" s="42" t="s">
        <v>43</v>
      </c>
      <c r="D51" s="50">
        <v>13</v>
      </c>
      <c r="E51" s="50"/>
      <c r="F51" s="50">
        <v>13</v>
      </c>
      <c r="G51" s="50">
        <v>0</v>
      </c>
      <c r="H51" s="50"/>
      <c r="I51" s="42">
        <v>3486</v>
      </c>
      <c r="J51" s="8">
        <f>Table1[[#This Row],[Population]]/Table1[[#This Row],[Cases]]</f>
        <v>268.15384615384613</v>
      </c>
      <c r="K51" s="8" t="e">
        <f>Table1[[#This Row],[Population]]/Table1[[#This Row],[Deaths]]</f>
        <v>#DIV/0!</v>
      </c>
      <c r="L51" s="9">
        <f>Table1[[#This Row],[Deaths]]+Table1[[#This Row],[Active]]*Table1[[#This Row],[Death Rate]]</f>
        <v>0</v>
      </c>
      <c r="M51" s="10">
        <f>Table1[[#This Row],[Deaths]]/Table1[[#This Row],[Cases]]</f>
        <v>0</v>
      </c>
      <c r="N51" s="11" t="e">
        <f>Table1[[#This Row],[Cases]]/Table1[[#This Row],[Deaths]]</f>
        <v>#DIV/0!</v>
      </c>
      <c r="O51" s="12">
        <f>Table1[[#This Row],[Cases]]/Table1[[#This Row],[Population]]</f>
        <v>3.7292025243832474E-3</v>
      </c>
      <c r="P51" s="12">
        <f>Table1[[#This Row],[Deaths]]/Table1[[#This Row],[Population]]</f>
        <v>0</v>
      </c>
      <c r="Q51" s="13" t="e">
        <f>1-Table1[[#This Row],[Deaths]]/Table1[[#This Row],[Ex(Deaths)]]</f>
        <v>#DIV/0!</v>
      </c>
      <c r="R51" s="14">
        <f>Table1[[#This Row],[Active]]/Table1[[#This Row],[Cases]]</f>
        <v>0</v>
      </c>
      <c r="S51" s="12">
        <f>Table1[[#This Row],[Percent Infected]]*Table1[[#This Row],[% Active]]</f>
        <v>0</v>
      </c>
      <c r="T51" s="8" t="e">
        <f>1/Table1[[#This Row],[Percent Actively Infected]]</f>
        <v>#DIV/0!</v>
      </c>
      <c r="AMC51"/>
    </row>
    <row r="52" spans="1:1017" s="1" customFormat="1" ht="16.5" thickBot="1" x14ac:dyDescent="0.3">
      <c r="A52" s="1">
        <v>51</v>
      </c>
      <c r="B52" s="51">
        <v>20</v>
      </c>
      <c r="C52" s="42" t="s">
        <v>126</v>
      </c>
      <c r="D52" s="47">
        <v>158334</v>
      </c>
      <c r="E52" s="47">
        <v>2893</v>
      </c>
      <c r="F52" s="47">
        <v>68022</v>
      </c>
      <c r="G52" s="47">
        <v>87419</v>
      </c>
      <c r="H52" s="48">
        <v>955</v>
      </c>
      <c r="I52" s="42">
        <v>45223300</v>
      </c>
      <c r="J52" s="8">
        <f>Table1[[#This Row],[Population]]/Table1[[#This Row],[Cases]]</f>
        <v>285.61963949625476</v>
      </c>
      <c r="K52" s="8">
        <f>Table1[[#This Row],[Population]]/Table1[[#This Row],[Deaths]]</f>
        <v>15631.973729692361</v>
      </c>
      <c r="L52" s="9">
        <f>Table1[[#This Row],[Deaths]]+Table1[[#This Row],[Active]]*Table1[[#This Row],[Death Rate]]</f>
        <v>4490.276434625539</v>
      </c>
      <c r="M52" s="10">
        <f>Table1[[#This Row],[Deaths]]/Table1[[#This Row],[Cases]]</f>
        <v>1.8271502014728359E-2</v>
      </c>
      <c r="N52" s="11">
        <f>Table1[[#This Row],[Cases]]/Table1[[#This Row],[Deaths]]</f>
        <v>54.730038022813687</v>
      </c>
      <c r="O52" s="12">
        <f>Table1[[#This Row],[Cases]]/Table1[[#This Row],[Population]]</f>
        <v>3.5011598003683942E-3</v>
      </c>
      <c r="P52" s="12">
        <f>Table1[[#This Row],[Deaths]]/Table1[[#This Row],[Population]]</f>
        <v>6.3971448346317051E-5</v>
      </c>
      <c r="Q52" s="13">
        <f>1-Table1[[#This Row],[Deaths]]/Table1[[#This Row],[Ex(Deaths)]]</f>
        <v>0.35571895358347616</v>
      </c>
      <c r="R52" s="14">
        <f>Table1[[#This Row],[Active]]/Table1[[#This Row],[Cases]]</f>
        <v>0.5521176752939988</v>
      </c>
      <c r="S52" s="12">
        <f>Table1[[#This Row],[Percent Infected]]*Table1[[#This Row],[% Active]]</f>
        <v>1.9330522098121986E-3</v>
      </c>
      <c r="T52" s="8">
        <f>1/Table1[[#This Row],[Percent Actively Infected]]</f>
        <v>517.31660165410267</v>
      </c>
      <c r="AMC52"/>
    </row>
    <row r="53" spans="1:1017" s="1" customFormat="1" ht="16.5" thickBot="1" x14ac:dyDescent="0.3">
      <c r="A53" s="1">
        <v>52</v>
      </c>
      <c r="B53" s="51">
        <v>11</v>
      </c>
      <c r="C53" s="42" t="s">
        <v>74</v>
      </c>
      <c r="D53" s="47">
        <v>291172</v>
      </c>
      <c r="E53" s="47">
        <v>15700</v>
      </c>
      <c r="F53" s="47">
        <v>253213</v>
      </c>
      <c r="G53" s="47">
        <v>22259</v>
      </c>
      <c r="H53" s="47">
        <v>3695</v>
      </c>
      <c r="I53" s="42">
        <v>84062376</v>
      </c>
      <c r="J53" s="8">
        <f>Table1[[#This Row],[Population]]/Table1[[#This Row],[Cases]]</f>
        <v>288.70350171032931</v>
      </c>
      <c r="K53" s="8">
        <f>Table1[[#This Row],[Population]]/Table1[[#This Row],[Deaths]]</f>
        <v>5354.2914649681525</v>
      </c>
      <c r="L53" s="9">
        <f>Table1[[#This Row],[Deaths]]+Table1[[#This Row],[Active]]*Table1[[#This Row],[Death Rate]]</f>
        <v>16900.20572033025</v>
      </c>
      <c r="M53" s="10">
        <f>Table1[[#This Row],[Deaths]]/Table1[[#This Row],[Cases]]</f>
        <v>5.3920019782121908E-2</v>
      </c>
      <c r="N53" s="11">
        <f>Table1[[#This Row],[Cases]]/Table1[[#This Row],[Deaths]]</f>
        <v>18.545987261146497</v>
      </c>
      <c r="O53" s="12">
        <f>Table1[[#This Row],[Cases]]/Table1[[#This Row],[Population]]</f>
        <v>3.4637612431987408E-3</v>
      </c>
      <c r="P53" s="12">
        <f>Table1[[#This Row],[Deaths]]/Table1[[#This Row],[Population]]</f>
        <v>1.8676607475382327E-4</v>
      </c>
      <c r="Q53" s="13">
        <f>1-Table1[[#This Row],[Deaths]]/Table1[[#This Row],[Ex(Deaths)]]</f>
        <v>7.1017225481844415E-2</v>
      </c>
      <c r="R53" s="14">
        <f>Table1[[#This Row],[Active]]/Table1[[#This Row],[Cases]]</f>
        <v>7.6446224224856779E-2</v>
      </c>
      <c r="S53" s="12">
        <f>Table1[[#This Row],[Percent Infected]]*Table1[[#This Row],[% Active]]</f>
        <v>2.6479146865893962E-4</v>
      </c>
      <c r="T53" s="8">
        <f>1/Table1[[#This Row],[Percent Actively Infected]]</f>
        <v>3776.5567186306666</v>
      </c>
      <c r="AMC53"/>
    </row>
    <row r="54" spans="1:1017" s="1" customFormat="1" ht="16.5" thickBot="1" x14ac:dyDescent="0.3">
      <c r="A54" s="1">
        <v>53</v>
      </c>
      <c r="B54" s="51">
        <v>157</v>
      </c>
      <c r="C54" s="42" t="s">
        <v>48</v>
      </c>
      <c r="D54" s="48">
        <v>584</v>
      </c>
      <c r="E54" s="48">
        <v>47</v>
      </c>
      <c r="F54" s="48">
        <v>533</v>
      </c>
      <c r="G54" s="48">
        <v>4</v>
      </c>
      <c r="H54" s="48"/>
      <c r="I54" s="42">
        <v>173969</v>
      </c>
      <c r="J54" s="8">
        <f>Table1[[#This Row],[Population]]/Table1[[#This Row],[Cases]]</f>
        <v>297.89212328767121</v>
      </c>
      <c r="K54" s="8">
        <f>Table1[[#This Row],[Population]]/Table1[[#This Row],[Deaths]]</f>
        <v>3701.4680851063831</v>
      </c>
      <c r="L54" s="9">
        <f>Table1[[#This Row],[Deaths]]+Table1[[#This Row],[Active]]*Table1[[#This Row],[Death Rate]]</f>
        <v>47.321917808219176</v>
      </c>
      <c r="M54" s="10">
        <f>Table1[[#This Row],[Deaths]]/Table1[[#This Row],[Cases]]</f>
        <v>8.0479452054794523E-2</v>
      </c>
      <c r="N54" s="11">
        <f>Table1[[#This Row],[Cases]]/Table1[[#This Row],[Deaths]]</f>
        <v>12.425531914893616</v>
      </c>
      <c r="O54" s="12">
        <f>Table1[[#This Row],[Cases]]/Table1[[#This Row],[Population]]</f>
        <v>3.3569199110186298E-3</v>
      </c>
      <c r="P54" s="12">
        <f>Table1[[#This Row],[Deaths]]/Table1[[#This Row],[Population]]</f>
        <v>2.7016307503060892E-4</v>
      </c>
      <c r="Q54" s="13">
        <f>1-Table1[[#This Row],[Deaths]]/Table1[[#This Row],[Ex(Deaths)]]</f>
        <v>6.8027210884353817E-3</v>
      </c>
      <c r="R54" s="14">
        <f>Table1[[#This Row],[Active]]/Table1[[#This Row],[Cases]]</f>
        <v>6.8493150684931503E-3</v>
      </c>
      <c r="S54" s="12">
        <f>Table1[[#This Row],[Percent Infected]]*Table1[[#This Row],[% Active]]</f>
        <v>2.2992602130264587E-5</v>
      </c>
      <c r="T54" s="8">
        <f>1/Table1[[#This Row],[Percent Actively Infected]]</f>
        <v>43492.25</v>
      </c>
      <c r="AMC54"/>
    </row>
    <row r="55" spans="1:1017" s="1" customFormat="1" ht="16.5" thickBot="1" x14ac:dyDescent="0.3">
      <c r="A55" s="1">
        <v>54</v>
      </c>
      <c r="B55" s="51">
        <v>90</v>
      </c>
      <c r="C55" s="42" t="s">
        <v>88</v>
      </c>
      <c r="D55" s="47">
        <v>6984</v>
      </c>
      <c r="E55" s="48">
        <v>49</v>
      </c>
      <c r="F55" s="47">
        <v>4463</v>
      </c>
      <c r="G55" s="47">
        <v>2472</v>
      </c>
      <c r="H55" s="48">
        <v>11</v>
      </c>
      <c r="I55" s="42">
        <v>2228837</v>
      </c>
      <c r="J55" s="8">
        <f>Table1[[#This Row],[Population]]/Table1[[#This Row],[Cases]]</f>
        <v>319.13473654066439</v>
      </c>
      <c r="K55" s="8">
        <f>Table1[[#This Row],[Population]]/Table1[[#This Row],[Deaths]]</f>
        <v>45486.469387755104</v>
      </c>
      <c r="L55" s="9">
        <f>Table1[[#This Row],[Deaths]]+Table1[[#This Row],[Active]]*Table1[[#This Row],[Death Rate]]</f>
        <v>66.343642611683848</v>
      </c>
      <c r="M55" s="10">
        <f>Table1[[#This Row],[Deaths]]/Table1[[#This Row],[Cases]]</f>
        <v>7.0160366552119132E-3</v>
      </c>
      <c r="N55" s="11">
        <f>Table1[[#This Row],[Cases]]/Table1[[#This Row],[Deaths]]</f>
        <v>142.53061224489795</v>
      </c>
      <c r="O55" s="12">
        <f>Table1[[#This Row],[Cases]]/Table1[[#This Row],[Population]]</f>
        <v>3.1334727483436427E-3</v>
      </c>
      <c r="P55" s="12">
        <f>Table1[[#This Row],[Deaths]]/Table1[[#This Row],[Population]]</f>
        <v>2.1984559660486613E-5</v>
      </c>
      <c r="Q55" s="13">
        <f>1-Table1[[#This Row],[Deaths]]/Table1[[#This Row],[Ex(Deaths)]]</f>
        <v>0.26142131979695427</v>
      </c>
      <c r="R55" s="14">
        <f>Table1[[#This Row],[Active]]/Table1[[#This Row],[Cases]]</f>
        <v>0.35395189003436428</v>
      </c>
      <c r="S55" s="12">
        <f>Table1[[#This Row],[Percent Infected]]*Table1[[#This Row],[% Active]]</f>
        <v>1.1090986016474061E-3</v>
      </c>
      <c r="T55" s="8">
        <f>1/Table1[[#This Row],[Percent Actively Infected]]</f>
        <v>901.63309061488678</v>
      </c>
      <c r="AMC55"/>
    </row>
    <row r="56" spans="1:1017" s="1" customFormat="1" ht="16.5" thickBot="1" x14ac:dyDescent="0.3">
      <c r="A56" s="1">
        <v>55</v>
      </c>
      <c r="B56" s="52">
        <v>176</v>
      </c>
      <c r="C56" s="42" t="s">
        <v>67</v>
      </c>
      <c r="D56" s="49">
        <v>203</v>
      </c>
      <c r="E56" s="49">
        <v>1</v>
      </c>
      <c r="F56" s="49">
        <v>202</v>
      </c>
      <c r="G56" s="49">
        <v>0</v>
      </c>
      <c r="H56" s="49"/>
      <c r="I56" s="42">
        <v>65772</v>
      </c>
      <c r="J56" s="8">
        <f>Table1[[#This Row],[Population]]/Table1[[#This Row],[Cases]]</f>
        <v>324</v>
      </c>
      <c r="K56" s="8">
        <f>Table1[[#This Row],[Population]]/Table1[[#This Row],[Deaths]]</f>
        <v>65772</v>
      </c>
      <c r="L56" s="9">
        <f>Table1[[#This Row],[Deaths]]+Table1[[#This Row],[Active]]*Table1[[#This Row],[Death Rate]]</f>
        <v>1</v>
      </c>
      <c r="M56" s="10">
        <f>Table1[[#This Row],[Deaths]]/Table1[[#This Row],[Cases]]</f>
        <v>4.9261083743842365E-3</v>
      </c>
      <c r="N56" s="11">
        <f>Table1[[#This Row],[Cases]]/Table1[[#This Row],[Deaths]]</f>
        <v>203</v>
      </c>
      <c r="O56" s="12">
        <f>Table1[[#This Row],[Cases]]/Table1[[#This Row],[Population]]</f>
        <v>3.0864197530864196E-3</v>
      </c>
      <c r="P56" s="12">
        <f>Table1[[#This Row],[Deaths]]/Table1[[#This Row],[Population]]</f>
        <v>1.5204038192543939E-5</v>
      </c>
      <c r="Q56" s="13">
        <f>1-Table1[[#This Row],[Deaths]]/Table1[[#This Row],[Ex(Deaths)]]</f>
        <v>0</v>
      </c>
      <c r="R56" s="14">
        <f>Table1[[#This Row],[Active]]/Table1[[#This Row],[Cases]]</f>
        <v>0</v>
      </c>
      <c r="S56" s="12">
        <f>Table1[[#This Row],[Percent Infected]]*Table1[[#This Row],[% Active]]</f>
        <v>0</v>
      </c>
      <c r="T56" s="8" t="e">
        <f>1/Table1[[#This Row],[Percent Actively Infected]]</f>
        <v>#DIV/0!</v>
      </c>
      <c r="AMC56"/>
    </row>
    <row r="57" spans="1:1017" s="1" customFormat="1" ht="16.5" thickBot="1" x14ac:dyDescent="0.3">
      <c r="A57" s="1">
        <v>56</v>
      </c>
      <c r="B57" s="51">
        <v>41</v>
      </c>
      <c r="C57" s="42" t="s">
        <v>52</v>
      </c>
      <c r="D57" s="47">
        <v>52732</v>
      </c>
      <c r="E57" s="47">
        <v>6139</v>
      </c>
      <c r="F57" s="48" t="s">
        <v>41</v>
      </c>
      <c r="G57" s="48" t="s">
        <v>41</v>
      </c>
      <c r="H57" s="48">
        <v>16</v>
      </c>
      <c r="I57" s="42">
        <v>17137516</v>
      </c>
      <c r="J57" s="8">
        <f>Table1[[#This Row],[Population]]/Table1[[#This Row],[Cases]]</f>
        <v>324.99271789425774</v>
      </c>
      <c r="K57" s="8">
        <f>Table1[[#This Row],[Population]]/Table1[[#This Row],[Deaths]]</f>
        <v>2791.581039257208</v>
      </c>
      <c r="L57" s="9" t="e">
        <f>Table1[[#This Row],[Deaths]]+Table1[[#This Row],[Active]]*Table1[[#This Row],[Death Rate]]</f>
        <v>#VALUE!</v>
      </c>
      <c r="M57" s="10">
        <f>Table1[[#This Row],[Deaths]]/Table1[[#This Row],[Cases]]</f>
        <v>0.11641887279071532</v>
      </c>
      <c r="N57" s="11">
        <f>Table1[[#This Row],[Cases]]/Table1[[#This Row],[Deaths]]</f>
        <v>8.5896725851115825</v>
      </c>
      <c r="O57" s="12">
        <f>Table1[[#This Row],[Cases]]/Table1[[#This Row],[Population]]</f>
        <v>3.076992021480826E-3</v>
      </c>
      <c r="P57" s="12">
        <f>Table1[[#This Row],[Deaths]]/Table1[[#This Row],[Population]]</f>
        <v>3.5821994272682223E-4</v>
      </c>
      <c r="Q57" s="13" t="e">
        <f>1-Table1[[#This Row],[Deaths]]/Table1[[#This Row],[Ex(Deaths)]]</f>
        <v>#VALUE!</v>
      </c>
      <c r="R57" s="14" t="e">
        <f>Table1[[#This Row],[Active]]/Table1[[#This Row],[Cases]]</f>
        <v>#VALUE!</v>
      </c>
      <c r="S57" s="12" t="e">
        <f>Table1[[#This Row],[Percent Infected]]*Table1[[#This Row],[% Active]]</f>
        <v>#VALUE!</v>
      </c>
      <c r="T57" s="8" t="e">
        <f>1/Table1[[#This Row],[Percent Actively Infected]]</f>
        <v>#VALUE!</v>
      </c>
      <c r="AMC57"/>
    </row>
    <row r="58" spans="1:1017" s="1" customFormat="1" ht="16.5" thickBot="1" x14ac:dyDescent="0.3">
      <c r="A58" s="1">
        <v>57</v>
      </c>
      <c r="B58" s="51">
        <v>21</v>
      </c>
      <c r="C58" s="42" t="s">
        <v>59</v>
      </c>
      <c r="D58" s="47">
        <v>113556</v>
      </c>
      <c r="E58" s="47">
        <v>8885</v>
      </c>
      <c r="F58" s="47">
        <v>99115</v>
      </c>
      <c r="G58" s="47">
        <v>5556</v>
      </c>
      <c r="H58" s="47">
        <v>2224</v>
      </c>
      <c r="I58" s="42">
        <v>37764184</v>
      </c>
      <c r="J58" s="8">
        <f>Table1[[#This Row],[Population]]/Table1[[#This Row],[Cases]]</f>
        <v>332.56000563598576</v>
      </c>
      <c r="K58" s="8">
        <f>Table1[[#This Row],[Population]]/Table1[[#This Row],[Deaths]]</f>
        <v>4250.3302194710186</v>
      </c>
      <c r="L58" s="9">
        <f>Table1[[#This Row],[Deaths]]+Table1[[#This Row],[Active]]*Table1[[#This Row],[Death Rate]]</f>
        <v>9319.7199619570965</v>
      </c>
      <c r="M58" s="10">
        <f>Table1[[#This Row],[Deaths]]/Table1[[#This Row],[Cases]]</f>
        <v>7.824333368558245E-2</v>
      </c>
      <c r="N58" s="11">
        <f>Table1[[#This Row],[Cases]]/Table1[[#This Row],[Deaths]]</f>
        <v>12.780641530669667</v>
      </c>
      <c r="O58" s="12">
        <f>Table1[[#This Row],[Cases]]/Table1[[#This Row],[Population]]</f>
        <v>3.0069761337885655E-3</v>
      </c>
      <c r="P58" s="12">
        <f>Table1[[#This Row],[Deaths]]/Table1[[#This Row],[Population]]</f>
        <v>2.3527583702060131E-4</v>
      </c>
      <c r="Q58" s="13">
        <f>1-Table1[[#This Row],[Deaths]]/Table1[[#This Row],[Ex(Deaths)]]</f>
        <v>4.6645174289744129E-2</v>
      </c>
      <c r="R58" s="14">
        <f>Table1[[#This Row],[Active]]/Table1[[#This Row],[Cases]]</f>
        <v>4.8927401458311315E-2</v>
      </c>
      <c r="S58" s="12">
        <f>Table1[[#This Row],[Percent Infected]]*Table1[[#This Row],[% Active]]</f>
        <v>1.4712352847343397E-4</v>
      </c>
      <c r="T58" s="8">
        <f>1/Table1[[#This Row],[Percent Actively Infected]]</f>
        <v>6797.0093592512603</v>
      </c>
      <c r="AMC58"/>
    </row>
    <row r="59" spans="1:1017" s="1" customFormat="1" ht="16.5" thickBot="1" x14ac:dyDescent="0.3">
      <c r="A59" s="1">
        <v>58</v>
      </c>
      <c r="B59" s="51">
        <v>6</v>
      </c>
      <c r="C59" s="42" t="s">
        <v>101</v>
      </c>
      <c r="D59" s="47">
        <v>385036</v>
      </c>
      <c r="E59" s="47">
        <v>43374</v>
      </c>
      <c r="F59" s="47">
        <v>247178</v>
      </c>
      <c r="G59" s="47">
        <v>94484</v>
      </c>
      <c r="H59" s="47">
        <v>3922</v>
      </c>
      <c r="I59" s="42">
        <v>129021774</v>
      </c>
      <c r="J59" s="8">
        <f>Table1[[#This Row],[Population]]/Table1[[#This Row],[Cases]]</f>
        <v>335.09015780342617</v>
      </c>
      <c r="K59" s="8">
        <f>Table1[[#This Row],[Population]]/Table1[[#This Row],[Deaths]]</f>
        <v>2974.6339742703003</v>
      </c>
      <c r="L59" s="9">
        <f>Table1[[#This Row],[Deaths]]+Table1[[#This Row],[Active]]*Table1[[#This Row],[Death Rate]]</f>
        <v>54017.54765788134</v>
      </c>
      <c r="M59" s="10">
        <f>Table1[[#This Row],[Deaths]]/Table1[[#This Row],[Cases]]</f>
        <v>0.11264920682741354</v>
      </c>
      <c r="N59" s="11">
        <f>Table1[[#This Row],[Cases]]/Table1[[#This Row],[Deaths]]</f>
        <v>8.8771153225434585</v>
      </c>
      <c r="O59" s="12">
        <f>Table1[[#This Row],[Cases]]/Table1[[#This Row],[Population]]</f>
        <v>2.9842714765338754E-3</v>
      </c>
      <c r="P59" s="12">
        <f>Table1[[#This Row],[Deaths]]/Table1[[#This Row],[Population]]</f>
        <v>3.3617581478921534E-4</v>
      </c>
      <c r="Q59" s="13">
        <f>1-Table1[[#This Row],[Deaths]]/Table1[[#This Row],[Ex(Deaths)]]</f>
        <v>0.19703870537203871</v>
      </c>
      <c r="R59" s="14">
        <f>Table1[[#This Row],[Active]]/Table1[[#This Row],[Cases]]</f>
        <v>0.24539004145066956</v>
      </c>
      <c r="S59" s="12">
        <f>Table1[[#This Row],[Percent Infected]]*Table1[[#This Row],[% Active]]</f>
        <v>7.3231050132669859E-4</v>
      </c>
      <c r="T59" s="8">
        <f>1/Table1[[#This Row],[Percent Actively Infected]]</f>
        <v>1365.540980483468</v>
      </c>
      <c r="AMC59"/>
    </row>
    <row r="60" spans="1:1017" s="1" customFormat="1" ht="16.5" thickBot="1" x14ac:dyDescent="0.3">
      <c r="A60" s="1">
        <v>59</v>
      </c>
      <c r="B60" s="51">
        <v>80</v>
      </c>
      <c r="C60" s="42" t="s">
        <v>92</v>
      </c>
      <c r="D60" s="47">
        <v>9767</v>
      </c>
      <c r="E60" s="48">
        <v>280</v>
      </c>
      <c r="F60" s="47">
        <v>4555</v>
      </c>
      <c r="G60" s="47">
        <v>4932</v>
      </c>
      <c r="H60" s="48"/>
      <c r="I60" s="42">
        <v>3279315</v>
      </c>
      <c r="J60" s="8">
        <f>Table1[[#This Row],[Population]]/Table1[[#This Row],[Cases]]</f>
        <v>335.75458175488893</v>
      </c>
      <c r="K60" s="8">
        <f>Table1[[#This Row],[Population]]/Table1[[#This Row],[Deaths]]</f>
        <v>11711.839285714286</v>
      </c>
      <c r="L60" s="9">
        <f>Table1[[#This Row],[Deaths]]+Table1[[#This Row],[Active]]*Table1[[#This Row],[Death Rate]]</f>
        <v>421.39039623221049</v>
      </c>
      <c r="M60" s="10">
        <f>Table1[[#This Row],[Deaths]]/Table1[[#This Row],[Cases]]</f>
        <v>2.8667963550732058E-2</v>
      </c>
      <c r="N60" s="11">
        <f>Table1[[#This Row],[Cases]]/Table1[[#This Row],[Deaths]]</f>
        <v>34.88214285714286</v>
      </c>
      <c r="O60" s="12">
        <f>Table1[[#This Row],[Cases]]/Table1[[#This Row],[Population]]</f>
        <v>2.9783659087339888E-3</v>
      </c>
      <c r="P60" s="12">
        <f>Table1[[#This Row],[Deaths]]/Table1[[#This Row],[Population]]</f>
        <v>8.5383685312328945E-5</v>
      </c>
      <c r="Q60" s="13">
        <f>1-Table1[[#This Row],[Deaths]]/Table1[[#This Row],[Ex(Deaths)]]</f>
        <v>0.33553302945778618</v>
      </c>
      <c r="R60" s="14">
        <f>Table1[[#This Row],[Active]]/Table1[[#This Row],[Cases]]</f>
        <v>0.50496570082932324</v>
      </c>
      <c r="S60" s="12">
        <f>Table1[[#This Row],[Percent Infected]]*Table1[[#This Row],[% Active]]</f>
        <v>1.5039726284300228E-3</v>
      </c>
      <c r="T60" s="8">
        <f>1/Table1[[#This Row],[Percent Actively Infected]]</f>
        <v>664.90571776155718</v>
      </c>
      <c r="AMC60"/>
    </row>
    <row r="61" spans="1:1017" s="1" customFormat="1" ht="16.5" thickBot="1" x14ac:dyDescent="0.3">
      <c r="A61" s="1">
        <v>60</v>
      </c>
      <c r="B61" s="51">
        <v>55</v>
      </c>
      <c r="C61" s="42" t="s">
        <v>107</v>
      </c>
      <c r="D61" s="47">
        <v>30050</v>
      </c>
      <c r="E61" s="48">
        <v>417</v>
      </c>
      <c r="F61" s="47">
        <v>22684</v>
      </c>
      <c r="G61" s="47">
        <v>6949</v>
      </c>
      <c r="H61" s="48">
        <v>66</v>
      </c>
      <c r="I61" s="42">
        <v>10145250</v>
      </c>
      <c r="J61" s="8">
        <f>Table1[[#This Row],[Population]]/Table1[[#This Row],[Cases]]</f>
        <v>337.61231281198002</v>
      </c>
      <c r="K61" s="8">
        <f>Table1[[#This Row],[Population]]/Table1[[#This Row],[Deaths]]</f>
        <v>24329.136690647483</v>
      </c>
      <c r="L61" s="9">
        <f>Table1[[#This Row],[Deaths]]+Table1[[#This Row],[Active]]*Table1[[#This Row],[Death Rate]]</f>
        <v>513.43038269550743</v>
      </c>
      <c r="M61" s="10">
        <f>Table1[[#This Row],[Deaths]]/Table1[[#This Row],[Cases]]</f>
        <v>1.3876871880199667E-2</v>
      </c>
      <c r="N61" s="11">
        <f>Table1[[#This Row],[Cases]]/Table1[[#This Row],[Deaths]]</f>
        <v>72.062350119904082</v>
      </c>
      <c r="O61" s="12">
        <f>Table1[[#This Row],[Cases]]/Table1[[#This Row],[Population]]</f>
        <v>2.9619772800078856E-3</v>
      </c>
      <c r="P61" s="12">
        <f>Table1[[#This Row],[Deaths]]/Table1[[#This Row],[Population]]</f>
        <v>4.1102979226731725E-5</v>
      </c>
      <c r="Q61" s="13">
        <f>1-Table1[[#This Row],[Deaths]]/Table1[[#This Row],[Ex(Deaths)]]</f>
        <v>0.18781588691586248</v>
      </c>
      <c r="R61" s="14">
        <f>Table1[[#This Row],[Active]]/Table1[[#This Row],[Cases]]</f>
        <v>0.23124792013311149</v>
      </c>
      <c r="S61" s="12">
        <f>Table1[[#This Row],[Percent Infected]]*Table1[[#This Row],[% Active]]</f>
        <v>6.8495108548335428E-4</v>
      </c>
      <c r="T61" s="8">
        <f>1/Table1[[#This Row],[Percent Actively Infected]]</f>
        <v>1459.958267376601</v>
      </c>
      <c r="AMC61"/>
    </row>
    <row r="62" spans="1:1017" s="1" customFormat="1" ht="16.5" thickBot="1" x14ac:dyDescent="0.3">
      <c r="A62" s="1">
        <v>61</v>
      </c>
      <c r="B62" s="51">
        <v>182</v>
      </c>
      <c r="C62" s="42" t="s">
        <v>55</v>
      </c>
      <c r="D62" s="48">
        <v>116</v>
      </c>
      <c r="E62" s="48">
        <v>4</v>
      </c>
      <c r="F62" s="48">
        <v>104</v>
      </c>
      <c r="G62" s="48">
        <v>8</v>
      </c>
      <c r="H62" s="48"/>
      <c r="I62" s="42">
        <v>39261</v>
      </c>
      <c r="J62" s="8">
        <f>Table1[[#This Row],[Population]]/Table1[[#This Row],[Cases]]</f>
        <v>338.45689655172413</v>
      </c>
      <c r="K62" s="8">
        <f>Table1[[#This Row],[Population]]/Table1[[#This Row],[Deaths]]</f>
        <v>9815.25</v>
      </c>
      <c r="L62" s="9">
        <f>Table1[[#This Row],[Deaths]]+Table1[[#This Row],[Active]]*Table1[[#This Row],[Death Rate]]</f>
        <v>4.2758620689655169</v>
      </c>
      <c r="M62" s="10">
        <f>Table1[[#This Row],[Deaths]]/Table1[[#This Row],[Cases]]</f>
        <v>3.4482758620689655E-2</v>
      </c>
      <c r="N62" s="11">
        <f>Table1[[#This Row],[Cases]]/Table1[[#This Row],[Deaths]]</f>
        <v>29</v>
      </c>
      <c r="O62" s="12">
        <f>Table1[[#This Row],[Cases]]/Table1[[#This Row],[Population]]</f>
        <v>2.9545859759048418E-3</v>
      </c>
      <c r="P62" s="12">
        <f>Table1[[#This Row],[Deaths]]/Table1[[#This Row],[Population]]</f>
        <v>1.0188227503120145E-4</v>
      </c>
      <c r="Q62" s="13">
        <f>1-Table1[[#This Row],[Deaths]]/Table1[[#This Row],[Ex(Deaths)]]</f>
        <v>6.4516129032258007E-2</v>
      </c>
      <c r="R62" s="14">
        <f>Table1[[#This Row],[Active]]/Table1[[#This Row],[Cases]]</f>
        <v>6.8965517241379309E-2</v>
      </c>
      <c r="S62" s="12">
        <f>Table1[[#This Row],[Percent Infected]]*Table1[[#This Row],[% Active]]</f>
        <v>2.0376455006240288E-4</v>
      </c>
      <c r="T62" s="8">
        <f>1/Table1[[#This Row],[Percent Actively Infected]]</f>
        <v>4907.625</v>
      </c>
      <c r="AMC62"/>
    </row>
    <row r="63" spans="1:1017" s="1" customFormat="1" ht="16.5" thickBot="1" x14ac:dyDescent="0.3">
      <c r="A63" s="1">
        <v>62</v>
      </c>
      <c r="B63" s="51">
        <v>71</v>
      </c>
      <c r="C63" s="42" t="s">
        <v>151</v>
      </c>
      <c r="D63" s="47">
        <v>14600</v>
      </c>
      <c r="E63" s="48">
        <v>98</v>
      </c>
      <c r="F63" s="47">
        <v>3640</v>
      </c>
      <c r="G63" s="47">
        <v>10862</v>
      </c>
      <c r="H63" s="48">
        <v>51</v>
      </c>
      <c r="I63" s="42">
        <v>5097206</v>
      </c>
      <c r="J63" s="8">
        <f>Table1[[#This Row],[Population]]/Table1[[#This Row],[Cases]]</f>
        <v>349.12369863013697</v>
      </c>
      <c r="K63" s="8">
        <f>Table1[[#This Row],[Population]]/Table1[[#This Row],[Deaths]]</f>
        <v>52012.306122448979</v>
      </c>
      <c r="L63" s="9">
        <f>Table1[[#This Row],[Deaths]]+Table1[[#This Row],[Active]]*Table1[[#This Row],[Death Rate]]</f>
        <v>170.90931506849316</v>
      </c>
      <c r="M63" s="10">
        <f>Table1[[#This Row],[Deaths]]/Table1[[#This Row],[Cases]]</f>
        <v>6.7123287671232877E-3</v>
      </c>
      <c r="N63" s="11">
        <f>Table1[[#This Row],[Cases]]/Table1[[#This Row],[Deaths]]</f>
        <v>148.9795918367347</v>
      </c>
      <c r="O63" s="12">
        <f>Table1[[#This Row],[Cases]]/Table1[[#This Row],[Population]]</f>
        <v>2.8643142929675592E-3</v>
      </c>
      <c r="P63" s="12">
        <f>Table1[[#This Row],[Deaths]]/Table1[[#This Row],[Population]]</f>
        <v>1.9226219226768546E-5</v>
      </c>
      <c r="Q63" s="13">
        <f>1-Table1[[#This Row],[Deaths]]/Table1[[#This Row],[Ex(Deaths)]]</f>
        <v>0.42659649674024036</v>
      </c>
      <c r="R63" s="14">
        <f>Table1[[#This Row],[Active]]/Table1[[#This Row],[Cases]]</f>
        <v>0.74397260273972599</v>
      </c>
      <c r="S63" s="12">
        <f>Table1[[#This Row],[Percent Infected]]*Table1[[#This Row],[% Active]]</f>
        <v>2.130971359603673E-3</v>
      </c>
      <c r="T63" s="8">
        <f>1/Table1[[#This Row],[Percent Actively Infected]]</f>
        <v>469.26956361627697</v>
      </c>
      <c r="AMC63"/>
    </row>
    <row r="64" spans="1:1017" s="1" customFormat="1" ht="16.5" thickBot="1" x14ac:dyDescent="0.3">
      <c r="A64" s="1">
        <v>63</v>
      </c>
      <c r="B64" s="51">
        <v>19</v>
      </c>
      <c r="C64" s="42" t="s">
        <v>51</v>
      </c>
      <c r="D64" s="47">
        <v>180528</v>
      </c>
      <c r="E64" s="47">
        <v>30192</v>
      </c>
      <c r="F64" s="47">
        <v>80815</v>
      </c>
      <c r="G64" s="47">
        <v>69521</v>
      </c>
      <c r="H64" s="48">
        <v>410</v>
      </c>
      <c r="I64" s="42">
        <v>65283584</v>
      </c>
      <c r="J64" s="8">
        <f>Table1[[#This Row],[Population]]/Table1[[#This Row],[Cases]]</f>
        <v>361.62580873881058</v>
      </c>
      <c r="K64" s="8">
        <f>Table1[[#This Row],[Population]]/Table1[[#This Row],[Deaths]]</f>
        <v>2162.2808691043983</v>
      </c>
      <c r="L64" s="9">
        <f>Table1[[#This Row],[Deaths]]+Table1[[#This Row],[Active]]*Table1[[#This Row],[Death Rate]]</f>
        <v>41818.883541611271</v>
      </c>
      <c r="M64" s="10">
        <f>Table1[[#This Row],[Deaths]]/Table1[[#This Row],[Cases]]</f>
        <v>0.16724275458654614</v>
      </c>
      <c r="N64" s="11">
        <f>Table1[[#This Row],[Cases]]/Table1[[#This Row],[Deaths]]</f>
        <v>5.9793322734499208</v>
      </c>
      <c r="O64" s="12">
        <f>Table1[[#This Row],[Cases]]/Table1[[#This Row],[Population]]</f>
        <v>2.7652893566627716E-3</v>
      </c>
      <c r="P64" s="12">
        <f>Table1[[#This Row],[Deaths]]/Table1[[#This Row],[Population]]</f>
        <v>4.6247460923713995E-4</v>
      </c>
      <c r="Q64" s="13">
        <f>1-Table1[[#This Row],[Deaths]]/Table1[[#This Row],[Ex(Deaths)]]</f>
        <v>0.27802950621678146</v>
      </c>
      <c r="R64" s="14">
        <f>Table1[[#This Row],[Active]]/Table1[[#This Row],[Cases]]</f>
        <v>0.38509815651865636</v>
      </c>
      <c r="S64" s="12">
        <f>Table1[[#This Row],[Percent Infected]]*Table1[[#This Row],[% Active]]</f>
        <v>1.0649078334914945E-3</v>
      </c>
      <c r="T64" s="8">
        <f>1/Table1[[#This Row],[Percent Actively Infected]]</f>
        <v>939.04840264092877</v>
      </c>
      <c r="AMC64"/>
    </row>
    <row r="65" spans="1:1017" s="1" customFormat="1" ht="16.5" thickBot="1" x14ac:dyDescent="0.3">
      <c r="A65" s="1">
        <v>64</v>
      </c>
      <c r="B65" s="51">
        <v>22</v>
      </c>
      <c r="C65" s="42" t="s">
        <v>163</v>
      </c>
      <c r="D65" s="47">
        <v>110032</v>
      </c>
      <c r="E65" s="47">
        <v>4362</v>
      </c>
      <c r="F65" s="47">
        <v>75217</v>
      </c>
      <c r="G65" s="47">
        <v>30453</v>
      </c>
      <c r="H65" s="48">
        <v>433</v>
      </c>
      <c r="I65" s="42">
        <v>40276360</v>
      </c>
      <c r="J65" s="8">
        <f>Table1[[#This Row],[Population]]/Table1[[#This Row],[Cases]]</f>
        <v>366.04224225679803</v>
      </c>
      <c r="K65" s="8">
        <f>Table1[[#This Row],[Population]]/Table1[[#This Row],[Deaths]]</f>
        <v>9233.4617148097204</v>
      </c>
      <c r="L65" s="9">
        <f>Table1[[#This Row],[Deaths]]+Table1[[#This Row],[Active]]*Table1[[#This Row],[Death Rate]]</f>
        <v>5569.2486731132758</v>
      </c>
      <c r="M65" s="10">
        <f>Table1[[#This Row],[Deaths]]/Table1[[#This Row],[Cases]]</f>
        <v>3.964301294168969E-2</v>
      </c>
      <c r="N65" s="11">
        <f>Table1[[#This Row],[Cases]]/Table1[[#This Row],[Deaths]]</f>
        <v>25.225126088950024</v>
      </c>
      <c r="O65" s="12">
        <f>Table1[[#This Row],[Cases]]/Table1[[#This Row],[Population]]</f>
        <v>2.7319251292817919E-3</v>
      </c>
      <c r="P65" s="12">
        <f>Table1[[#This Row],[Deaths]]/Table1[[#This Row],[Population]]</f>
        <v>1.0830174325584536E-4</v>
      </c>
      <c r="Q65" s="13">
        <f>1-Table1[[#This Row],[Deaths]]/Table1[[#This Row],[Ex(Deaths)]]</f>
        <v>0.21677047371605507</v>
      </c>
      <c r="R65" s="14">
        <f>Table1[[#This Row],[Active]]/Table1[[#This Row],[Cases]]</f>
        <v>0.27676494110804128</v>
      </c>
      <c r="S65" s="12">
        <f>Table1[[#This Row],[Percent Infected]]*Table1[[#This Row],[% Active]]</f>
        <v>7.5610109751725319E-4</v>
      </c>
      <c r="T65" s="8">
        <f>1/Table1[[#This Row],[Percent Actively Infected]]</f>
        <v>1322.5744590023974</v>
      </c>
      <c r="AMC65"/>
    </row>
    <row r="66" spans="1:1017" s="1" customFormat="1" ht="16.5" thickBot="1" x14ac:dyDescent="0.3">
      <c r="A66" s="1">
        <v>65</v>
      </c>
      <c r="B66" s="51">
        <v>59</v>
      </c>
      <c r="C66" s="42" t="s">
        <v>80</v>
      </c>
      <c r="D66" s="47">
        <v>23730</v>
      </c>
      <c r="E66" s="48">
        <v>534</v>
      </c>
      <c r="F66" s="47">
        <v>14047</v>
      </c>
      <c r="G66" s="47">
        <v>9149</v>
      </c>
      <c r="H66" s="48">
        <v>169</v>
      </c>
      <c r="I66" s="42">
        <v>8734813</v>
      </c>
      <c r="J66" s="8">
        <f>Table1[[#This Row],[Population]]/Table1[[#This Row],[Cases]]</f>
        <v>368.09157184997895</v>
      </c>
      <c r="K66" s="8">
        <f>Table1[[#This Row],[Population]]/Table1[[#This Row],[Deaths]]</f>
        <v>16357.327715355805</v>
      </c>
      <c r="L66" s="9">
        <f>Table1[[#This Row],[Deaths]]+Table1[[#This Row],[Active]]*Table1[[#This Row],[Death Rate]]</f>
        <v>739.88141592920351</v>
      </c>
      <c r="M66" s="10">
        <f>Table1[[#This Row],[Deaths]]/Table1[[#This Row],[Cases]]</f>
        <v>2.2503160556257902E-2</v>
      </c>
      <c r="N66" s="11">
        <f>Table1[[#This Row],[Cases]]/Table1[[#This Row],[Deaths]]</f>
        <v>44.438202247191015</v>
      </c>
      <c r="O66" s="12">
        <f>Table1[[#This Row],[Cases]]/Table1[[#This Row],[Population]]</f>
        <v>2.7167152862917613E-3</v>
      </c>
      <c r="P66" s="12">
        <f>Table1[[#This Row],[Deaths]]/Table1[[#This Row],[Population]]</f>
        <v>6.1134680273063657E-5</v>
      </c>
      <c r="Q66" s="13">
        <f>1-Table1[[#This Row],[Deaths]]/Table1[[#This Row],[Ex(Deaths)]]</f>
        <v>0.27826272088567172</v>
      </c>
      <c r="R66" s="14">
        <f>Table1[[#This Row],[Active]]/Table1[[#This Row],[Cases]]</f>
        <v>0.38554572271386428</v>
      </c>
      <c r="S66" s="12">
        <f>Table1[[#This Row],[Percent Infected]]*Table1[[#This Row],[% Active]]</f>
        <v>1.0474179584611598E-3</v>
      </c>
      <c r="T66" s="8">
        <f>1/Table1[[#This Row],[Percent Actively Infected]]</f>
        <v>954.72871352060349</v>
      </c>
      <c r="AMC66"/>
    </row>
    <row r="67" spans="1:1017" s="1" customFormat="1" ht="16.5" thickBot="1" x14ac:dyDescent="0.3">
      <c r="A67" s="1">
        <v>66</v>
      </c>
      <c r="B67" s="51">
        <v>16</v>
      </c>
      <c r="C67" s="42" t="s">
        <v>68</v>
      </c>
      <c r="D67" s="47">
        <v>225173</v>
      </c>
      <c r="E67" s="47">
        <v>5596</v>
      </c>
      <c r="F67" s="47">
        <v>208477</v>
      </c>
      <c r="G67" s="47">
        <v>11100</v>
      </c>
      <c r="H67" s="47">
        <v>1252</v>
      </c>
      <c r="I67" s="42">
        <v>84398593</v>
      </c>
      <c r="J67" s="8">
        <f>Table1[[#This Row],[Population]]/Table1[[#This Row],[Cases]]</f>
        <v>374.81666540837489</v>
      </c>
      <c r="K67" s="8">
        <f>Table1[[#This Row],[Population]]/Table1[[#This Row],[Deaths]]</f>
        <v>15081.950142959256</v>
      </c>
      <c r="L67" s="9">
        <f>Table1[[#This Row],[Deaths]]+Table1[[#This Row],[Active]]*Table1[[#This Row],[Death Rate]]</f>
        <v>5871.8572297744404</v>
      </c>
      <c r="M67" s="10">
        <f>Table1[[#This Row],[Deaths]]/Table1[[#This Row],[Cases]]</f>
        <v>2.4852002682381989E-2</v>
      </c>
      <c r="N67" s="11">
        <f>Table1[[#This Row],[Cases]]/Table1[[#This Row],[Deaths]]</f>
        <v>40.238205861329519</v>
      </c>
      <c r="O67" s="12">
        <f>Table1[[#This Row],[Cases]]/Table1[[#This Row],[Population]]</f>
        <v>2.6679710170049871E-3</v>
      </c>
      <c r="P67" s="12">
        <f>Table1[[#This Row],[Deaths]]/Table1[[#This Row],[Population]]</f>
        <v>6.6304422871125358E-5</v>
      </c>
      <c r="Q67" s="13">
        <f>1-Table1[[#This Row],[Deaths]]/Table1[[#This Row],[Ex(Deaths)]]</f>
        <v>4.6979553313328259E-2</v>
      </c>
      <c r="R67" s="14">
        <f>Table1[[#This Row],[Active]]/Table1[[#This Row],[Cases]]</f>
        <v>4.9295430624453199E-2</v>
      </c>
      <c r="S67" s="12">
        <f>Table1[[#This Row],[Percent Infected]]*Table1[[#This Row],[% Active]]</f>
        <v>1.3151878017682119E-4</v>
      </c>
      <c r="T67" s="8">
        <f>1/Table1[[#This Row],[Percent Actively Infected]]</f>
        <v>7603.4768468468474</v>
      </c>
      <c r="AMC67"/>
    </row>
    <row r="68" spans="1:1017" s="1" customFormat="1" ht="16.5" thickBot="1" x14ac:dyDescent="0.3">
      <c r="A68" s="1">
        <v>67</v>
      </c>
      <c r="B68" s="51">
        <v>185</v>
      </c>
      <c r="C68" s="42" t="s">
        <v>118</v>
      </c>
      <c r="D68" s="48">
        <v>97</v>
      </c>
      <c r="E68" s="48">
        <v>2</v>
      </c>
      <c r="F68" s="48">
        <v>35</v>
      </c>
      <c r="G68" s="48">
        <v>60</v>
      </c>
      <c r="H68" s="48">
        <v>1</v>
      </c>
      <c r="I68" s="42">
        <v>38751</v>
      </c>
      <c r="J68" s="8">
        <f>Table1[[#This Row],[Population]]/Table1[[#This Row],[Cases]]</f>
        <v>399.49484536082474</v>
      </c>
      <c r="K68" s="8">
        <f>Table1[[#This Row],[Population]]/Table1[[#This Row],[Deaths]]</f>
        <v>19375.5</v>
      </c>
      <c r="L68" s="9">
        <f>Table1[[#This Row],[Deaths]]+Table1[[#This Row],[Active]]*Table1[[#This Row],[Death Rate]]</f>
        <v>3.2371134020618557</v>
      </c>
      <c r="M68" s="10">
        <f>Table1[[#This Row],[Deaths]]/Table1[[#This Row],[Cases]]</f>
        <v>2.0618556701030927E-2</v>
      </c>
      <c r="N68" s="11">
        <f>Table1[[#This Row],[Cases]]/Table1[[#This Row],[Deaths]]</f>
        <v>48.5</v>
      </c>
      <c r="O68" s="12">
        <f>Table1[[#This Row],[Cases]]/Table1[[#This Row],[Population]]</f>
        <v>2.5031612087430002E-3</v>
      </c>
      <c r="P68" s="12">
        <f>Table1[[#This Row],[Deaths]]/Table1[[#This Row],[Population]]</f>
        <v>5.1611571314288661E-5</v>
      </c>
      <c r="Q68" s="13">
        <f>1-Table1[[#This Row],[Deaths]]/Table1[[#This Row],[Ex(Deaths)]]</f>
        <v>0.38216560509554143</v>
      </c>
      <c r="R68" s="14">
        <f>Table1[[#This Row],[Active]]/Table1[[#This Row],[Cases]]</f>
        <v>0.61855670103092786</v>
      </c>
      <c r="S68" s="12">
        <f>Table1[[#This Row],[Percent Infected]]*Table1[[#This Row],[% Active]]</f>
        <v>1.5483471394286599E-3</v>
      </c>
      <c r="T68" s="8">
        <f>1/Table1[[#This Row],[Percent Actively Infected]]</f>
        <v>645.85</v>
      </c>
      <c r="AMC68"/>
    </row>
    <row r="69" spans="1:1017" s="1" customFormat="1" ht="16.5" thickBot="1" x14ac:dyDescent="0.3">
      <c r="A69" s="1">
        <v>68</v>
      </c>
      <c r="B69" s="51">
        <v>45</v>
      </c>
      <c r="C69" s="42" t="s">
        <v>145</v>
      </c>
      <c r="D69" s="47">
        <v>44492</v>
      </c>
      <c r="E69" s="47">
        <v>1699</v>
      </c>
      <c r="F69" s="47">
        <v>31045</v>
      </c>
      <c r="G69" s="47">
        <v>11748</v>
      </c>
      <c r="H69" s="48">
        <v>5</v>
      </c>
      <c r="I69" s="42">
        <v>17936018</v>
      </c>
      <c r="J69" s="8">
        <f>Table1[[#This Row],[Population]]/Table1[[#This Row],[Cases]]</f>
        <v>403.12905690910725</v>
      </c>
      <c r="K69" s="8">
        <f>Table1[[#This Row],[Population]]/Table1[[#This Row],[Deaths]]</f>
        <v>10556.808711006475</v>
      </c>
      <c r="L69" s="9">
        <f>Table1[[#This Row],[Deaths]]+Table1[[#This Row],[Active]]*Table1[[#This Row],[Death Rate]]</f>
        <v>2147.6166501843027</v>
      </c>
      <c r="M69" s="10">
        <f>Table1[[#This Row],[Deaths]]/Table1[[#This Row],[Cases]]</f>
        <v>3.8186640294884472E-2</v>
      </c>
      <c r="N69" s="11">
        <f>Table1[[#This Row],[Cases]]/Table1[[#This Row],[Deaths]]</f>
        <v>26.187168922895822</v>
      </c>
      <c r="O69" s="12">
        <f>Table1[[#This Row],[Cases]]/Table1[[#This Row],[Population]]</f>
        <v>2.4805951911957272E-3</v>
      </c>
      <c r="P69" s="12">
        <f>Table1[[#This Row],[Deaths]]/Table1[[#This Row],[Population]]</f>
        <v>9.4725596283411399E-5</v>
      </c>
      <c r="Q69" s="13">
        <f>1-Table1[[#This Row],[Deaths]]/Table1[[#This Row],[Ex(Deaths)]]</f>
        <v>0.20889046941678513</v>
      </c>
      <c r="R69" s="14">
        <f>Table1[[#This Row],[Active]]/Table1[[#This Row],[Cases]]</f>
        <v>0.26404746920794747</v>
      </c>
      <c r="S69" s="12">
        <f>Table1[[#This Row],[Percent Infected]]*Table1[[#This Row],[% Active]]</f>
        <v>6.5499488236463632E-4</v>
      </c>
      <c r="T69" s="8">
        <f>1/Table1[[#This Row],[Percent Actively Infected]]</f>
        <v>1526.7294858699354</v>
      </c>
      <c r="AMC69"/>
    </row>
    <row r="70" spans="1:1017" s="1" customFormat="1" ht="16.5" thickBot="1" x14ac:dyDescent="0.3">
      <c r="A70" s="1">
        <v>69</v>
      </c>
      <c r="B70" s="51">
        <v>18</v>
      </c>
      <c r="C70" s="42" t="s">
        <v>61</v>
      </c>
      <c r="D70" s="47">
        <v>206363</v>
      </c>
      <c r="E70" s="47">
        <v>9202</v>
      </c>
      <c r="F70" s="47">
        <v>190600</v>
      </c>
      <c r="G70" s="47">
        <v>6561</v>
      </c>
      <c r="H70" s="48">
        <v>237</v>
      </c>
      <c r="I70" s="42">
        <v>83802499</v>
      </c>
      <c r="J70" s="8">
        <f>Table1[[#This Row],[Population]]/Table1[[#This Row],[Cases]]</f>
        <v>406.09265711392061</v>
      </c>
      <c r="K70" s="8">
        <f>Table1[[#This Row],[Population]]/Table1[[#This Row],[Deaths]]</f>
        <v>9106.9875027168</v>
      </c>
      <c r="L70" s="9">
        <f>Table1[[#This Row],[Deaths]]+Table1[[#This Row],[Active]]*Table1[[#This Row],[Death Rate]]</f>
        <v>9494.563696011397</v>
      </c>
      <c r="M70" s="10">
        <f>Table1[[#This Row],[Deaths]]/Table1[[#This Row],[Cases]]</f>
        <v>4.4591326933607282E-2</v>
      </c>
      <c r="N70" s="11">
        <f>Table1[[#This Row],[Cases]]/Table1[[#This Row],[Deaths]]</f>
        <v>22.425885677026734</v>
      </c>
      <c r="O70" s="12">
        <f>Table1[[#This Row],[Cases]]/Table1[[#This Row],[Population]]</f>
        <v>2.4624921984725064E-3</v>
      </c>
      <c r="P70" s="12">
        <f>Table1[[#This Row],[Deaths]]/Table1[[#This Row],[Population]]</f>
        <v>1.0980579469354488E-4</v>
      </c>
      <c r="Q70" s="13">
        <f>1-Table1[[#This Row],[Deaths]]/Table1[[#This Row],[Ex(Deaths)]]</f>
        <v>3.081381150081719E-2</v>
      </c>
      <c r="R70" s="14">
        <f>Table1[[#This Row],[Active]]/Table1[[#This Row],[Cases]]</f>
        <v>3.1793490112084044E-2</v>
      </c>
      <c r="S70" s="12">
        <f>Table1[[#This Row],[Percent Infected]]*Table1[[#This Row],[% Active]]</f>
        <v>7.8291221363219733E-5</v>
      </c>
      <c r="T70" s="8">
        <f>1/Table1[[#This Row],[Percent Actively Infected]]</f>
        <v>12772.824112178021</v>
      </c>
      <c r="AMC70"/>
    </row>
    <row r="71" spans="1:1017" s="1" customFormat="1" ht="16.5" thickBot="1" x14ac:dyDescent="0.3">
      <c r="A71" s="1">
        <v>70</v>
      </c>
      <c r="B71" s="51">
        <v>178</v>
      </c>
      <c r="C71" s="42" t="s">
        <v>63</v>
      </c>
      <c r="D71" s="48">
        <v>153</v>
      </c>
      <c r="E71" s="48">
        <v>9</v>
      </c>
      <c r="F71" s="48">
        <v>139</v>
      </c>
      <c r="G71" s="48">
        <v>5</v>
      </c>
      <c r="H71" s="48">
        <v>1</v>
      </c>
      <c r="I71" s="42">
        <v>62261</v>
      </c>
      <c r="J71" s="8">
        <f>Table1[[#This Row],[Population]]/Table1[[#This Row],[Cases]]</f>
        <v>406.93464052287584</v>
      </c>
      <c r="K71" s="8">
        <f>Table1[[#This Row],[Population]]/Table1[[#This Row],[Deaths]]</f>
        <v>6917.8888888888887</v>
      </c>
      <c r="L71" s="9">
        <f>Table1[[#This Row],[Deaths]]+Table1[[#This Row],[Active]]*Table1[[#This Row],[Death Rate]]</f>
        <v>9.2941176470588243</v>
      </c>
      <c r="M71" s="10">
        <f>Table1[[#This Row],[Deaths]]/Table1[[#This Row],[Cases]]</f>
        <v>5.8823529411764705E-2</v>
      </c>
      <c r="N71" s="11">
        <f>Table1[[#This Row],[Cases]]/Table1[[#This Row],[Deaths]]</f>
        <v>17</v>
      </c>
      <c r="O71" s="12">
        <f>Table1[[#This Row],[Cases]]/Table1[[#This Row],[Population]]</f>
        <v>2.4573970864586177E-3</v>
      </c>
      <c r="P71" s="12">
        <f>Table1[[#This Row],[Deaths]]/Table1[[#This Row],[Population]]</f>
        <v>1.4455276979168341E-4</v>
      </c>
      <c r="Q71" s="13">
        <f>1-Table1[[#This Row],[Deaths]]/Table1[[#This Row],[Ex(Deaths)]]</f>
        <v>3.1645569620253222E-2</v>
      </c>
      <c r="R71" s="14">
        <f>Table1[[#This Row],[Active]]/Table1[[#This Row],[Cases]]</f>
        <v>3.2679738562091505E-2</v>
      </c>
      <c r="S71" s="12">
        <f>Table1[[#This Row],[Percent Infected]]*Table1[[#This Row],[% Active]]</f>
        <v>8.0307094328713001E-5</v>
      </c>
      <c r="T71" s="8">
        <f>1/Table1[[#This Row],[Percent Actively Infected]]</f>
        <v>12452.199999999999</v>
      </c>
      <c r="AMC71"/>
    </row>
    <row r="72" spans="1:1017" s="1" customFormat="1" ht="16.5" thickBot="1" x14ac:dyDescent="0.3">
      <c r="A72" s="1">
        <v>71</v>
      </c>
      <c r="B72" s="51">
        <v>207</v>
      </c>
      <c r="C72" s="42" t="s">
        <v>60</v>
      </c>
      <c r="D72" s="48">
        <v>12</v>
      </c>
      <c r="E72" s="48">
        <v>1</v>
      </c>
      <c r="F72" s="48">
        <v>10</v>
      </c>
      <c r="G72" s="48">
        <v>1</v>
      </c>
      <c r="H72" s="48"/>
      <c r="I72" s="42">
        <v>4992</v>
      </c>
      <c r="J72" s="8">
        <f>Table1[[#This Row],[Population]]/Table1[[#This Row],[Cases]]</f>
        <v>416</v>
      </c>
      <c r="K72" s="8">
        <f>Table1[[#This Row],[Population]]/Table1[[#This Row],[Deaths]]</f>
        <v>4992</v>
      </c>
      <c r="L72" s="9">
        <f>Table1[[#This Row],[Deaths]]+Table1[[#This Row],[Active]]*Table1[[#This Row],[Death Rate]]</f>
        <v>1.0833333333333333</v>
      </c>
      <c r="M72" s="10">
        <f>Table1[[#This Row],[Deaths]]/Table1[[#This Row],[Cases]]</f>
        <v>8.3333333333333329E-2</v>
      </c>
      <c r="N72" s="11">
        <f>Table1[[#This Row],[Cases]]/Table1[[#This Row],[Deaths]]</f>
        <v>12</v>
      </c>
      <c r="O72" s="12">
        <f>Table1[[#This Row],[Cases]]/Table1[[#This Row],[Population]]</f>
        <v>2.403846153846154E-3</v>
      </c>
      <c r="P72" s="12">
        <f>Table1[[#This Row],[Deaths]]/Table1[[#This Row],[Population]]</f>
        <v>2.0032051282051281E-4</v>
      </c>
      <c r="Q72" s="13">
        <f>1-Table1[[#This Row],[Deaths]]/Table1[[#This Row],[Ex(Deaths)]]</f>
        <v>7.6923076923076872E-2</v>
      </c>
      <c r="R72" s="14">
        <f>Table1[[#This Row],[Active]]/Table1[[#This Row],[Cases]]</f>
        <v>8.3333333333333329E-2</v>
      </c>
      <c r="S72" s="12">
        <f>Table1[[#This Row],[Percent Infected]]*Table1[[#This Row],[% Active]]</f>
        <v>2.0032051282051281E-4</v>
      </c>
      <c r="T72" s="8">
        <f>1/Table1[[#This Row],[Percent Actively Infected]]</f>
        <v>4992</v>
      </c>
      <c r="AMC72"/>
    </row>
    <row r="73" spans="1:1017" s="1" customFormat="1" ht="16.5" thickBot="1" x14ac:dyDescent="0.3">
      <c r="A73" s="1">
        <v>72</v>
      </c>
      <c r="B73" s="51">
        <v>135</v>
      </c>
      <c r="C73" s="42" t="s">
        <v>206</v>
      </c>
      <c r="D73" s="47">
        <v>1381</v>
      </c>
      <c r="E73" s="48">
        <v>23</v>
      </c>
      <c r="F73" s="48">
        <v>853</v>
      </c>
      <c r="G73" s="48">
        <v>505</v>
      </c>
      <c r="H73" s="48">
        <v>7</v>
      </c>
      <c r="I73" s="42">
        <v>586981</v>
      </c>
      <c r="J73" s="8">
        <f>Table1[[#This Row],[Population]]/Table1[[#This Row],[Cases]]</f>
        <v>425.04055032585086</v>
      </c>
      <c r="K73" s="8">
        <f>Table1[[#This Row],[Population]]/Table1[[#This Row],[Deaths]]</f>
        <v>25520.91304347826</v>
      </c>
      <c r="L73" s="9">
        <f>Table1[[#This Row],[Deaths]]+Table1[[#This Row],[Active]]*Table1[[#This Row],[Death Rate]]</f>
        <v>31.410572049239683</v>
      </c>
      <c r="M73" s="10">
        <f>Table1[[#This Row],[Deaths]]/Table1[[#This Row],[Cases]]</f>
        <v>1.66545981173063E-2</v>
      </c>
      <c r="N73" s="11">
        <f>Table1[[#This Row],[Cases]]/Table1[[#This Row],[Deaths]]</f>
        <v>60.043478260869563</v>
      </c>
      <c r="O73" s="12">
        <f>Table1[[#This Row],[Cases]]/Table1[[#This Row],[Population]]</f>
        <v>2.3527166978147503E-3</v>
      </c>
      <c r="P73" s="12">
        <f>Table1[[#This Row],[Deaths]]/Table1[[#This Row],[Population]]</f>
        <v>3.9183551085980635E-5</v>
      </c>
      <c r="Q73" s="13">
        <f>1-Table1[[#This Row],[Deaths]]/Table1[[#This Row],[Ex(Deaths)]]</f>
        <v>0.26776246023329797</v>
      </c>
      <c r="R73" s="14">
        <f>Table1[[#This Row],[Active]]/Table1[[#This Row],[Cases]]</f>
        <v>0.36567704561911657</v>
      </c>
      <c r="S73" s="12">
        <f>Table1[[#This Row],[Percent Infected]]*Table1[[#This Row],[% Active]]</f>
        <v>8.6033449123566177E-4</v>
      </c>
      <c r="T73" s="8">
        <f>1/Table1[[#This Row],[Percent Actively Infected]]</f>
        <v>1162.3386138613862</v>
      </c>
      <c r="AMC73"/>
    </row>
    <row r="74" spans="1:1017" s="1" customFormat="1" ht="16.5" thickBot="1" x14ac:dyDescent="0.3">
      <c r="A74" s="1">
        <v>73</v>
      </c>
      <c r="B74" s="51">
        <v>44</v>
      </c>
      <c r="C74" s="42" t="s">
        <v>86</v>
      </c>
      <c r="D74" s="47">
        <v>44798</v>
      </c>
      <c r="E74" s="47">
        <v>2187</v>
      </c>
      <c r="F74" s="47">
        <v>25643</v>
      </c>
      <c r="G74" s="47">
        <v>16968</v>
      </c>
      <c r="H74" s="48">
        <v>351</v>
      </c>
      <c r="I74" s="42">
        <v>19228208</v>
      </c>
      <c r="J74" s="8">
        <f>Table1[[#This Row],[Population]]/Table1[[#This Row],[Cases]]</f>
        <v>429.22023304611815</v>
      </c>
      <c r="K74" s="8">
        <f>Table1[[#This Row],[Population]]/Table1[[#This Row],[Deaths]]</f>
        <v>8792.0475537265665</v>
      </c>
      <c r="L74" s="9">
        <f>Table1[[#This Row],[Deaths]]+Table1[[#This Row],[Active]]*Table1[[#This Row],[Death Rate]]</f>
        <v>3015.3632305013616</v>
      </c>
      <c r="M74" s="10">
        <f>Table1[[#This Row],[Deaths]]/Table1[[#This Row],[Cases]]</f>
        <v>4.8819143711772844E-2</v>
      </c>
      <c r="N74" s="11">
        <f>Table1[[#This Row],[Cases]]/Table1[[#This Row],[Deaths]]</f>
        <v>20.483767718335621</v>
      </c>
      <c r="O74" s="12">
        <f>Table1[[#This Row],[Cases]]/Table1[[#This Row],[Population]]</f>
        <v>2.3298062929213163E-3</v>
      </c>
      <c r="P74" s="12">
        <f>Table1[[#This Row],[Deaths]]/Table1[[#This Row],[Population]]</f>
        <v>1.1373914823471849E-4</v>
      </c>
      <c r="Q74" s="13">
        <f>1-Table1[[#This Row],[Deaths]]/Table1[[#This Row],[Ex(Deaths)]]</f>
        <v>0.27471424408250489</v>
      </c>
      <c r="R74" s="14">
        <f>Table1[[#This Row],[Active]]/Table1[[#This Row],[Cases]]</f>
        <v>0.3787669092370195</v>
      </c>
      <c r="S74" s="12">
        <f>Table1[[#This Row],[Percent Infected]]*Table1[[#This Row],[% Active]]</f>
        <v>8.8245352869076505E-4</v>
      </c>
      <c r="T74" s="8">
        <f>1/Table1[[#This Row],[Percent Actively Infected]]</f>
        <v>1133.2041489863273</v>
      </c>
      <c r="AMC74"/>
    </row>
    <row r="75" spans="1:1017" s="1" customFormat="1" ht="16.5" thickBot="1" x14ac:dyDescent="0.3">
      <c r="A75" s="1">
        <v>74</v>
      </c>
      <c r="B75" s="51">
        <v>74</v>
      </c>
      <c r="C75" s="42" t="s">
        <v>66</v>
      </c>
      <c r="D75" s="47">
        <v>13438</v>
      </c>
      <c r="E75" s="48">
        <v>613</v>
      </c>
      <c r="F75" s="47">
        <v>12340</v>
      </c>
      <c r="G75" s="48">
        <v>485</v>
      </c>
      <c r="H75" s="48">
        <v>3</v>
      </c>
      <c r="I75" s="42">
        <v>5793612</v>
      </c>
      <c r="J75" s="8">
        <f>Table1[[#This Row],[Population]]/Table1[[#This Row],[Cases]]</f>
        <v>431.13647864265516</v>
      </c>
      <c r="K75" s="8">
        <f>Table1[[#This Row],[Population]]/Table1[[#This Row],[Deaths]]</f>
        <v>9451.2430668841753</v>
      </c>
      <c r="L75" s="9">
        <f>Table1[[#This Row],[Deaths]]+Table1[[#This Row],[Active]]*Table1[[#This Row],[Death Rate]]</f>
        <v>635.12420002976637</v>
      </c>
      <c r="M75" s="10">
        <f>Table1[[#This Row],[Deaths]]/Table1[[#This Row],[Cases]]</f>
        <v>4.5616907277868733E-2</v>
      </c>
      <c r="N75" s="11">
        <f>Table1[[#This Row],[Cases]]/Table1[[#This Row],[Deaths]]</f>
        <v>21.921696574225123</v>
      </c>
      <c r="O75" s="12">
        <f>Table1[[#This Row],[Cases]]/Table1[[#This Row],[Population]]</f>
        <v>2.3194511472290516E-3</v>
      </c>
      <c r="P75" s="12">
        <f>Table1[[#This Row],[Deaths]]/Table1[[#This Row],[Population]]</f>
        <v>1.0580618791869389E-4</v>
      </c>
      <c r="Q75" s="13">
        <f>1-Table1[[#This Row],[Deaths]]/Table1[[#This Row],[Ex(Deaths)]]</f>
        <v>3.483444659915258E-2</v>
      </c>
      <c r="R75" s="14">
        <f>Table1[[#This Row],[Active]]/Table1[[#This Row],[Cases]]</f>
        <v>3.6091680309569878E-2</v>
      </c>
      <c r="S75" s="12">
        <f>Table1[[#This Row],[Percent Infected]]*Table1[[#This Row],[% Active]]</f>
        <v>8.3712889299456029E-5</v>
      </c>
      <c r="T75" s="8">
        <f>1/Table1[[#This Row],[Percent Actively Infected]]</f>
        <v>11945.591752577318</v>
      </c>
      <c r="AMC75"/>
    </row>
    <row r="76" spans="1:1017" s="1" customFormat="1" ht="16.5" thickBot="1" x14ac:dyDescent="0.3">
      <c r="A76" s="1">
        <v>75</v>
      </c>
      <c r="B76" s="51">
        <v>61</v>
      </c>
      <c r="C76" s="42" t="s">
        <v>69</v>
      </c>
      <c r="D76" s="47">
        <v>20472</v>
      </c>
      <c r="E76" s="48">
        <v>712</v>
      </c>
      <c r="F76" s="47">
        <v>18209</v>
      </c>
      <c r="G76" s="47">
        <v>1551</v>
      </c>
      <c r="H76" s="48">
        <v>15</v>
      </c>
      <c r="I76" s="42">
        <v>9009896</v>
      </c>
      <c r="J76" s="8">
        <f>Table1[[#This Row],[Population]]/Table1[[#This Row],[Cases]]</f>
        <v>440.10824540836262</v>
      </c>
      <c r="K76" s="8">
        <f>Table1[[#This Row],[Population]]/Table1[[#This Row],[Deaths]]</f>
        <v>12654.348314606741</v>
      </c>
      <c r="L76" s="9">
        <f>Table1[[#This Row],[Deaths]]+Table1[[#This Row],[Active]]*Table1[[#This Row],[Death Rate]]</f>
        <v>765.9425556858148</v>
      </c>
      <c r="M76" s="10">
        <f>Table1[[#This Row],[Deaths]]/Table1[[#This Row],[Cases]]</f>
        <v>3.4779210629152013E-2</v>
      </c>
      <c r="N76" s="11">
        <f>Table1[[#This Row],[Cases]]/Table1[[#This Row],[Deaths]]</f>
        <v>28.752808988764045</v>
      </c>
      <c r="O76" s="12">
        <f>Table1[[#This Row],[Cases]]/Table1[[#This Row],[Population]]</f>
        <v>2.2721682913987022E-3</v>
      </c>
      <c r="P76" s="12">
        <f>Table1[[#This Row],[Deaths]]/Table1[[#This Row],[Population]]</f>
        <v>7.9024219591435904E-5</v>
      </c>
      <c r="Q76" s="13">
        <f>1-Table1[[#This Row],[Deaths]]/Table1[[#This Row],[Ex(Deaths)]]</f>
        <v>7.0426372428824435E-2</v>
      </c>
      <c r="R76" s="14">
        <f>Table1[[#This Row],[Active]]/Table1[[#This Row],[Cases]]</f>
        <v>7.5762016412661198E-2</v>
      </c>
      <c r="S76" s="12">
        <f>Table1[[#This Row],[Percent Infected]]*Table1[[#This Row],[% Active]]</f>
        <v>1.7214405138527684E-4</v>
      </c>
      <c r="T76" s="8">
        <f>1/Table1[[#This Row],[Percent Actively Infected]]</f>
        <v>5809.0883301096055</v>
      </c>
      <c r="AMC76"/>
    </row>
    <row r="77" spans="1:1017" s="1" customFormat="1" ht="16.5" thickBot="1" x14ac:dyDescent="0.3">
      <c r="A77" s="1">
        <v>76</v>
      </c>
      <c r="B77" s="51">
        <v>188</v>
      </c>
      <c r="C77" s="42" t="s">
        <v>62</v>
      </c>
      <c r="D77" s="48">
        <v>86</v>
      </c>
      <c r="E77" s="48">
        <v>1</v>
      </c>
      <c r="F77" s="48">
        <v>81</v>
      </c>
      <c r="G77" s="48">
        <v>4</v>
      </c>
      <c r="H77" s="48"/>
      <c r="I77" s="42">
        <v>38136</v>
      </c>
      <c r="J77" s="8">
        <f>Table1[[#This Row],[Population]]/Table1[[#This Row],[Cases]]</f>
        <v>443.44186046511629</v>
      </c>
      <c r="K77" s="8">
        <f>Table1[[#This Row],[Population]]/Table1[[#This Row],[Deaths]]</f>
        <v>38136</v>
      </c>
      <c r="L77" s="9">
        <f>Table1[[#This Row],[Deaths]]+Table1[[#This Row],[Active]]*Table1[[#This Row],[Death Rate]]</f>
        <v>1.0465116279069768</v>
      </c>
      <c r="M77" s="10">
        <f>Table1[[#This Row],[Deaths]]/Table1[[#This Row],[Cases]]</f>
        <v>1.1627906976744186E-2</v>
      </c>
      <c r="N77" s="11">
        <f>Table1[[#This Row],[Cases]]/Table1[[#This Row],[Deaths]]</f>
        <v>86</v>
      </c>
      <c r="O77" s="12">
        <f>Table1[[#This Row],[Cases]]/Table1[[#This Row],[Population]]</f>
        <v>2.2550870568491714E-3</v>
      </c>
      <c r="P77" s="12">
        <f>Table1[[#This Row],[Deaths]]/Table1[[#This Row],[Population]]</f>
        <v>2.6221942521501992E-5</v>
      </c>
      <c r="Q77" s="13">
        <f>1-Table1[[#This Row],[Deaths]]/Table1[[#This Row],[Ex(Deaths)]]</f>
        <v>4.4444444444444509E-2</v>
      </c>
      <c r="R77" s="14">
        <f>Table1[[#This Row],[Active]]/Table1[[#This Row],[Cases]]</f>
        <v>4.6511627906976744E-2</v>
      </c>
      <c r="S77" s="12">
        <f>Table1[[#This Row],[Percent Infected]]*Table1[[#This Row],[% Active]]</f>
        <v>1.0488777008600797E-4</v>
      </c>
      <c r="T77" s="8">
        <f>1/Table1[[#This Row],[Percent Actively Infected]]</f>
        <v>9534</v>
      </c>
      <c r="AMC77"/>
    </row>
    <row r="78" spans="1:1017" s="1" customFormat="1" ht="16.5" thickBot="1" x14ac:dyDescent="0.3">
      <c r="A78" s="1">
        <v>77</v>
      </c>
      <c r="B78" s="51">
        <v>70</v>
      </c>
      <c r="C78" s="42" t="s">
        <v>120</v>
      </c>
      <c r="D78" s="47">
        <v>14630</v>
      </c>
      <c r="E78" s="48">
        <v>400</v>
      </c>
      <c r="F78" s="47">
        <v>7648</v>
      </c>
      <c r="G78" s="47">
        <v>6582</v>
      </c>
      <c r="H78" s="48">
        <v>486</v>
      </c>
      <c r="I78" s="42">
        <v>6488443</v>
      </c>
      <c r="J78" s="8">
        <f>Table1[[#This Row],[Population]]/Table1[[#This Row],[Cases]]</f>
        <v>443.50259740259742</v>
      </c>
      <c r="K78" s="8">
        <f>Table1[[#This Row],[Population]]/Table1[[#This Row],[Deaths]]</f>
        <v>16221.1075</v>
      </c>
      <c r="L78" s="9">
        <f>Table1[[#This Row],[Deaths]]+Table1[[#This Row],[Active]]*Table1[[#This Row],[Death Rate]]</f>
        <v>579.95898838004098</v>
      </c>
      <c r="M78" s="10">
        <f>Table1[[#This Row],[Deaths]]/Table1[[#This Row],[Cases]]</f>
        <v>2.7341079972658919E-2</v>
      </c>
      <c r="N78" s="11">
        <f>Table1[[#This Row],[Cases]]/Table1[[#This Row],[Deaths]]</f>
        <v>36.575000000000003</v>
      </c>
      <c r="O78" s="12">
        <f>Table1[[#This Row],[Cases]]/Table1[[#This Row],[Population]]</f>
        <v>2.2547782264558695E-3</v>
      </c>
      <c r="P78" s="12">
        <f>Table1[[#This Row],[Deaths]]/Table1[[#This Row],[Population]]</f>
        <v>6.1648071810139964E-5</v>
      </c>
      <c r="Q78" s="13">
        <f>1-Table1[[#This Row],[Deaths]]/Table1[[#This Row],[Ex(Deaths)]]</f>
        <v>0.31029605883462186</v>
      </c>
      <c r="R78" s="14">
        <f>Table1[[#This Row],[Active]]/Table1[[#This Row],[Cases]]</f>
        <v>0.44989747095010252</v>
      </c>
      <c r="S78" s="12">
        <f>Table1[[#This Row],[Percent Infected]]*Table1[[#This Row],[% Active]]</f>
        <v>1.0144190216358532E-3</v>
      </c>
      <c r="T78" s="8">
        <f>1/Table1[[#This Row],[Percent Actively Infected]]</f>
        <v>985.78593132786386</v>
      </c>
      <c r="AMC78"/>
    </row>
    <row r="79" spans="1:1017" s="1" customFormat="1" ht="16.5" thickBot="1" x14ac:dyDescent="0.3">
      <c r="A79" s="1">
        <v>78</v>
      </c>
      <c r="B79" s="51">
        <v>108</v>
      </c>
      <c r="C79" s="42" t="s">
        <v>91</v>
      </c>
      <c r="D79" s="47">
        <v>3071</v>
      </c>
      <c r="E79" s="48">
        <v>51</v>
      </c>
      <c r="F79" s="48">
        <v>842</v>
      </c>
      <c r="G79" s="47">
        <v>2178</v>
      </c>
      <c r="H79" s="48"/>
      <c r="I79" s="42">
        <v>1405482</v>
      </c>
      <c r="J79" s="8">
        <f>Table1[[#This Row],[Population]]/Table1[[#This Row],[Cases]]</f>
        <v>457.66265060240966</v>
      </c>
      <c r="K79" s="8">
        <f>Table1[[#This Row],[Population]]/Table1[[#This Row],[Deaths]]</f>
        <v>27558.470588235294</v>
      </c>
      <c r="L79" s="9">
        <f>Table1[[#This Row],[Deaths]]+Table1[[#This Row],[Active]]*Table1[[#This Row],[Death Rate]]</f>
        <v>87.169977206121786</v>
      </c>
      <c r="M79" s="10">
        <f>Table1[[#This Row],[Deaths]]/Table1[[#This Row],[Cases]]</f>
        <v>1.6606968414197329E-2</v>
      </c>
      <c r="N79" s="11">
        <f>Table1[[#This Row],[Cases]]/Table1[[#This Row],[Deaths]]</f>
        <v>60.215686274509807</v>
      </c>
      <c r="O79" s="12">
        <f>Table1[[#This Row],[Cases]]/Table1[[#This Row],[Population]]</f>
        <v>2.1850155320381195E-3</v>
      </c>
      <c r="P79" s="12">
        <f>Table1[[#This Row],[Deaths]]/Table1[[#This Row],[Population]]</f>
        <v>3.6286483925087622E-5</v>
      </c>
      <c r="Q79" s="13">
        <f>1-Table1[[#This Row],[Deaths]]/Table1[[#This Row],[Ex(Deaths)]]</f>
        <v>0.41493617831967999</v>
      </c>
      <c r="R79" s="14">
        <f>Table1[[#This Row],[Active]]/Table1[[#This Row],[Cases]]</f>
        <v>0.70921523933572128</v>
      </c>
      <c r="S79" s="12">
        <f>Table1[[#This Row],[Percent Infected]]*Table1[[#This Row],[% Active]]</f>
        <v>1.5496463135066833E-3</v>
      </c>
      <c r="T79" s="8">
        <f>1/Table1[[#This Row],[Percent Actively Infected]]</f>
        <v>645.30853994490349</v>
      </c>
      <c r="AMC79"/>
    </row>
    <row r="80" spans="1:1017" s="1" customFormat="1" ht="16.5" thickBot="1" x14ac:dyDescent="0.3">
      <c r="A80" s="1">
        <v>79</v>
      </c>
      <c r="B80" s="51">
        <v>186</v>
      </c>
      <c r="C80" s="42" t="s">
        <v>71</v>
      </c>
      <c r="D80" s="48">
        <v>93</v>
      </c>
      <c r="E80" s="48">
        <v>15</v>
      </c>
      <c r="F80" s="48">
        <v>63</v>
      </c>
      <c r="G80" s="48">
        <v>15</v>
      </c>
      <c r="H80" s="48"/>
      <c r="I80" s="42">
        <v>42908</v>
      </c>
      <c r="J80" s="8">
        <f>Table1[[#This Row],[Population]]/Table1[[#This Row],[Cases]]</f>
        <v>461.3763440860215</v>
      </c>
      <c r="K80" s="8">
        <f>Table1[[#This Row],[Population]]/Table1[[#This Row],[Deaths]]</f>
        <v>2860.5333333333333</v>
      </c>
      <c r="L80" s="9">
        <f>Table1[[#This Row],[Deaths]]+Table1[[#This Row],[Active]]*Table1[[#This Row],[Death Rate]]</f>
        <v>17.419354838709676</v>
      </c>
      <c r="M80" s="10">
        <f>Table1[[#This Row],[Deaths]]/Table1[[#This Row],[Cases]]</f>
        <v>0.16129032258064516</v>
      </c>
      <c r="N80" s="11">
        <f>Table1[[#This Row],[Cases]]/Table1[[#This Row],[Deaths]]</f>
        <v>6.2</v>
      </c>
      <c r="O80" s="12">
        <f>Table1[[#This Row],[Cases]]/Table1[[#This Row],[Population]]</f>
        <v>2.1674279854572574E-3</v>
      </c>
      <c r="P80" s="12">
        <f>Table1[[#This Row],[Deaths]]/Table1[[#This Row],[Population]]</f>
        <v>3.4958515894471895E-4</v>
      </c>
      <c r="Q80" s="13">
        <f>1-Table1[[#This Row],[Deaths]]/Table1[[#This Row],[Ex(Deaths)]]</f>
        <v>0.13888888888888884</v>
      </c>
      <c r="R80" s="14">
        <f>Table1[[#This Row],[Active]]/Table1[[#This Row],[Cases]]</f>
        <v>0.16129032258064516</v>
      </c>
      <c r="S80" s="12">
        <f>Table1[[#This Row],[Percent Infected]]*Table1[[#This Row],[% Active]]</f>
        <v>3.4958515894471895E-4</v>
      </c>
      <c r="T80" s="8">
        <f>1/Table1[[#This Row],[Percent Actively Infected]]</f>
        <v>2860.5333333333333</v>
      </c>
      <c r="AMC80"/>
    </row>
    <row r="81" spans="1:1017" s="1" customFormat="1" ht="16.5" thickBot="1" x14ac:dyDescent="0.3">
      <c r="A81" s="1">
        <v>80</v>
      </c>
      <c r="B81" s="51">
        <v>77</v>
      </c>
      <c r="C81" s="42" t="s">
        <v>177</v>
      </c>
      <c r="D81" s="47">
        <v>10469</v>
      </c>
      <c r="E81" s="48">
        <v>75</v>
      </c>
      <c r="F81" s="47">
        <v>3752</v>
      </c>
      <c r="G81" s="47">
        <v>6642</v>
      </c>
      <c r="H81" s="48"/>
      <c r="I81" s="42">
        <v>5108442</v>
      </c>
      <c r="J81" s="8">
        <f>Table1[[#This Row],[Population]]/Table1[[#This Row],[Cases]]</f>
        <v>487.95892635399753</v>
      </c>
      <c r="K81" s="8">
        <f>Table1[[#This Row],[Population]]/Table1[[#This Row],[Deaths]]</f>
        <v>68112.56</v>
      </c>
      <c r="L81" s="9">
        <f>Table1[[#This Row],[Deaths]]+Table1[[#This Row],[Active]]*Table1[[#This Row],[Death Rate]]</f>
        <v>122.58334129334224</v>
      </c>
      <c r="M81" s="10">
        <f>Table1[[#This Row],[Deaths]]/Table1[[#This Row],[Cases]]</f>
        <v>7.1640080236889869E-3</v>
      </c>
      <c r="N81" s="11">
        <f>Table1[[#This Row],[Cases]]/Table1[[#This Row],[Deaths]]</f>
        <v>139.58666666666667</v>
      </c>
      <c r="O81" s="12">
        <f>Table1[[#This Row],[Cases]]/Table1[[#This Row],[Population]]</f>
        <v>2.049352816377283E-3</v>
      </c>
      <c r="P81" s="12">
        <f>Table1[[#This Row],[Deaths]]/Table1[[#This Row],[Population]]</f>
        <v>1.4681580019896477E-5</v>
      </c>
      <c r="Q81" s="13">
        <f>1-Table1[[#This Row],[Deaths]]/Table1[[#This Row],[Ex(Deaths)]]</f>
        <v>0.38817135176202444</v>
      </c>
      <c r="R81" s="14">
        <f>Table1[[#This Row],[Active]]/Table1[[#This Row],[Cases]]</f>
        <v>0.63444455057789662</v>
      </c>
      <c r="S81" s="12">
        <f>Table1[[#This Row],[Percent Infected]]*Table1[[#This Row],[% Active]]</f>
        <v>1.3002007265620319E-3</v>
      </c>
      <c r="T81" s="8">
        <f>1/Table1[[#This Row],[Percent Actively Infected]]</f>
        <v>769.11201445347797</v>
      </c>
      <c r="AMC81"/>
    </row>
    <row r="82" spans="1:1017" s="1" customFormat="1" ht="16.5" thickBot="1" x14ac:dyDescent="0.3">
      <c r="A82" s="1">
        <v>81</v>
      </c>
      <c r="B82" s="51">
        <v>121</v>
      </c>
      <c r="C82" s="42" t="s">
        <v>140</v>
      </c>
      <c r="D82" s="47">
        <v>2142</v>
      </c>
      <c r="E82" s="48">
        <v>28</v>
      </c>
      <c r="F82" s="48">
        <v>940</v>
      </c>
      <c r="G82" s="47">
        <v>1174</v>
      </c>
      <c r="H82" s="48">
        <v>5</v>
      </c>
      <c r="I82" s="42">
        <v>1160954</v>
      </c>
      <c r="J82" s="8">
        <f>Table1[[#This Row],[Population]]/Table1[[#This Row],[Cases]]</f>
        <v>541.99533146591966</v>
      </c>
      <c r="K82" s="8">
        <f>Table1[[#This Row],[Population]]/Table1[[#This Row],[Deaths]]</f>
        <v>41462.642857142855</v>
      </c>
      <c r="L82" s="9">
        <f>Table1[[#This Row],[Deaths]]+Table1[[#This Row],[Active]]*Table1[[#This Row],[Death Rate]]</f>
        <v>43.346405228758172</v>
      </c>
      <c r="M82" s="10">
        <f>Table1[[#This Row],[Deaths]]/Table1[[#This Row],[Cases]]</f>
        <v>1.3071895424836602E-2</v>
      </c>
      <c r="N82" s="11">
        <f>Table1[[#This Row],[Cases]]/Table1[[#This Row],[Deaths]]</f>
        <v>76.5</v>
      </c>
      <c r="O82" s="12">
        <f>Table1[[#This Row],[Cases]]/Table1[[#This Row],[Population]]</f>
        <v>1.8450343424459539E-3</v>
      </c>
      <c r="P82" s="12">
        <f>Table1[[#This Row],[Deaths]]/Table1[[#This Row],[Population]]</f>
        <v>2.4118095979685671E-5</v>
      </c>
      <c r="Q82" s="13">
        <f>1-Table1[[#This Row],[Deaths]]/Table1[[#This Row],[Ex(Deaths)]]</f>
        <v>0.35404101326899884</v>
      </c>
      <c r="R82" s="14">
        <f>Table1[[#This Row],[Active]]/Table1[[#This Row],[Cases]]</f>
        <v>0.54808590102707755</v>
      </c>
      <c r="S82" s="12">
        <f>Table1[[#This Row],[Percent Infected]]*Table1[[#This Row],[% Active]]</f>
        <v>1.0112373100053921E-3</v>
      </c>
      <c r="T82" s="8">
        <f>1/Table1[[#This Row],[Percent Actively Infected]]</f>
        <v>988.88756388415675</v>
      </c>
      <c r="AMC82"/>
    </row>
    <row r="83" spans="1:1017" s="1" customFormat="1" ht="16.5" thickBot="1" x14ac:dyDescent="0.3">
      <c r="A83" s="1">
        <v>82</v>
      </c>
      <c r="B83" s="51">
        <v>83</v>
      </c>
      <c r="C83" s="42" t="s">
        <v>75</v>
      </c>
      <c r="D83" s="47">
        <v>9111</v>
      </c>
      <c r="E83" s="48">
        <v>255</v>
      </c>
      <c r="F83" s="47">
        <v>8674</v>
      </c>
      <c r="G83" s="48">
        <v>182</v>
      </c>
      <c r="H83" s="48">
        <v>1</v>
      </c>
      <c r="I83" s="42">
        <v>5424083</v>
      </c>
      <c r="J83" s="8">
        <f>Table1[[#This Row],[Population]]/Table1[[#This Row],[Cases]]</f>
        <v>595.33344309076938</v>
      </c>
      <c r="K83" s="8">
        <f>Table1[[#This Row],[Population]]/Table1[[#This Row],[Deaths]]</f>
        <v>21270.913725490194</v>
      </c>
      <c r="L83" s="9">
        <f>Table1[[#This Row],[Deaths]]+Table1[[#This Row],[Active]]*Table1[[#This Row],[Death Rate]]</f>
        <v>260.09384260783668</v>
      </c>
      <c r="M83" s="10">
        <f>Table1[[#This Row],[Deaths]]/Table1[[#This Row],[Cases]]</f>
        <v>2.7988146196904842E-2</v>
      </c>
      <c r="N83" s="11">
        <f>Table1[[#This Row],[Cases]]/Table1[[#This Row],[Deaths]]</f>
        <v>35.72941176470588</v>
      </c>
      <c r="O83" s="12">
        <f>Table1[[#This Row],[Cases]]/Table1[[#This Row],[Population]]</f>
        <v>1.6797309333208949E-3</v>
      </c>
      <c r="P83" s="12">
        <f>Table1[[#This Row],[Deaths]]/Table1[[#This Row],[Population]]</f>
        <v>4.7012554933248628E-5</v>
      </c>
      <c r="Q83" s="13">
        <f>1-Table1[[#This Row],[Deaths]]/Table1[[#This Row],[Ex(Deaths)]]</f>
        <v>1.9584633595179146E-2</v>
      </c>
      <c r="R83" s="14">
        <f>Table1[[#This Row],[Active]]/Table1[[#This Row],[Cases]]</f>
        <v>1.9975853364065415E-2</v>
      </c>
      <c r="S83" s="12">
        <f>Table1[[#This Row],[Percent Infected]]*Table1[[#This Row],[% Active]]</f>
        <v>3.3554058815102939E-5</v>
      </c>
      <c r="T83" s="8">
        <f>1/Table1[[#This Row],[Percent Actively Infected]]</f>
        <v>29802.653846153848</v>
      </c>
      <c r="AMC83"/>
    </row>
    <row r="84" spans="1:1017" s="1" customFormat="1" ht="16.5" thickBot="1" x14ac:dyDescent="0.3">
      <c r="A84" s="1">
        <v>83</v>
      </c>
      <c r="B84" s="51">
        <v>96</v>
      </c>
      <c r="C84" s="42" t="s">
        <v>114</v>
      </c>
      <c r="D84" s="47">
        <v>4637</v>
      </c>
      <c r="E84" s="48">
        <v>134</v>
      </c>
      <c r="F84" s="47">
        <v>2637</v>
      </c>
      <c r="G84" s="47">
        <v>1866</v>
      </c>
      <c r="H84" s="48">
        <v>17</v>
      </c>
      <c r="I84" s="42">
        <v>2877573</v>
      </c>
      <c r="J84" s="8">
        <f>Table1[[#This Row],[Population]]/Table1[[#This Row],[Cases]]</f>
        <v>620.56782402415354</v>
      </c>
      <c r="K84" s="8">
        <f>Table1[[#This Row],[Population]]/Table1[[#This Row],[Deaths]]</f>
        <v>21474.425373134327</v>
      </c>
      <c r="L84" s="9">
        <f>Table1[[#This Row],[Deaths]]+Table1[[#This Row],[Active]]*Table1[[#This Row],[Death Rate]]</f>
        <v>187.92365753720077</v>
      </c>
      <c r="M84" s="10">
        <f>Table1[[#This Row],[Deaths]]/Table1[[#This Row],[Cases]]</f>
        <v>2.8897994392926462E-2</v>
      </c>
      <c r="N84" s="11">
        <f>Table1[[#This Row],[Cases]]/Table1[[#This Row],[Deaths]]</f>
        <v>34.604477611940297</v>
      </c>
      <c r="O84" s="12">
        <f>Table1[[#This Row],[Cases]]/Table1[[#This Row],[Population]]</f>
        <v>1.6114274077495168E-3</v>
      </c>
      <c r="P84" s="12">
        <f>Table1[[#This Row],[Deaths]]/Table1[[#This Row],[Population]]</f>
        <v>4.6567020193753553E-5</v>
      </c>
      <c r="Q84" s="13">
        <f>1-Table1[[#This Row],[Deaths]]/Table1[[#This Row],[Ex(Deaths)]]</f>
        <v>0.28694448715977239</v>
      </c>
      <c r="R84" s="14">
        <f>Table1[[#This Row],[Active]]/Table1[[#This Row],[Cases]]</f>
        <v>0.40241535475522966</v>
      </c>
      <c r="S84" s="12">
        <f>Table1[[#This Row],[Percent Infected]]*Table1[[#This Row],[% Active]]</f>
        <v>6.4846313195182192E-4</v>
      </c>
      <c r="T84" s="8">
        <f>1/Table1[[#This Row],[Percent Actively Infected]]</f>
        <v>1542.1077170418007</v>
      </c>
      <c r="AMC84"/>
    </row>
    <row r="85" spans="1:1017" s="1" customFormat="1" ht="16.5" thickBot="1" x14ac:dyDescent="0.3">
      <c r="A85" s="1">
        <v>84</v>
      </c>
      <c r="B85" s="51">
        <v>152</v>
      </c>
      <c r="C85" s="42" t="s">
        <v>77</v>
      </c>
      <c r="D85" s="48">
        <v>700</v>
      </c>
      <c r="E85" s="48">
        <v>9</v>
      </c>
      <c r="F85" s="48">
        <v>665</v>
      </c>
      <c r="G85" s="48">
        <v>26</v>
      </c>
      <c r="H85" s="48"/>
      <c r="I85" s="42">
        <v>441625</v>
      </c>
      <c r="J85" s="8">
        <f>Table1[[#This Row],[Population]]/Table1[[#This Row],[Cases]]</f>
        <v>630.89285714285711</v>
      </c>
      <c r="K85" s="8">
        <f>Table1[[#This Row],[Population]]/Table1[[#This Row],[Deaths]]</f>
        <v>49069.444444444445</v>
      </c>
      <c r="L85" s="9">
        <f>Table1[[#This Row],[Deaths]]+Table1[[#This Row],[Active]]*Table1[[#This Row],[Death Rate]]</f>
        <v>9.3342857142857145</v>
      </c>
      <c r="M85" s="10">
        <f>Table1[[#This Row],[Deaths]]/Table1[[#This Row],[Cases]]</f>
        <v>1.2857142857142857E-2</v>
      </c>
      <c r="N85" s="11">
        <f>Table1[[#This Row],[Cases]]/Table1[[#This Row],[Deaths]]</f>
        <v>77.777777777777771</v>
      </c>
      <c r="O85" s="12">
        <f>Table1[[#This Row],[Cases]]/Table1[[#This Row],[Population]]</f>
        <v>1.5850551938862156E-3</v>
      </c>
      <c r="P85" s="12">
        <f>Table1[[#This Row],[Deaths]]/Table1[[#This Row],[Population]]</f>
        <v>2.0379281064251343E-5</v>
      </c>
      <c r="Q85" s="13">
        <f>1-Table1[[#This Row],[Deaths]]/Table1[[#This Row],[Ex(Deaths)]]</f>
        <v>3.5812672176308569E-2</v>
      </c>
      <c r="R85" s="14">
        <f>Table1[[#This Row],[Active]]/Table1[[#This Row],[Cases]]</f>
        <v>3.7142857142857144E-2</v>
      </c>
      <c r="S85" s="12">
        <f>Table1[[#This Row],[Percent Infected]]*Table1[[#This Row],[% Active]]</f>
        <v>5.8873478630059438E-5</v>
      </c>
      <c r="T85" s="8">
        <f>1/Table1[[#This Row],[Percent Actively Infected]]</f>
        <v>16985.576923076922</v>
      </c>
      <c r="AMC85"/>
    </row>
    <row r="86" spans="1:1017" s="1" customFormat="1" ht="16.5" thickBot="1" x14ac:dyDescent="0.3">
      <c r="A86" s="1">
        <v>85</v>
      </c>
      <c r="B86" s="51">
        <v>123</v>
      </c>
      <c r="C86" s="42" t="s">
        <v>78</v>
      </c>
      <c r="D86" s="47">
        <v>2034</v>
      </c>
      <c r="E86" s="48">
        <v>69</v>
      </c>
      <c r="F86" s="47">
        <v>1922</v>
      </c>
      <c r="G86" s="48">
        <v>43</v>
      </c>
      <c r="H86" s="48">
        <v>1</v>
      </c>
      <c r="I86" s="42">
        <v>1326598</v>
      </c>
      <c r="J86" s="8">
        <f>Table1[[#This Row],[Population]]/Table1[[#This Row],[Cases]]</f>
        <v>652.21140609636188</v>
      </c>
      <c r="K86" s="8">
        <f>Table1[[#This Row],[Population]]/Table1[[#This Row],[Deaths]]</f>
        <v>19226.057971014492</v>
      </c>
      <c r="L86" s="9">
        <f>Table1[[#This Row],[Deaths]]+Table1[[#This Row],[Active]]*Table1[[#This Row],[Death Rate]]</f>
        <v>70.458702064896755</v>
      </c>
      <c r="M86" s="10">
        <f>Table1[[#This Row],[Deaths]]/Table1[[#This Row],[Cases]]</f>
        <v>3.3923303834808259E-2</v>
      </c>
      <c r="N86" s="11">
        <f>Table1[[#This Row],[Cases]]/Table1[[#This Row],[Deaths]]</f>
        <v>29.478260869565219</v>
      </c>
      <c r="O86" s="12">
        <f>Table1[[#This Row],[Cases]]/Table1[[#This Row],[Population]]</f>
        <v>1.5332451880675231E-3</v>
      </c>
      <c r="P86" s="12">
        <f>Table1[[#This Row],[Deaths]]/Table1[[#This Row],[Population]]</f>
        <v>5.2012742368072318E-5</v>
      </c>
      <c r="Q86" s="13">
        <f>1-Table1[[#This Row],[Deaths]]/Table1[[#This Row],[Ex(Deaths)]]</f>
        <v>2.0702936928261972E-2</v>
      </c>
      <c r="R86" s="14">
        <f>Table1[[#This Row],[Active]]/Table1[[#This Row],[Cases]]</f>
        <v>2.1140609636184856E-2</v>
      </c>
      <c r="S86" s="12">
        <f>Table1[[#This Row],[Percent Infected]]*Table1[[#This Row],[% Active]]</f>
        <v>3.2413737997494343E-5</v>
      </c>
      <c r="T86" s="8">
        <f>1/Table1[[#This Row],[Percent Actively Infected]]</f>
        <v>30851.116279069767</v>
      </c>
      <c r="AMC86"/>
    </row>
    <row r="87" spans="1:1017" s="1" customFormat="1" ht="16.5" thickBot="1" x14ac:dyDescent="0.3">
      <c r="A87" s="1">
        <v>86</v>
      </c>
      <c r="B87" s="51">
        <v>78</v>
      </c>
      <c r="C87" s="42" t="s">
        <v>113</v>
      </c>
      <c r="D87" s="47">
        <v>10312</v>
      </c>
      <c r="E87" s="48">
        <v>338</v>
      </c>
      <c r="F87" s="47">
        <v>5306</v>
      </c>
      <c r="G87" s="47">
        <v>4668</v>
      </c>
      <c r="H87" s="48">
        <v>33</v>
      </c>
      <c r="I87" s="42">
        <v>6944559</v>
      </c>
      <c r="J87" s="8">
        <f>Table1[[#This Row],[Population]]/Table1[[#This Row],[Cases]]</f>
        <v>673.44443366951123</v>
      </c>
      <c r="K87" s="8">
        <f>Table1[[#This Row],[Population]]/Table1[[#This Row],[Deaths]]</f>
        <v>20546.032544378697</v>
      </c>
      <c r="L87" s="9">
        <f>Table1[[#This Row],[Deaths]]+Table1[[#This Row],[Active]]*Table1[[#This Row],[Death Rate]]</f>
        <v>491.00465477114039</v>
      </c>
      <c r="M87" s="10">
        <f>Table1[[#This Row],[Deaths]]/Table1[[#This Row],[Cases]]</f>
        <v>3.277734678044996E-2</v>
      </c>
      <c r="N87" s="11">
        <f>Table1[[#This Row],[Cases]]/Table1[[#This Row],[Deaths]]</f>
        <v>30.508875739644971</v>
      </c>
      <c r="O87" s="12">
        <f>Table1[[#This Row],[Cases]]/Table1[[#This Row],[Population]]</f>
        <v>1.484903505031781E-3</v>
      </c>
      <c r="P87" s="12">
        <f>Table1[[#This Row],[Deaths]]/Table1[[#This Row],[Population]]</f>
        <v>4.8671197119932311E-5</v>
      </c>
      <c r="Q87" s="13">
        <f>1-Table1[[#This Row],[Deaths]]/Table1[[#This Row],[Ex(Deaths)]]</f>
        <v>0.31161548731642186</v>
      </c>
      <c r="R87" s="14">
        <f>Table1[[#This Row],[Active]]/Table1[[#This Row],[Cases]]</f>
        <v>0.4526764934057409</v>
      </c>
      <c r="S87" s="12">
        <f>Table1[[#This Row],[Percent Infected]]*Table1[[#This Row],[% Active]]</f>
        <v>6.7218091170368052E-4</v>
      </c>
      <c r="T87" s="8">
        <f>1/Table1[[#This Row],[Percent Actively Infected]]</f>
        <v>1487.6947300771208</v>
      </c>
      <c r="AMC87"/>
    </row>
    <row r="88" spans="1:1017" s="1" customFormat="1" ht="16.5" thickBot="1" x14ac:dyDescent="0.3">
      <c r="A88" s="1">
        <v>87</v>
      </c>
      <c r="B88" s="51">
        <v>35</v>
      </c>
      <c r="C88" s="42" t="s">
        <v>105</v>
      </c>
      <c r="D88" s="47">
        <v>64849</v>
      </c>
      <c r="E88" s="47">
        <v>1605</v>
      </c>
      <c r="F88" s="47">
        <v>35807</v>
      </c>
      <c r="G88" s="47">
        <v>27437</v>
      </c>
      <c r="H88" s="48">
        <v>91</v>
      </c>
      <c r="I88" s="42">
        <v>43714427</v>
      </c>
      <c r="J88" s="8">
        <f>Table1[[#This Row],[Population]]/Table1[[#This Row],[Cases]]</f>
        <v>674.09562213758113</v>
      </c>
      <c r="K88" s="8">
        <f>Table1[[#This Row],[Population]]/Table1[[#This Row],[Deaths]]</f>
        <v>27236.403115264799</v>
      </c>
      <c r="L88" s="9">
        <f>Table1[[#This Row],[Deaths]]+Table1[[#This Row],[Active]]*Table1[[#This Row],[Death Rate]]</f>
        <v>2284.0603555953057</v>
      </c>
      <c r="M88" s="10">
        <f>Table1[[#This Row],[Deaths]]/Table1[[#This Row],[Cases]]</f>
        <v>2.4749803389412326E-2</v>
      </c>
      <c r="N88" s="11">
        <f>Table1[[#This Row],[Cases]]/Table1[[#This Row],[Deaths]]</f>
        <v>40.404361370716508</v>
      </c>
      <c r="O88" s="12">
        <f>Table1[[#This Row],[Cases]]/Table1[[#This Row],[Population]]</f>
        <v>1.4834690615983597E-3</v>
      </c>
      <c r="P88" s="12">
        <f>Table1[[#This Row],[Deaths]]/Table1[[#This Row],[Population]]</f>
        <v>3.6715567608835405E-5</v>
      </c>
      <c r="Q88" s="13">
        <f>1-Table1[[#This Row],[Deaths]]/Table1[[#This Row],[Ex(Deaths)]]</f>
        <v>0.29730403311444853</v>
      </c>
      <c r="R88" s="14">
        <f>Table1[[#This Row],[Active]]/Table1[[#This Row],[Cases]]</f>
        <v>0.42309056423383551</v>
      </c>
      <c r="S88" s="12">
        <f>Table1[[#This Row],[Percent Infected]]*Table1[[#This Row],[% Active]]</f>
        <v>6.2764176229508845E-4</v>
      </c>
      <c r="T88" s="8">
        <f>1/Table1[[#This Row],[Percent Actively Infected]]</f>
        <v>1593.2655538141928</v>
      </c>
      <c r="AMC88"/>
    </row>
    <row r="89" spans="1:1017" s="1" customFormat="1" ht="16.5" thickBot="1" x14ac:dyDescent="0.3">
      <c r="A89" s="1">
        <v>88</v>
      </c>
      <c r="B89" s="51">
        <v>68</v>
      </c>
      <c r="C89" s="42" t="s">
        <v>89</v>
      </c>
      <c r="D89" s="47">
        <v>15273</v>
      </c>
      <c r="E89" s="48">
        <v>371</v>
      </c>
      <c r="F89" s="47">
        <v>11423</v>
      </c>
      <c r="G89" s="47">
        <v>3479</v>
      </c>
      <c r="H89" s="48">
        <v>15</v>
      </c>
      <c r="I89" s="42">
        <v>10710370</v>
      </c>
      <c r="J89" s="8">
        <f>Table1[[#This Row],[Population]]/Table1[[#This Row],[Cases]]</f>
        <v>701.26170366005374</v>
      </c>
      <c r="K89" s="8">
        <f>Table1[[#This Row],[Population]]/Table1[[#This Row],[Deaths]]</f>
        <v>28868.921832884098</v>
      </c>
      <c r="L89" s="9">
        <f>Table1[[#This Row],[Deaths]]+Table1[[#This Row],[Active]]*Table1[[#This Row],[Death Rate]]</f>
        <v>455.50919924048975</v>
      </c>
      <c r="M89" s="10">
        <f>Table1[[#This Row],[Deaths]]/Table1[[#This Row],[Cases]]</f>
        <v>2.429123289465069E-2</v>
      </c>
      <c r="N89" s="11">
        <f>Table1[[#This Row],[Cases]]/Table1[[#This Row],[Deaths]]</f>
        <v>41.167115902964959</v>
      </c>
      <c r="O89" s="12">
        <f>Table1[[#This Row],[Cases]]/Table1[[#This Row],[Population]]</f>
        <v>1.4260011558891055E-3</v>
      </c>
      <c r="P89" s="12">
        <f>Table1[[#This Row],[Deaths]]/Table1[[#This Row],[Population]]</f>
        <v>3.4639326185743351E-5</v>
      </c>
      <c r="Q89" s="13">
        <f>1-Table1[[#This Row],[Deaths]]/Table1[[#This Row],[Ex(Deaths)]]</f>
        <v>0.18552687713310578</v>
      </c>
      <c r="R89" s="14">
        <f>Table1[[#This Row],[Active]]/Table1[[#This Row],[Cases]]</f>
        <v>0.22778759903096968</v>
      </c>
      <c r="S89" s="12">
        <f>Table1[[#This Row],[Percent Infected]]*Table1[[#This Row],[% Active]]</f>
        <v>3.2482537951536688E-4</v>
      </c>
      <c r="T89" s="8">
        <f>1/Table1[[#This Row],[Percent Actively Infected]]</f>
        <v>3078.5771773498132</v>
      </c>
      <c r="AMC89"/>
    </row>
    <row r="90" spans="1:1017" s="1" customFormat="1" ht="16.5" thickBot="1" x14ac:dyDescent="0.3">
      <c r="A90" s="1">
        <v>89</v>
      </c>
      <c r="B90" s="51">
        <v>17</v>
      </c>
      <c r="C90" s="42" t="s">
        <v>139</v>
      </c>
      <c r="D90" s="47">
        <v>223453</v>
      </c>
      <c r="E90" s="47">
        <v>2928</v>
      </c>
      <c r="F90" s="47">
        <v>123882</v>
      </c>
      <c r="G90" s="47">
        <v>96643</v>
      </c>
      <c r="H90" s="48">
        <v>1</v>
      </c>
      <c r="I90" s="42">
        <v>164797647</v>
      </c>
      <c r="J90" s="8">
        <f>Table1[[#This Row],[Population]]/Table1[[#This Row],[Cases]]</f>
        <v>737.50474148926173</v>
      </c>
      <c r="K90" s="8">
        <f>Table1[[#This Row],[Population]]/Table1[[#This Row],[Deaths]]</f>
        <v>56283.3493852459</v>
      </c>
      <c r="L90" s="9">
        <f>Table1[[#This Row],[Deaths]]+Table1[[#This Row],[Active]]*Table1[[#This Row],[Death Rate]]</f>
        <v>4194.3544638022313</v>
      </c>
      <c r="M90" s="10">
        <f>Table1[[#This Row],[Deaths]]/Table1[[#This Row],[Cases]]</f>
        <v>1.3103426671380558E-2</v>
      </c>
      <c r="N90" s="11">
        <f>Table1[[#This Row],[Cases]]/Table1[[#This Row],[Deaths]]</f>
        <v>76.31591530054645</v>
      </c>
      <c r="O90" s="12">
        <f>Table1[[#This Row],[Cases]]/Table1[[#This Row],[Population]]</f>
        <v>1.3559234859706461E-3</v>
      </c>
      <c r="P90" s="12">
        <f>Table1[[#This Row],[Deaths]]/Table1[[#This Row],[Population]]</f>
        <v>1.7767243970419067E-5</v>
      </c>
      <c r="Q90" s="13">
        <f>1-Table1[[#This Row],[Deaths]]/Table1[[#This Row],[Ex(Deaths)]]</f>
        <v>0.30191879936019195</v>
      </c>
      <c r="R90" s="14">
        <f>Table1[[#This Row],[Active]]/Table1[[#This Row],[Cases]]</f>
        <v>0.43249810922207355</v>
      </c>
      <c r="S90" s="12">
        <f>Table1[[#This Row],[Percent Infected]]*Table1[[#This Row],[% Active]]</f>
        <v>5.8643434393210723E-4</v>
      </c>
      <c r="T90" s="8">
        <f>1/Table1[[#This Row],[Percent Actively Infected]]</f>
        <v>1705.2207299028382</v>
      </c>
      <c r="AMC90"/>
    </row>
    <row r="91" spans="1:1017" s="1" customFormat="1" ht="16.5" thickBot="1" x14ac:dyDescent="0.3">
      <c r="A91" s="1">
        <v>90</v>
      </c>
      <c r="B91" s="51">
        <v>86</v>
      </c>
      <c r="C91" s="42" t="s">
        <v>81</v>
      </c>
      <c r="D91" s="47">
        <v>7393</v>
      </c>
      <c r="E91" s="48">
        <v>329</v>
      </c>
      <c r="F91" s="47">
        <v>6920</v>
      </c>
      <c r="G91" s="48">
        <v>144</v>
      </c>
      <c r="H91" s="48"/>
      <c r="I91" s="42">
        <v>5541323</v>
      </c>
      <c r="J91" s="8">
        <f>Table1[[#This Row],[Population]]/Table1[[#This Row],[Cases]]</f>
        <v>749.53645340186665</v>
      </c>
      <c r="K91" s="8">
        <f>Table1[[#This Row],[Population]]/Table1[[#This Row],[Deaths]]</f>
        <v>16842.927051671733</v>
      </c>
      <c r="L91" s="9">
        <f>Table1[[#This Row],[Deaths]]+Table1[[#This Row],[Active]]*Table1[[#This Row],[Death Rate]]</f>
        <v>335.40822399567156</v>
      </c>
      <c r="M91" s="10">
        <f>Table1[[#This Row],[Deaths]]/Table1[[#This Row],[Cases]]</f>
        <v>4.4501555525497088E-2</v>
      </c>
      <c r="N91" s="11">
        <f>Table1[[#This Row],[Cases]]/Table1[[#This Row],[Deaths]]</f>
        <v>22.471124620060792</v>
      </c>
      <c r="O91" s="12">
        <f>Table1[[#This Row],[Cases]]/Table1[[#This Row],[Population]]</f>
        <v>1.3341579258238511E-3</v>
      </c>
      <c r="P91" s="12">
        <f>Table1[[#This Row],[Deaths]]/Table1[[#This Row],[Population]]</f>
        <v>5.9372103015832139E-5</v>
      </c>
      <c r="Q91" s="13">
        <f>1-Table1[[#This Row],[Deaths]]/Table1[[#This Row],[Ex(Deaths)]]</f>
        <v>1.910574499137585E-2</v>
      </c>
      <c r="R91" s="14">
        <f>Table1[[#This Row],[Active]]/Table1[[#This Row],[Cases]]</f>
        <v>1.9477884485323955E-2</v>
      </c>
      <c r="S91" s="12">
        <f>Table1[[#This Row],[Percent Infected]]*Table1[[#This Row],[% Active]]</f>
        <v>2.5986573964376378E-5</v>
      </c>
      <c r="T91" s="8">
        <f>1/Table1[[#This Row],[Percent Actively Infected]]</f>
        <v>38481.409722222219</v>
      </c>
      <c r="AMC91"/>
    </row>
    <row r="92" spans="1:1017" s="1" customFormat="1" ht="16.5" thickBot="1" x14ac:dyDescent="0.3">
      <c r="A92" s="1">
        <v>91</v>
      </c>
      <c r="B92" s="51">
        <v>93</v>
      </c>
      <c r="C92" s="42" t="s">
        <v>186</v>
      </c>
      <c r="D92" s="47">
        <v>6151</v>
      </c>
      <c r="E92" s="48">
        <v>156</v>
      </c>
      <c r="F92" s="47">
        <v>4299</v>
      </c>
      <c r="G92" s="47">
        <v>1696</v>
      </c>
      <c r="H92" s="48">
        <v>3</v>
      </c>
      <c r="I92" s="42">
        <v>4656707</v>
      </c>
      <c r="J92" s="8">
        <f>Table1[[#This Row],[Population]]/Table1[[#This Row],[Cases]]</f>
        <v>757.06503007641038</v>
      </c>
      <c r="K92" s="8">
        <f>Table1[[#This Row],[Population]]/Table1[[#This Row],[Deaths]]</f>
        <v>29850.685897435898</v>
      </c>
      <c r="L92" s="9">
        <f>Table1[[#This Row],[Deaths]]+Table1[[#This Row],[Active]]*Table1[[#This Row],[Death Rate]]</f>
        <v>199.01349374085515</v>
      </c>
      <c r="M92" s="10">
        <f>Table1[[#This Row],[Deaths]]/Table1[[#This Row],[Cases]]</f>
        <v>2.5361729800032515E-2</v>
      </c>
      <c r="N92" s="11">
        <f>Table1[[#This Row],[Cases]]/Table1[[#This Row],[Deaths]]</f>
        <v>39.429487179487182</v>
      </c>
      <c r="O92" s="12">
        <f>Table1[[#This Row],[Cases]]/Table1[[#This Row],[Population]]</f>
        <v>1.3208904919291679E-3</v>
      </c>
      <c r="P92" s="12">
        <f>Table1[[#This Row],[Deaths]]/Table1[[#This Row],[Population]]</f>
        <v>3.350006775173959E-5</v>
      </c>
      <c r="Q92" s="13">
        <f>1-Table1[[#This Row],[Deaths]]/Table1[[#This Row],[Ex(Deaths)]]</f>
        <v>0.21613355422454439</v>
      </c>
      <c r="R92" s="14">
        <f>Table1[[#This Row],[Active]]/Table1[[#This Row],[Cases]]</f>
        <v>0.27572752397984068</v>
      </c>
      <c r="S92" s="12">
        <f>Table1[[#This Row],[Percent Infected]]*Table1[[#This Row],[% Active]]</f>
        <v>3.6420586478814321E-4</v>
      </c>
      <c r="T92" s="8">
        <f>1/Table1[[#This Row],[Percent Actively Infected]]</f>
        <v>2745.6998820754716</v>
      </c>
      <c r="AMC92"/>
    </row>
    <row r="93" spans="1:1017" s="1" customFormat="1" ht="16.5" thickBot="1" x14ac:dyDescent="0.3">
      <c r="A93" s="1">
        <v>92</v>
      </c>
      <c r="B93" s="51">
        <v>193</v>
      </c>
      <c r="C93" s="42" t="s">
        <v>84</v>
      </c>
      <c r="D93" s="48">
        <v>49</v>
      </c>
      <c r="E93" s="48">
        <v>3</v>
      </c>
      <c r="F93" s="48">
        <v>41</v>
      </c>
      <c r="G93" s="48">
        <v>5</v>
      </c>
      <c r="H93" s="48">
        <v>1</v>
      </c>
      <c r="I93" s="42">
        <v>38707</v>
      </c>
      <c r="J93" s="8">
        <f>Table1[[#This Row],[Population]]/Table1[[#This Row],[Cases]]</f>
        <v>789.9387755102041</v>
      </c>
      <c r="K93" s="8">
        <f>Table1[[#This Row],[Population]]/Table1[[#This Row],[Deaths]]</f>
        <v>12902.333333333334</v>
      </c>
      <c r="L93" s="9">
        <f>Table1[[#This Row],[Deaths]]+Table1[[#This Row],[Active]]*Table1[[#This Row],[Death Rate]]</f>
        <v>3.306122448979592</v>
      </c>
      <c r="M93" s="10">
        <f>Table1[[#This Row],[Deaths]]/Table1[[#This Row],[Cases]]</f>
        <v>6.1224489795918366E-2</v>
      </c>
      <c r="N93" s="11">
        <f>Table1[[#This Row],[Cases]]/Table1[[#This Row],[Deaths]]</f>
        <v>16.333333333333332</v>
      </c>
      <c r="O93" s="12">
        <f>Table1[[#This Row],[Cases]]/Table1[[#This Row],[Population]]</f>
        <v>1.2659208928617563E-3</v>
      </c>
      <c r="P93" s="12">
        <f>Table1[[#This Row],[Deaths]]/Table1[[#This Row],[Population]]</f>
        <v>7.7505360787454461E-5</v>
      </c>
      <c r="Q93" s="13">
        <f>1-Table1[[#This Row],[Deaths]]/Table1[[#This Row],[Ex(Deaths)]]</f>
        <v>9.2592592592592671E-2</v>
      </c>
      <c r="R93" s="14">
        <f>Table1[[#This Row],[Active]]/Table1[[#This Row],[Cases]]</f>
        <v>0.10204081632653061</v>
      </c>
      <c r="S93" s="12">
        <f>Table1[[#This Row],[Percent Infected]]*Table1[[#This Row],[% Active]]</f>
        <v>1.2917560131242412E-4</v>
      </c>
      <c r="T93" s="8">
        <f>1/Table1[[#This Row],[Percent Actively Infected]]</f>
        <v>7741.3999999999987</v>
      </c>
      <c r="AMC93"/>
    </row>
    <row r="94" spans="1:1017" s="1" customFormat="1" ht="16.5" thickBot="1" x14ac:dyDescent="0.3">
      <c r="A94" s="1">
        <v>93</v>
      </c>
      <c r="B94" s="51">
        <v>12</v>
      </c>
      <c r="C94" s="42" t="s">
        <v>129</v>
      </c>
      <c r="D94" s="47">
        <v>273113</v>
      </c>
      <c r="E94" s="47">
        <v>5822</v>
      </c>
      <c r="F94" s="47">
        <v>237434</v>
      </c>
      <c r="G94" s="47">
        <v>29857</v>
      </c>
      <c r="H94" s="47">
        <v>1267</v>
      </c>
      <c r="I94" s="42">
        <v>221154992</v>
      </c>
      <c r="J94" s="8">
        <f>Table1[[#This Row],[Population]]/Table1[[#This Row],[Cases]]</f>
        <v>809.75637190466955</v>
      </c>
      <c r="K94" s="8">
        <f>Table1[[#This Row],[Population]]/Table1[[#This Row],[Deaths]]</f>
        <v>37986.085881140505</v>
      </c>
      <c r="L94" s="9">
        <f>Table1[[#This Row],[Deaths]]+Table1[[#This Row],[Active]]*Table1[[#This Row],[Death Rate]]</f>
        <v>6458.4671546209811</v>
      </c>
      <c r="M94" s="10">
        <f>Table1[[#This Row],[Deaths]]/Table1[[#This Row],[Cases]]</f>
        <v>2.1317183729811472E-2</v>
      </c>
      <c r="N94" s="15">
        <f>Table1[[#This Row],[Cases]]/Table1[[#This Row],[Deaths]]</f>
        <v>46.910511851597391</v>
      </c>
      <c r="O94" s="12">
        <f>Table1[[#This Row],[Cases]]/Table1[[#This Row],[Population]]</f>
        <v>1.2349393406412459E-3</v>
      </c>
      <c r="P94" s="12">
        <f>Table1[[#This Row],[Deaths]]/Table1[[#This Row],[Population]]</f>
        <v>2.6325428819621671E-5</v>
      </c>
      <c r="Q94" s="13">
        <f>1-Table1[[#This Row],[Deaths]]/Table1[[#This Row],[Ex(Deaths)]]</f>
        <v>9.8547710994487892E-2</v>
      </c>
      <c r="R94" s="14">
        <f>Table1[[#This Row],[Active]]/Table1[[#This Row],[Cases]]</f>
        <v>0.10932105026124718</v>
      </c>
      <c r="S94" s="12">
        <f>Table1[[#This Row],[Percent Infected]]*Table1[[#This Row],[% Active]]</f>
        <v>1.350048657278331E-4</v>
      </c>
      <c r="T94" s="8">
        <f>1/Table1[[#This Row],[Percent Actively Infected]]</f>
        <v>7407.140436078641</v>
      </c>
      <c r="AMC94"/>
    </row>
    <row r="95" spans="1:1017" s="1" customFormat="1" ht="16.5" thickBot="1" x14ac:dyDescent="0.3">
      <c r="A95" s="1">
        <v>94</v>
      </c>
      <c r="B95" s="51">
        <v>95</v>
      </c>
      <c r="C95" s="42" t="s">
        <v>99</v>
      </c>
      <c r="D95" s="47">
        <v>4857</v>
      </c>
      <c r="E95" s="48">
        <v>136</v>
      </c>
      <c r="F95" s="47">
        <v>3866</v>
      </c>
      <c r="G95" s="48">
        <v>855</v>
      </c>
      <c r="H95" s="48">
        <v>9</v>
      </c>
      <c r="I95" s="42">
        <v>4103402</v>
      </c>
      <c r="J95" s="8">
        <f>Table1[[#This Row],[Population]]/Table1[[#This Row],[Cases]]</f>
        <v>844.8429071443278</v>
      </c>
      <c r="K95" s="8">
        <f>Table1[[#This Row],[Population]]/Table1[[#This Row],[Deaths]]</f>
        <v>30172.073529411766</v>
      </c>
      <c r="L95" s="9">
        <f>Table1[[#This Row],[Deaths]]+Table1[[#This Row],[Active]]*Table1[[#This Row],[Death Rate]]</f>
        <v>159.94070413835701</v>
      </c>
      <c r="M95" s="10">
        <f>Table1[[#This Row],[Deaths]]/Table1[[#This Row],[Cases]]</f>
        <v>2.8000823553633931E-2</v>
      </c>
      <c r="N95" s="11">
        <f>Table1[[#This Row],[Cases]]/Table1[[#This Row],[Deaths]]</f>
        <v>35.713235294117645</v>
      </c>
      <c r="O95" s="12">
        <f>Table1[[#This Row],[Cases]]/Table1[[#This Row],[Population]]</f>
        <v>1.1836520038738588E-3</v>
      </c>
      <c r="P95" s="12">
        <f>Table1[[#This Row],[Deaths]]/Table1[[#This Row],[Population]]</f>
        <v>3.3143230909377147E-5</v>
      </c>
      <c r="Q95" s="13">
        <f>1-Table1[[#This Row],[Deaths]]/Table1[[#This Row],[Ex(Deaths)]]</f>
        <v>0.14968487394957986</v>
      </c>
      <c r="R95" s="14">
        <f>Table1[[#This Row],[Active]]/Table1[[#This Row],[Cases]]</f>
        <v>0.17603458925262508</v>
      </c>
      <c r="S95" s="12">
        <f>Table1[[#This Row],[Percent Infected]]*Table1[[#This Row],[% Active]]</f>
        <v>2.0836369431998132E-4</v>
      </c>
      <c r="T95" s="8">
        <f>1/Table1[[#This Row],[Percent Actively Infected]]</f>
        <v>4799.3005847953218</v>
      </c>
      <c r="AMC95"/>
    </row>
    <row r="96" spans="1:1017" s="1" customFormat="1" ht="16.5" thickBot="1" x14ac:dyDescent="0.3">
      <c r="A96" s="1">
        <v>95</v>
      </c>
      <c r="B96" s="51">
        <v>183</v>
      </c>
      <c r="C96" s="42" t="s">
        <v>162</v>
      </c>
      <c r="D96" s="48">
        <v>114</v>
      </c>
      <c r="E96" s="48"/>
      <c r="F96" s="48">
        <v>39</v>
      </c>
      <c r="G96" s="48">
        <v>75</v>
      </c>
      <c r="H96" s="48"/>
      <c r="I96" s="42">
        <v>98388</v>
      </c>
      <c r="J96" s="8">
        <f>Table1[[#This Row],[Population]]/Table1[[#This Row],[Cases]]</f>
        <v>863.0526315789474</v>
      </c>
      <c r="K96" s="8" t="e">
        <f>Table1[[#This Row],[Population]]/Table1[[#This Row],[Deaths]]</f>
        <v>#DIV/0!</v>
      </c>
      <c r="L96" s="9">
        <f>Table1[[#This Row],[Deaths]]+Table1[[#This Row],[Active]]*Table1[[#This Row],[Death Rate]]</f>
        <v>0</v>
      </c>
      <c r="M96" s="10">
        <f>Table1[[#This Row],[Deaths]]/Table1[[#This Row],[Cases]]</f>
        <v>0</v>
      </c>
      <c r="N96" s="11" t="e">
        <f>Table1[[#This Row],[Cases]]/Table1[[#This Row],[Deaths]]</f>
        <v>#DIV/0!</v>
      </c>
      <c r="O96" s="12">
        <f>Table1[[#This Row],[Cases]]/Table1[[#This Row],[Population]]</f>
        <v>1.1586778875472619E-3</v>
      </c>
      <c r="P96" s="12">
        <f>Table1[[#This Row],[Deaths]]/Table1[[#This Row],[Population]]</f>
        <v>0</v>
      </c>
      <c r="Q96" s="13" t="e">
        <f>1-Table1[[#This Row],[Deaths]]/Table1[[#This Row],[Ex(Deaths)]]</f>
        <v>#DIV/0!</v>
      </c>
      <c r="R96" s="14">
        <f>Table1[[#This Row],[Active]]/Table1[[#This Row],[Cases]]</f>
        <v>0.65789473684210531</v>
      </c>
      <c r="S96" s="12">
        <f>Table1[[#This Row],[Percent Infected]]*Table1[[#This Row],[% Active]]</f>
        <v>7.6228808391267235E-4</v>
      </c>
      <c r="T96" s="8">
        <f>1/Table1[[#This Row],[Percent Actively Infected]]</f>
        <v>1311.84</v>
      </c>
      <c r="AMC96"/>
    </row>
    <row r="97" spans="1:1017" s="1" customFormat="1" ht="16.5" thickBot="1" x14ac:dyDescent="0.3">
      <c r="A97" s="1">
        <v>96</v>
      </c>
      <c r="B97" s="51">
        <v>46</v>
      </c>
      <c r="C97" s="42" t="s">
        <v>97</v>
      </c>
      <c r="D97" s="47">
        <v>43065</v>
      </c>
      <c r="E97" s="47">
        <v>1671</v>
      </c>
      <c r="F97" s="47">
        <v>32753</v>
      </c>
      <c r="G97" s="47">
        <v>8641</v>
      </c>
      <c r="H97" s="48">
        <v>61</v>
      </c>
      <c r="I97" s="42">
        <v>37843655</v>
      </c>
      <c r="J97" s="8">
        <f>Table1[[#This Row],[Population]]/Table1[[#This Row],[Cases]]</f>
        <v>878.75664692906071</v>
      </c>
      <c r="K97" s="8">
        <f>Table1[[#This Row],[Population]]/Table1[[#This Row],[Deaths]]</f>
        <v>22647.309994015559</v>
      </c>
      <c r="L97" s="9">
        <f>Table1[[#This Row],[Deaths]]+Table1[[#This Row],[Active]]*Table1[[#This Row],[Death Rate]]</f>
        <v>2006.2864507140368</v>
      </c>
      <c r="M97" s="10">
        <f>Table1[[#This Row],[Deaths]]/Table1[[#This Row],[Cases]]</f>
        <v>3.8801811215604318E-2</v>
      </c>
      <c r="N97" s="11">
        <f>Table1[[#This Row],[Cases]]/Table1[[#This Row],[Deaths]]</f>
        <v>25.771992818671453</v>
      </c>
      <c r="O97" s="12">
        <f>Table1[[#This Row],[Cases]]/Table1[[#This Row],[Population]]</f>
        <v>1.1379714776492916E-3</v>
      </c>
      <c r="P97" s="12">
        <f>Table1[[#This Row],[Deaths]]/Table1[[#This Row],[Population]]</f>
        <v>4.4155354444490102E-5</v>
      </c>
      <c r="Q97" s="13">
        <f>1-Table1[[#This Row],[Deaths]]/Table1[[#This Row],[Ex(Deaths)]]</f>
        <v>0.16711793602289871</v>
      </c>
      <c r="R97" s="14">
        <f>Table1[[#This Row],[Active]]/Table1[[#This Row],[Cases]]</f>
        <v>0.20065017996052478</v>
      </c>
      <c r="S97" s="12">
        <f>Table1[[#This Row],[Percent Infected]]*Table1[[#This Row],[% Active]]</f>
        <v>2.2833418178027468E-4</v>
      </c>
      <c r="T97" s="8">
        <f>1/Table1[[#This Row],[Percent Actively Infected]]</f>
        <v>4379.5457701654896</v>
      </c>
      <c r="AMC97"/>
    </row>
    <row r="98" spans="1:1017" s="1" customFormat="1" ht="16.5" thickBot="1" x14ac:dyDescent="0.3">
      <c r="A98" s="1">
        <v>97</v>
      </c>
      <c r="B98" s="51">
        <v>181</v>
      </c>
      <c r="C98" s="42" t="s">
        <v>87</v>
      </c>
      <c r="D98" s="48">
        <v>119</v>
      </c>
      <c r="E98" s="48">
        <v>3</v>
      </c>
      <c r="F98" s="48">
        <v>102</v>
      </c>
      <c r="G98" s="48">
        <v>14</v>
      </c>
      <c r="H98" s="48"/>
      <c r="I98" s="42">
        <v>106797</v>
      </c>
      <c r="J98" s="8">
        <f>Table1[[#This Row],[Population]]/Table1[[#This Row],[Cases]]</f>
        <v>897.45378151260502</v>
      </c>
      <c r="K98" s="8">
        <f>Table1[[#This Row],[Population]]/Table1[[#This Row],[Deaths]]</f>
        <v>35599</v>
      </c>
      <c r="L98" s="9">
        <f>Table1[[#This Row],[Deaths]]+Table1[[#This Row],[Active]]*Table1[[#This Row],[Death Rate]]</f>
        <v>3.3529411764705883</v>
      </c>
      <c r="M98" s="10">
        <f>Table1[[#This Row],[Deaths]]/Table1[[#This Row],[Cases]]</f>
        <v>2.5210084033613446E-2</v>
      </c>
      <c r="N98" s="11">
        <f>Table1[[#This Row],[Cases]]/Table1[[#This Row],[Deaths]]</f>
        <v>39.666666666666664</v>
      </c>
      <c r="O98" s="12">
        <f>Table1[[#This Row],[Cases]]/Table1[[#This Row],[Population]]</f>
        <v>1.114263509274605E-3</v>
      </c>
      <c r="P98" s="12">
        <f>Table1[[#This Row],[Deaths]]/Table1[[#This Row],[Population]]</f>
        <v>2.8090676704401807E-5</v>
      </c>
      <c r="Q98" s="13">
        <f>1-Table1[[#This Row],[Deaths]]/Table1[[#This Row],[Ex(Deaths)]]</f>
        <v>0.10526315789473684</v>
      </c>
      <c r="R98" s="14">
        <f>Table1[[#This Row],[Active]]/Table1[[#This Row],[Cases]]</f>
        <v>0.11764705882352941</v>
      </c>
      <c r="S98" s="12">
        <f>Table1[[#This Row],[Percent Infected]]*Table1[[#This Row],[% Active]]</f>
        <v>1.3108982462054178E-4</v>
      </c>
      <c r="T98" s="8">
        <f>1/Table1[[#This Row],[Percent Actively Infected]]</f>
        <v>7628.3571428571431</v>
      </c>
      <c r="AMC98"/>
    </row>
    <row r="99" spans="1:1017" s="1" customFormat="1" ht="16.5" thickBot="1" x14ac:dyDescent="0.3">
      <c r="A99" s="1">
        <v>98</v>
      </c>
      <c r="B99" s="51">
        <v>54</v>
      </c>
      <c r="C99" s="42" t="s">
        <v>137</v>
      </c>
      <c r="D99" s="47">
        <v>32437</v>
      </c>
      <c r="E99" s="48">
        <v>161</v>
      </c>
      <c r="F99" s="47">
        <v>28927</v>
      </c>
      <c r="G99" s="47">
        <v>3349</v>
      </c>
      <c r="H99" s="48">
        <v>8</v>
      </c>
      <c r="I99" s="42">
        <v>31112174</v>
      </c>
      <c r="J99" s="8">
        <f>Table1[[#This Row],[Population]]/Table1[[#This Row],[Cases]]</f>
        <v>959.15695039615252</v>
      </c>
      <c r="K99" s="8">
        <f>Table1[[#This Row],[Population]]/Table1[[#This Row],[Deaths]]</f>
        <v>193243.31677018633</v>
      </c>
      <c r="L99" s="9">
        <f>Table1[[#This Row],[Deaths]]+Table1[[#This Row],[Active]]*Table1[[#This Row],[Death Rate]]</f>
        <v>177.6226531430157</v>
      </c>
      <c r="M99" s="10">
        <f>Table1[[#This Row],[Deaths]]/Table1[[#This Row],[Cases]]</f>
        <v>4.9634676449733326E-3</v>
      </c>
      <c r="N99" s="11">
        <f>Table1[[#This Row],[Cases]]/Table1[[#This Row],[Deaths]]</f>
        <v>201.47204968944101</v>
      </c>
      <c r="O99" s="12">
        <f>Table1[[#This Row],[Cases]]/Table1[[#This Row],[Population]]</f>
        <v>1.0425822380653953E-3</v>
      </c>
      <c r="P99" s="12">
        <f>Table1[[#This Row],[Deaths]]/Table1[[#This Row],[Population]]</f>
        <v>5.1748232058614742E-6</v>
      </c>
      <c r="Q99" s="13">
        <f>1-Table1[[#This Row],[Deaths]]/Table1[[#This Row],[Ex(Deaths)]]</f>
        <v>9.3584083161012743E-2</v>
      </c>
      <c r="R99" s="14">
        <f>Table1[[#This Row],[Active]]/Table1[[#This Row],[Cases]]</f>
        <v>0.10324629281376206</v>
      </c>
      <c r="S99" s="12">
        <f>Table1[[#This Row],[Percent Infected]]*Table1[[#This Row],[% Active]]</f>
        <v>1.0764275103372719E-4</v>
      </c>
      <c r="T99" s="8">
        <f>1/Table1[[#This Row],[Percent Actively Infected]]</f>
        <v>9289.9892505225434</v>
      </c>
      <c r="AMC99"/>
    </row>
    <row r="100" spans="1:1017" s="1" customFormat="1" ht="16.5" thickBot="1" x14ac:dyDescent="0.3">
      <c r="A100" s="1">
        <v>99</v>
      </c>
      <c r="B100" s="51">
        <v>3</v>
      </c>
      <c r="C100" s="42" t="s">
        <v>165</v>
      </c>
      <c r="D100" s="47">
        <v>1424202</v>
      </c>
      <c r="E100" s="47">
        <v>32656</v>
      </c>
      <c r="F100" s="47">
        <v>910298</v>
      </c>
      <c r="G100" s="47">
        <v>481248</v>
      </c>
      <c r="H100" s="47">
        <v>8944</v>
      </c>
      <c r="I100" s="42">
        <v>1380900513</v>
      </c>
      <c r="J100" s="8">
        <f>Table1[[#This Row],[Population]]/Table1[[#This Row],[Cases]]</f>
        <v>969.59596531952627</v>
      </c>
      <c r="K100" s="8">
        <f>Table1[[#This Row],[Population]]/Table1[[#This Row],[Deaths]]</f>
        <v>42286.272446104849</v>
      </c>
      <c r="L100" s="9">
        <f>Table1[[#This Row],[Deaths]]+Table1[[#This Row],[Active]]*Table1[[#This Row],[Death Rate]]</f>
        <v>43690.694999726162</v>
      </c>
      <c r="M100" s="10">
        <f>Table1[[#This Row],[Deaths]]/Table1[[#This Row],[Cases]]</f>
        <v>2.2929331653796303E-2</v>
      </c>
      <c r="N100" s="11">
        <f>Table1[[#This Row],[Cases]]/Table1[[#This Row],[Deaths]]</f>
        <v>43.612261146496813</v>
      </c>
      <c r="O100" s="12">
        <f>Table1[[#This Row],[Cases]]/Table1[[#This Row],[Population]]</f>
        <v>1.031357426977797E-3</v>
      </c>
      <c r="P100" s="12">
        <f>Table1[[#This Row],[Deaths]]/Table1[[#This Row],[Population]]</f>
        <v>2.3648336496779911E-5</v>
      </c>
      <c r="Q100" s="13">
        <f>1-Table1[[#This Row],[Deaths]]/Table1[[#This Row],[Ex(Deaths)]]</f>
        <v>0.25256396126899161</v>
      </c>
      <c r="R100" s="14">
        <f>Table1[[#This Row],[Active]]/Table1[[#This Row],[Cases]]</f>
        <v>0.33790712272556844</v>
      </c>
      <c r="S100" s="12">
        <f>Table1[[#This Row],[Percent Infected]]*Table1[[#This Row],[% Active]]</f>
        <v>3.4850302065171293E-4</v>
      </c>
      <c r="T100" s="8">
        <f>1/Table1[[#This Row],[Percent Actively Infected]]</f>
        <v>2869.4155882206264</v>
      </c>
      <c r="AMC100"/>
    </row>
    <row r="101" spans="1:1017" s="1" customFormat="1" ht="16.5" thickBot="1" x14ac:dyDescent="0.3">
      <c r="A101" s="1">
        <v>100</v>
      </c>
      <c r="B101" s="51">
        <v>122</v>
      </c>
      <c r="C101" s="42" t="s">
        <v>93</v>
      </c>
      <c r="D101" s="47">
        <v>2082</v>
      </c>
      <c r="E101" s="48">
        <v>116</v>
      </c>
      <c r="F101" s="47">
        <v>1678</v>
      </c>
      <c r="G101" s="48">
        <v>288</v>
      </c>
      <c r="H101" s="48">
        <v>2</v>
      </c>
      <c r="I101" s="42">
        <v>2078958</v>
      </c>
      <c r="J101" s="8">
        <f>Table1[[#This Row],[Population]]/Table1[[#This Row],[Cases]]</f>
        <v>998.53890489913545</v>
      </c>
      <c r="K101" s="8">
        <f>Table1[[#This Row],[Population]]/Table1[[#This Row],[Deaths]]</f>
        <v>17922.051724137931</v>
      </c>
      <c r="L101" s="9">
        <f>Table1[[#This Row],[Deaths]]+Table1[[#This Row],[Active]]*Table1[[#This Row],[Death Rate]]</f>
        <v>132.04610951008647</v>
      </c>
      <c r="M101" s="10">
        <f>Table1[[#This Row],[Deaths]]/Table1[[#This Row],[Cases]]</f>
        <v>5.5715658021133527E-2</v>
      </c>
      <c r="N101" s="11">
        <f>Table1[[#This Row],[Cases]]/Table1[[#This Row],[Deaths]]</f>
        <v>17.948275862068964</v>
      </c>
      <c r="O101" s="12">
        <f>Table1[[#This Row],[Cases]]/Table1[[#This Row],[Population]]</f>
        <v>1.0014632330234666E-3</v>
      </c>
      <c r="P101" s="12">
        <f>Table1[[#This Row],[Deaths]]/Table1[[#This Row],[Population]]</f>
        <v>5.5797183011874218E-5</v>
      </c>
      <c r="Q101" s="13">
        <f>1-Table1[[#This Row],[Deaths]]/Table1[[#This Row],[Ex(Deaths)]]</f>
        <v>0.12151898734177224</v>
      </c>
      <c r="R101" s="14">
        <f>Table1[[#This Row],[Active]]/Table1[[#This Row],[Cases]]</f>
        <v>0.13832853025936601</v>
      </c>
      <c r="S101" s="12">
        <f>Table1[[#This Row],[Percent Infected]]*Table1[[#This Row],[% Active]]</f>
        <v>1.3853093713292911E-4</v>
      </c>
      <c r="T101" s="8">
        <f>1/Table1[[#This Row],[Percent Actively Infected]]</f>
        <v>7218.6041666666661</v>
      </c>
      <c r="AMC101"/>
    </row>
    <row r="102" spans="1:1017" s="1" customFormat="1" ht="16.5" thickBot="1" x14ac:dyDescent="0.3">
      <c r="A102" s="1">
        <v>101</v>
      </c>
      <c r="B102" s="51">
        <v>125</v>
      </c>
      <c r="C102" s="42" t="s">
        <v>96</v>
      </c>
      <c r="D102" s="47">
        <v>1954</v>
      </c>
      <c r="E102" s="48">
        <v>26</v>
      </c>
      <c r="F102" s="48">
        <v>803</v>
      </c>
      <c r="G102" s="47">
        <v>1125</v>
      </c>
      <c r="H102" s="48">
        <v>5</v>
      </c>
      <c r="I102" s="42">
        <v>1970748</v>
      </c>
      <c r="J102" s="8">
        <f>Table1[[#This Row],[Population]]/Table1[[#This Row],[Cases]]</f>
        <v>1008.5711361310133</v>
      </c>
      <c r="K102" s="8">
        <f>Table1[[#This Row],[Population]]/Table1[[#This Row],[Deaths]]</f>
        <v>75798</v>
      </c>
      <c r="L102" s="9">
        <f>Table1[[#This Row],[Deaths]]+Table1[[#This Row],[Active]]*Table1[[#This Row],[Death Rate]]</f>
        <v>40.969293756397136</v>
      </c>
      <c r="M102" s="10">
        <f>Table1[[#This Row],[Deaths]]/Table1[[#This Row],[Cases]]</f>
        <v>1.3306038894575231E-2</v>
      </c>
      <c r="N102" s="11">
        <f>Table1[[#This Row],[Cases]]/Table1[[#This Row],[Deaths]]</f>
        <v>75.15384615384616</v>
      </c>
      <c r="O102" s="12">
        <f>Table1[[#This Row],[Cases]]/Table1[[#This Row],[Population]]</f>
        <v>9.9150170392155678E-4</v>
      </c>
      <c r="P102" s="12">
        <f>Table1[[#This Row],[Deaths]]/Table1[[#This Row],[Population]]</f>
        <v>1.3192960236417847E-5</v>
      </c>
      <c r="Q102" s="13">
        <f>1-Table1[[#This Row],[Deaths]]/Table1[[#This Row],[Ex(Deaths)]]</f>
        <v>0.36537836960051973</v>
      </c>
      <c r="R102" s="14">
        <f>Table1[[#This Row],[Active]]/Table1[[#This Row],[Cases]]</f>
        <v>0.57574206755373591</v>
      </c>
      <c r="S102" s="12">
        <f>Table1[[#This Row],[Percent Infected]]*Table1[[#This Row],[% Active]]</f>
        <v>5.7084924099884925E-4</v>
      </c>
      <c r="T102" s="8">
        <f>1/Table1[[#This Row],[Percent Actively Infected]]</f>
        <v>1751.7759999999998</v>
      </c>
      <c r="AMC102"/>
    </row>
    <row r="103" spans="1:1017" s="1" customFormat="1" ht="16.5" thickBot="1" x14ac:dyDescent="0.3">
      <c r="A103" s="1">
        <v>102</v>
      </c>
      <c r="B103" s="51">
        <v>97</v>
      </c>
      <c r="C103" s="42" t="s">
        <v>160</v>
      </c>
      <c r="D103" s="47">
        <v>4598</v>
      </c>
      <c r="E103" s="48">
        <v>59</v>
      </c>
      <c r="F103" s="47">
        <v>1506</v>
      </c>
      <c r="G103" s="47">
        <v>3033</v>
      </c>
      <c r="H103" s="48">
        <v>2</v>
      </c>
      <c r="I103" s="42">
        <v>4834996</v>
      </c>
      <c r="J103" s="8">
        <f>Table1[[#This Row],[Population]]/Table1[[#This Row],[Cases]]</f>
        <v>1051.5432796868204</v>
      </c>
      <c r="K103" s="8">
        <f>Table1[[#This Row],[Population]]/Table1[[#This Row],[Deaths]]</f>
        <v>81949.08474576271</v>
      </c>
      <c r="L103" s="9">
        <f>Table1[[#This Row],[Deaths]]+Table1[[#This Row],[Active]]*Table1[[#This Row],[Death Rate]]</f>
        <v>97.918442801217921</v>
      </c>
      <c r="M103" s="10">
        <f>Table1[[#This Row],[Deaths]]/Table1[[#This Row],[Cases]]</f>
        <v>1.2831665941713789E-2</v>
      </c>
      <c r="N103" s="11">
        <f>Table1[[#This Row],[Cases]]/Table1[[#This Row],[Deaths]]</f>
        <v>77.932203389830505</v>
      </c>
      <c r="O103" s="12">
        <f>Table1[[#This Row],[Cases]]/Table1[[#This Row],[Population]]</f>
        <v>9.5098320660451428E-4</v>
      </c>
      <c r="P103" s="12">
        <f>Table1[[#This Row],[Deaths]]/Table1[[#This Row],[Population]]</f>
        <v>1.2202698823328914E-5</v>
      </c>
      <c r="Q103" s="13">
        <f>1-Table1[[#This Row],[Deaths]]/Table1[[#This Row],[Ex(Deaths)]]</f>
        <v>0.3974577381732407</v>
      </c>
      <c r="R103" s="14">
        <f>Table1[[#This Row],[Active]]/Table1[[#This Row],[Cases]]</f>
        <v>0.65963462374945625</v>
      </c>
      <c r="S103" s="12">
        <f>Table1[[#This Row],[Percent Infected]]*Table1[[#This Row],[% Active]]</f>
        <v>6.2730144968062024E-4</v>
      </c>
      <c r="T103" s="8">
        <f>1/Table1[[#This Row],[Percent Actively Infected]]</f>
        <v>1594.1299043850972</v>
      </c>
      <c r="AMC103"/>
    </row>
    <row r="104" spans="1:1017" s="1" customFormat="1" ht="16.5" thickBot="1" x14ac:dyDescent="0.3">
      <c r="A104" s="1">
        <v>103</v>
      </c>
      <c r="B104" s="51">
        <v>51</v>
      </c>
      <c r="C104" s="42" t="s">
        <v>121</v>
      </c>
      <c r="D104" s="47">
        <v>36157</v>
      </c>
      <c r="E104" s="47">
        <v>1259</v>
      </c>
      <c r="F104" s="47">
        <v>25180</v>
      </c>
      <c r="G104" s="47">
        <v>9718</v>
      </c>
      <c r="H104" s="48">
        <v>31</v>
      </c>
      <c r="I104" s="42">
        <v>38980632</v>
      </c>
      <c r="J104" s="8">
        <f>Table1[[#This Row],[Population]]/Table1[[#This Row],[Cases]]</f>
        <v>1078.0936471499294</v>
      </c>
      <c r="K104" s="8">
        <f>Table1[[#This Row],[Population]]/Table1[[#This Row],[Deaths]]</f>
        <v>30961.582208101667</v>
      </c>
      <c r="L104" s="9">
        <f>Table1[[#This Row],[Deaths]]+Table1[[#This Row],[Active]]*Table1[[#This Row],[Death Rate]]</f>
        <v>1597.3843239206792</v>
      </c>
      <c r="M104" s="10">
        <f>Table1[[#This Row],[Deaths]]/Table1[[#This Row],[Cases]]</f>
        <v>3.4820366733965762E-2</v>
      </c>
      <c r="N104" s="11">
        <f>Table1[[#This Row],[Cases]]/Table1[[#This Row],[Deaths]]</f>
        <v>28.718824463860205</v>
      </c>
      <c r="O104" s="12">
        <f>Table1[[#This Row],[Cases]]/Table1[[#This Row],[Population]]</f>
        <v>9.2756320626099652E-4</v>
      </c>
      <c r="P104" s="12">
        <f>Table1[[#This Row],[Deaths]]/Table1[[#This Row],[Population]]</f>
        <v>3.229809101094102E-5</v>
      </c>
      <c r="Q104" s="13">
        <f>1-Table1[[#This Row],[Deaths]]/Table1[[#This Row],[Ex(Deaths)]]</f>
        <v>0.2118365122615804</v>
      </c>
      <c r="R104" s="14">
        <f>Table1[[#This Row],[Active]]/Table1[[#This Row],[Cases]]</f>
        <v>0.26877229858671903</v>
      </c>
      <c r="S104" s="12">
        <f>Table1[[#This Row],[Percent Infected]]*Table1[[#This Row],[% Active]]</f>
        <v>2.4930329503123499E-4</v>
      </c>
      <c r="T104" s="8">
        <f>1/Table1[[#This Row],[Percent Actively Infected]]</f>
        <v>4011.1784317760857</v>
      </c>
      <c r="AMC104"/>
    </row>
    <row r="105" spans="1:1017" s="1" customFormat="1" ht="16.5" thickBot="1" x14ac:dyDescent="0.3">
      <c r="A105" s="1">
        <v>104</v>
      </c>
      <c r="B105" s="51">
        <v>25</v>
      </c>
      <c r="C105" s="42" t="s">
        <v>154</v>
      </c>
      <c r="D105" s="47">
        <v>91583</v>
      </c>
      <c r="E105" s="47">
        <v>4558</v>
      </c>
      <c r="F105" s="47">
        <v>32903</v>
      </c>
      <c r="G105" s="47">
        <v>54122</v>
      </c>
      <c r="H105" s="48">
        <v>41</v>
      </c>
      <c r="I105" s="42">
        <v>102453147</v>
      </c>
      <c r="J105" s="8">
        <f>Table1[[#This Row],[Population]]/Table1[[#This Row],[Cases]]</f>
        <v>1118.6917550200365</v>
      </c>
      <c r="K105" s="8">
        <f>Table1[[#This Row],[Population]]/Table1[[#This Row],[Deaths]]</f>
        <v>22477.654014918826</v>
      </c>
      <c r="L105" s="9">
        <f>Table1[[#This Row],[Deaths]]+Table1[[#This Row],[Active]]*Table1[[#This Row],[Death Rate]]</f>
        <v>7251.6011705229139</v>
      </c>
      <c r="M105" s="10">
        <f>Table1[[#This Row],[Deaths]]/Table1[[#This Row],[Cases]]</f>
        <v>4.9769061943810533E-2</v>
      </c>
      <c r="N105" s="11">
        <f>Table1[[#This Row],[Cases]]/Table1[[#This Row],[Deaths]]</f>
        <v>20.092803861342695</v>
      </c>
      <c r="O105" s="12">
        <f>Table1[[#This Row],[Cases]]/Table1[[#This Row],[Population]]</f>
        <v>8.9390128738554028E-4</v>
      </c>
      <c r="P105" s="12">
        <f>Table1[[#This Row],[Deaths]]/Table1[[#This Row],[Population]]</f>
        <v>4.4488628543542936E-5</v>
      </c>
      <c r="Q105" s="13">
        <f>1-Table1[[#This Row],[Deaths]]/Table1[[#This Row],[Ex(Deaths)]]</f>
        <v>0.3714491609759446</v>
      </c>
      <c r="R105" s="14">
        <f>Table1[[#This Row],[Active]]/Table1[[#This Row],[Cases]]</f>
        <v>0.5909612045903716</v>
      </c>
      <c r="S105" s="12">
        <f>Table1[[#This Row],[Percent Infected]]*Table1[[#This Row],[% Active]]</f>
        <v>5.2826098157824285E-4</v>
      </c>
      <c r="T105" s="8">
        <f>1/Table1[[#This Row],[Percent Actively Infected]]</f>
        <v>1893.0037138317132</v>
      </c>
      <c r="AMC105"/>
    </row>
    <row r="106" spans="1:1017" s="1" customFormat="1" ht="16.5" thickBot="1" x14ac:dyDescent="0.3">
      <c r="A106" s="1">
        <v>105</v>
      </c>
      <c r="B106" s="51">
        <v>144</v>
      </c>
      <c r="C106" s="42" t="s">
        <v>90</v>
      </c>
      <c r="D106" s="47">
        <v>1053</v>
      </c>
      <c r="E106" s="48">
        <v>19</v>
      </c>
      <c r="F106" s="48">
        <v>852</v>
      </c>
      <c r="G106" s="48">
        <v>182</v>
      </c>
      <c r="H106" s="48"/>
      <c r="I106" s="42">
        <v>1207950</v>
      </c>
      <c r="J106" s="8">
        <f>Table1[[#This Row],[Population]]/Table1[[#This Row],[Cases]]</f>
        <v>1147.1509971509972</v>
      </c>
      <c r="K106" s="8">
        <f>Table1[[#This Row],[Population]]/Table1[[#This Row],[Deaths]]</f>
        <v>63576.315789473687</v>
      </c>
      <c r="L106" s="9">
        <f>Table1[[#This Row],[Deaths]]+Table1[[#This Row],[Active]]*Table1[[#This Row],[Death Rate]]</f>
        <v>22.283950617283949</v>
      </c>
      <c r="M106" s="10">
        <f>Table1[[#This Row],[Deaths]]/Table1[[#This Row],[Cases]]</f>
        <v>1.8043684710351376E-2</v>
      </c>
      <c r="N106" s="11">
        <f>Table1[[#This Row],[Cases]]/Table1[[#This Row],[Deaths]]</f>
        <v>55.421052631578945</v>
      </c>
      <c r="O106" s="12">
        <f>Table1[[#This Row],[Cases]]/Table1[[#This Row],[Population]]</f>
        <v>8.7172482304731156E-4</v>
      </c>
      <c r="P106" s="12">
        <f>Table1[[#This Row],[Deaths]]/Table1[[#This Row],[Population]]</f>
        <v>1.5729127861252535E-5</v>
      </c>
      <c r="Q106" s="13">
        <f>1-Table1[[#This Row],[Deaths]]/Table1[[#This Row],[Ex(Deaths)]]</f>
        <v>0.14736842105263148</v>
      </c>
      <c r="R106" s="14">
        <f>Table1[[#This Row],[Active]]/Table1[[#This Row],[Cases]]</f>
        <v>0.1728395061728395</v>
      </c>
      <c r="S106" s="12">
        <f>Table1[[#This Row],[Percent Infected]]*Table1[[#This Row],[% Active]]</f>
        <v>1.5066848793410321E-4</v>
      </c>
      <c r="T106" s="8">
        <f>1/Table1[[#This Row],[Percent Actively Infected]]</f>
        <v>6637.0879120879126</v>
      </c>
      <c r="AMC106"/>
    </row>
    <row r="107" spans="1:1017" s="1" customFormat="1" ht="16.5" thickBot="1" x14ac:dyDescent="0.3">
      <c r="A107" s="1">
        <v>106</v>
      </c>
      <c r="B107" s="51">
        <v>189</v>
      </c>
      <c r="C107" s="42" t="s">
        <v>130</v>
      </c>
      <c r="D107" s="48">
        <v>82</v>
      </c>
      <c r="E107" s="48">
        <v>3</v>
      </c>
      <c r="F107" s="48">
        <v>60</v>
      </c>
      <c r="G107" s="48">
        <v>19</v>
      </c>
      <c r="H107" s="48">
        <v>1</v>
      </c>
      <c r="I107" s="42">
        <v>97983</v>
      </c>
      <c r="J107" s="8">
        <f>Table1[[#This Row],[Population]]/Table1[[#This Row],[Cases]]</f>
        <v>1194.9146341463415</v>
      </c>
      <c r="K107" s="8">
        <f>Table1[[#This Row],[Population]]/Table1[[#This Row],[Deaths]]</f>
        <v>32661</v>
      </c>
      <c r="L107" s="9">
        <f>Table1[[#This Row],[Deaths]]+Table1[[#This Row],[Active]]*Table1[[#This Row],[Death Rate]]</f>
        <v>3.6951219512195124</v>
      </c>
      <c r="M107" s="10">
        <f>Table1[[#This Row],[Deaths]]/Table1[[#This Row],[Cases]]</f>
        <v>3.6585365853658534E-2</v>
      </c>
      <c r="N107" s="11">
        <f>Table1[[#This Row],[Cases]]/Table1[[#This Row],[Deaths]]</f>
        <v>27.333333333333332</v>
      </c>
      <c r="O107" s="12">
        <f>Table1[[#This Row],[Cases]]/Table1[[#This Row],[Population]]</f>
        <v>8.3687986691568942E-4</v>
      </c>
      <c r="P107" s="12">
        <f>Table1[[#This Row],[Deaths]]/Table1[[#This Row],[Population]]</f>
        <v>3.0617556106671565E-5</v>
      </c>
      <c r="Q107" s="13">
        <f>1-Table1[[#This Row],[Deaths]]/Table1[[#This Row],[Ex(Deaths)]]</f>
        <v>0.18811881188118817</v>
      </c>
      <c r="R107" s="14">
        <f>Table1[[#This Row],[Active]]/Table1[[#This Row],[Cases]]</f>
        <v>0.23170731707317074</v>
      </c>
      <c r="S107" s="12">
        <f>Table1[[#This Row],[Percent Infected]]*Table1[[#This Row],[% Active]]</f>
        <v>1.9391118867558658E-4</v>
      </c>
      <c r="T107" s="8">
        <f>1/Table1[[#This Row],[Percent Actively Infected]]</f>
        <v>5157</v>
      </c>
      <c r="AMC107"/>
    </row>
    <row r="108" spans="1:1017" s="1" customFormat="1" ht="16.5" thickBot="1" x14ac:dyDescent="0.3">
      <c r="A108" s="1">
        <v>107</v>
      </c>
      <c r="B108" s="51">
        <v>168</v>
      </c>
      <c r="C108" s="42" t="s">
        <v>131</v>
      </c>
      <c r="D108" s="48">
        <v>326</v>
      </c>
      <c r="E108" s="48">
        <v>11</v>
      </c>
      <c r="F108" s="48">
        <v>91</v>
      </c>
      <c r="G108" s="48">
        <v>224</v>
      </c>
      <c r="H108" s="48">
        <v>1</v>
      </c>
      <c r="I108" s="42">
        <v>393493</v>
      </c>
      <c r="J108" s="8">
        <f>Table1[[#This Row],[Population]]/Table1[[#This Row],[Cases]]</f>
        <v>1207.0337423312883</v>
      </c>
      <c r="K108" s="8">
        <f>Table1[[#This Row],[Population]]/Table1[[#This Row],[Deaths]]</f>
        <v>35772.090909090912</v>
      </c>
      <c r="L108" s="9">
        <f>Table1[[#This Row],[Deaths]]+Table1[[#This Row],[Active]]*Table1[[#This Row],[Death Rate]]</f>
        <v>18.558282208588956</v>
      </c>
      <c r="M108" s="10">
        <f>Table1[[#This Row],[Deaths]]/Table1[[#This Row],[Cases]]</f>
        <v>3.3742331288343558E-2</v>
      </c>
      <c r="N108" s="11">
        <f>Table1[[#This Row],[Cases]]/Table1[[#This Row],[Deaths]]</f>
        <v>29.636363636363637</v>
      </c>
      <c r="O108" s="12">
        <f>Table1[[#This Row],[Cases]]/Table1[[#This Row],[Population]]</f>
        <v>8.2847725372497093E-4</v>
      </c>
      <c r="P108" s="12">
        <f>Table1[[#This Row],[Deaths]]/Table1[[#This Row],[Population]]</f>
        <v>2.7954753960045032E-5</v>
      </c>
      <c r="Q108" s="13">
        <f>1-Table1[[#This Row],[Deaths]]/Table1[[#This Row],[Ex(Deaths)]]</f>
        <v>0.40727272727272723</v>
      </c>
      <c r="R108" s="14">
        <f>Table1[[#This Row],[Active]]/Table1[[#This Row],[Cases]]</f>
        <v>0.68711656441717794</v>
      </c>
      <c r="S108" s="12">
        <f>Table1[[#This Row],[Percent Infected]]*Table1[[#This Row],[% Active]]</f>
        <v>5.6926044427728069E-4</v>
      </c>
      <c r="T108" s="8">
        <f>1/Table1[[#This Row],[Percent Actively Infected]]</f>
        <v>1756.6651785714284</v>
      </c>
      <c r="AMC108"/>
    </row>
    <row r="109" spans="1:1017" s="1" customFormat="1" ht="16.5" thickBot="1" x14ac:dyDescent="0.3">
      <c r="A109" s="1">
        <v>108</v>
      </c>
      <c r="B109" s="51">
        <v>89</v>
      </c>
      <c r="C109" s="42" t="s">
        <v>119</v>
      </c>
      <c r="D109" s="47">
        <v>7192</v>
      </c>
      <c r="E109" s="48">
        <v>59</v>
      </c>
      <c r="F109" s="47">
        <v>5970</v>
      </c>
      <c r="G109" s="47">
        <v>1163</v>
      </c>
      <c r="H109" s="48"/>
      <c r="I109" s="42">
        <v>9550428</v>
      </c>
      <c r="J109" s="8">
        <f>Table1[[#This Row],[Population]]/Table1[[#This Row],[Cases]]</f>
        <v>1327.9238042269187</v>
      </c>
      <c r="K109" s="8">
        <f>Table1[[#This Row],[Population]]/Table1[[#This Row],[Deaths]]</f>
        <v>161871.66101694916</v>
      </c>
      <c r="L109" s="9">
        <f>Table1[[#This Row],[Deaths]]+Table1[[#This Row],[Active]]*Table1[[#This Row],[Death Rate]]</f>
        <v>68.540739710789765</v>
      </c>
      <c r="M109" s="10">
        <f>Table1[[#This Row],[Deaths]]/Table1[[#This Row],[Cases]]</f>
        <v>8.2035595105672977E-3</v>
      </c>
      <c r="N109" s="11">
        <f>Table1[[#This Row],[Cases]]/Table1[[#This Row],[Deaths]]</f>
        <v>121.89830508474576</v>
      </c>
      <c r="O109" s="12">
        <f>Table1[[#This Row],[Cases]]/Table1[[#This Row],[Population]]</f>
        <v>7.5305525574351218E-4</v>
      </c>
      <c r="P109" s="12">
        <f>Table1[[#This Row],[Deaths]]/Table1[[#This Row],[Population]]</f>
        <v>6.1777336052373776E-6</v>
      </c>
      <c r="Q109" s="13">
        <f>1-Table1[[#This Row],[Deaths]]/Table1[[#This Row],[Ex(Deaths)]]</f>
        <v>0.13919808497905439</v>
      </c>
      <c r="R109" s="14">
        <f>Table1[[#This Row],[Active]]/Table1[[#This Row],[Cases]]</f>
        <v>0.16170745272525028</v>
      </c>
      <c r="S109" s="12">
        <f>Table1[[#This Row],[Percent Infected]]*Table1[[#This Row],[% Active]]</f>
        <v>1.2177464716764526E-4</v>
      </c>
      <c r="T109" s="8">
        <f>1/Table1[[#This Row],[Percent Actively Infected]]</f>
        <v>8211.8899398108351</v>
      </c>
      <c r="AMC109"/>
    </row>
    <row r="110" spans="1:1017" s="1" customFormat="1" ht="16.5" thickBot="1" x14ac:dyDescent="0.3">
      <c r="A110" s="1">
        <v>109</v>
      </c>
      <c r="B110" s="51">
        <v>124</v>
      </c>
      <c r="C110" s="42" t="s">
        <v>95</v>
      </c>
      <c r="D110" s="47">
        <v>2008</v>
      </c>
      <c r="E110" s="48">
        <v>80</v>
      </c>
      <c r="F110" s="47">
        <v>1616</v>
      </c>
      <c r="G110" s="48">
        <v>312</v>
      </c>
      <c r="H110" s="48">
        <v>6</v>
      </c>
      <c r="I110" s="42">
        <v>2719357</v>
      </c>
      <c r="J110" s="8">
        <f>Table1[[#This Row],[Population]]/Table1[[#This Row],[Cases]]</f>
        <v>1354.261454183267</v>
      </c>
      <c r="K110" s="8">
        <f>Table1[[#This Row],[Population]]/Table1[[#This Row],[Deaths]]</f>
        <v>33991.962500000001</v>
      </c>
      <c r="L110" s="9">
        <f>Table1[[#This Row],[Deaths]]+Table1[[#This Row],[Active]]*Table1[[#This Row],[Death Rate]]</f>
        <v>92.430278884462155</v>
      </c>
      <c r="M110" s="10">
        <f>Table1[[#This Row],[Deaths]]/Table1[[#This Row],[Cases]]</f>
        <v>3.9840637450199202E-2</v>
      </c>
      <c r="N110" s="11">
        <f>Table1[[#This Row],[Cases]]/Table1[[#This Row],[Deaths]]</f>
        <v>25.1</v>
      </c>
      <c r="O110" s="12">
        <f>Table1[[#This Row],[Cases]]/Table1[[#This Row],[Population]]</f>
        <v>7.3840985203487439E-4</v>
      </c>
      <c r="P110" s="12">
        <f>Table1[[#This Row],[Deaths]]/Table1[[#This Row],[Population]]</f>
        <v>2.941871920457667E-5</v>
      </c>
      <c r="Q110" s="13">
        <f>1-Table1[[#This Row],[Deaths]]/Table1[[#This Row],[Ex(Deaths)]]</f>
        <v>0.1344827586206897</v>
      </c>
      <c r="R110" s="14">
        <f>Table1[[#This Row],[Active]]/Table1[[#This Row],[Cases]]</f>
        <v>0.15537848605577689</v>
      </c>
      <c r="S110" s="12">
        <f>Table1[[#This Row],[Percent Infected]]*Table1[[#This Row],[% Active]]</f>
        <v>1.1473300489784901E-4</v>
      </c>
      <c r="T110" s="8">
        <f>1/Table1[[#This Row],[Percent Actively Infected]]</f>
        <v>8715.8878205128203</v>
      </c>
      <c r="AMC110"/>
    </row>
    <row r="111" spans="1:1017" s="1" customFormat="1" ht="16.5" thickBot="1" x14ac:dyDescent="0.3">
      <c r="A111" s="1">
        <v>110</v>
      </c>
      <c r="B111" s="51">
        <v>28</v>
      </c>
      <c r="C111" s="42" t="s">
        <v>158</v>
      </c>
      <c r="D111" s="47">
        <v>80448</v>
      </c>
      <c r="E111" s="47">
        <v>1932</v>
      </c>
      <c r="F111" s="47">
        <v>26110</v>
      </c>
      <c r="G111" s="47">
        <v>52406</v>
      </c>
      <c r="H111" s="48">
        <v>351</v>
      </c>
      <c r="I111" s="42">
        <v>109674895</v>
      </c>
      <c r="J111" s="8">
        <f>Table1[[#This Row],[Population]]/Table1[[#This Row],[Cases]]</f>
        <v>1363.3016979912491</v>
      </c>
      <c r="K111" s="8">
        <f>Table1[[#This Row],[Population]]/Table1[[#This Row],[Deaths]]</f>
        <v>56767.543995859211</v>
      </c>
      <c r="L111" s="9">
        <f>Table1[[#This Row],[Deaths]]+Table1[[#This Row],[Active]]*Table1[[#This Row],[Death Rate]]</f>
        <v>3190.5569809069211</v>
      </c>
      <c r="M111" s="10">
        <f>Table1[[#This Row],[Deaths]]/Table1[[#This Row],[Cases]]</f>
        <v>2.4015513126491646E-2</v>
      </c>
      <c r="N111" s="11">
        <f>Table1[[#This Row],[Cases]]/Table1[[#This Row],[Deaths]]</f>
        <v>41.639751552795033</v>
      </c>
      <c r="O111" s="12">
        <f>Table1[[#This Row],[Cases]]/Table1[[#This Row],[Population]]</f>
        <v>7.3351335326101753E-4</v>
      </c>
      <c r="P111" s="12">
        <f>Table1[[#This Row],[Deaths]]/Table1[[#This Row],[Population]]</f>
        <v>1.7615699563696871E-5</v>
      </c>
      <c r="Q111" s="13">
        <f>1-Table1[[#This Row],[Deaths]]/Table1[[#This Row],[Ex(Deaths)]]</f>
        <v>0.39446309482589903</v>
      </c>
      <c r="R111" s="14">
        <f>Table1[[#This Row],[Active]]/Table1[[#This Row],[Cases]]</f>
        <v>0.65142700875099446</v>
      </c>
      <c r="S111" s="12">
        <f>Table1[[#This Row],[Percent Infected]]*Table1[[#This Row],[% Active]]</f>
        <v>4.7783040959373615E-4</v>
      </c>
      <c r="T111" s="8">
        <f>1/Table1[[#This Row],[Percent Actively Infected]]</f>
        <v>2092.7927145746667</v>
      </c>
      <c r="AMC111"/>
    </row>
    <row r="112" spans="1:1017" s="1" customFormat="1" ht="16.5" thickBot="1" x14ac:dyDescent="0.3">
      <c r="A112" s="1">
        <v>111</v>
      </c>
      <c r="B112" s="51">
        <v>155</v>
      </c>
      <c r="C112" s="42" t="s">
        <v>104</v>
      </c>
      <c r="D112" s="48">
        <v>657</v>
      </c>
      <c r="E112" s="48">
        <v>3</v>
      </c>
      <c r="F112" s="48">
        <v>558</v>
      </c>
      <c r="G112" s="48">
        <v>96</v>
      </c>
      <c r="H112" s="48">
        <v>4</v>
      </c>
      <c r="I112" s="42">
        <v>895742</v>
      </c>
      <c r="J112" s="8">
        <f>Table1[[#This Row],[Population]]/Table1[[#This Row],[Cases]]</f>
        <v>1363.3820395738203</v>
      </c>
      <c r="K112" s="8">
        <f>Table1[[#This Row],[Population]]/Table1[[#This Row],[Deaths]]</f>
        <v>298580.66666666669</v>
      </c>
      <c r="L112" s="9">
        <f>Table1[[#This Row],[Deaths]]+Table1[[#This Row],[Active]]*Table1[[#This Row],[Death Rate]]</f>
        <v>3.4383561643835616</v>
      </c>
      <c r="M112" s="10">
        <f>Table1[[#This Row],[Deaths]]/Table1[[#This Row],[Cases]]</f>
        <v>4.5662100456621002E-3</v>
      </c>
      <c r="N112" s="11">
        <f>Table1[[#This Row],[Cases]]/Table1[[#This Row],[Deaths]]</f>
        <v>219</v>
      </c>
      <c r="O112" s="12">
        <f>Table1[[#This Row],[Cases]]/Table1[[#This Row],[Population]]</f>
        <v>7.334701286754445E-4</v>
      </c>
      <c r="P112" s="12">
        <f>Table1[[#This Row],[Deaths]]/Table1[[#This Row],[Population]]</f>
        <v>3.349178669750888E-6</v>
      </c>
      <c r="Q112" s="13">
        <f>1-Table1[[#This Row],[Deaths]]/Table1[[#This Row],[Ex(Deaths)]]</f>
        <v>0.12749003984063745</v>
      </c>
      <c r="R112" s="14">
        <f>Table1[[#This Row],[Active]]/Table1[[#This Row],[Cases]]</f>
        <v>0.14611872146118721</v>
      </c>
      <c r="S112" s="12">
        <f>Table1[[#This Row],[Percent Infected]]*Table1[[#This Row],[% Active]]</f>
        <v>1.0717371743202842E-4</v>
      </c>
      <c r="T112" s="8">
        <f>1/Table1[[#This Row],[Percent Actively Infected]]</f>
        <v>9330.6458333333339</v>
      </c>
      <c r="AMC112"/>
    </row>
    <row r="113" spans="1:1017" s="1" customFormat="1" ht="16.5" thickBot="1" x14ac:dyDescent="0.3">
      <c r="A113" s="1">
        <v>112</v>
      </c>
      <c r="B113" s="51">
        <v>171</v>
      </c>
      <c r="C113" s="42" t="s">
        <v>102</v>
      </c>
      <c r="D113" s="48">
        <v>269</v>
      </c>
      <c r="E113" s="48">
        <v>15</v>
      </c>
      <c r="F113" s="48">
        <v>98</v>
      </c>
      <c r="G113" s="48">
        <v>156</v>
      </c>
      <c r="H113" s="48">
        <v>4</v>
      </c>
      <c r="I113" s="42">
        <v>375244</v>
      </c>
      <c r="J113" s="8">
        <f>Table1[[#This Row],[Population]]/Table1[[#This Row],[Cases]]</f>
        <v>1394.9591078066915</v>
      </c>
      <c r="K113" s="8">
        <f>Table1[[#This Row],[Population]]/Table1[[#This Row],[Deaths]]</f>
        <v>25016.266666666666</v>
      </c>
      <c r="L113" s="9">
        <f>Table1[[#This Row],[Deaths]]+Table1[[#This Row],[Active]]*Table1[[#This Row],[Death Rate]]</f>
        <v>23.698884758364311</v>
      </c>
      <c r="M113" s="10">
        <f>Table1[[#This Row],[Deaths]]/Table1[[#This Row],[Cases]]</f>
        <v>5.5762081784386616E-2</v>
      </c>
      <c r="N113" s="11">
        <f>Table1[[#This Row],[Cases]]/Table1[[#This Row],[Deaths]]</f>
        <v>17.933333333333334</v>
      </c>
      <c r="O113" s="12">
        <f>Table1[[#This Row],[Cases]]/Table1[[#This Row],[Population]]</f>
        <v>7.1686689194230954E-4</v>
      </c>
      <c r="P113" s="12">
        <f>Table1[[#This Row],[Deaths]]/Table1[[#This Row],[Population]]</f>
        <v>3.9973990257006106E-5</v>
      </c>
      <c r="Q113" s="13">
        <f>1-Table1[[#This Row],[Deaths]]/Table1[[#This Row],[Ex(Deaths)]]</f>
        <v>0.36705882352941177</v>
      </c>
      <c r="R113" s="14">
        <f>Table1[[#This Row],[Active]]/Table1[[#This Row],[Cases]]</f>
        <v>0.5799256505576208</v>
      </c>
      <c r="S113" s="12">
        <f>Table1[[#This Row],[Percent Infected]]*Table1[[#This Row],[% Active]]</f>
        <v>4.1572949867286352E-4</v>
      </c>
      <c r="T113" s="8">
        <f>1/Table1[[#This Row],[Percent Actively Infected]]</f>
        <v>2405.4102564102564</v>
      </c>
      <c r="AMC113"/>
    </row>
    <row r="114" spans="1:1017" s="1" customFormat="1" ht="16.5" thickBot="1" x14ac:dyDescent="0.3">
      <c r="A114" s="1">
        <v>113</v>
      </c>
      <c r="B114" s="51">
        <v>213</v>
      </c>
      <c r="C114" s="42" t="s">
        <v>233</v>
      </c>
      <c r="D114" s="48">
        <v>7</v>
      </c>
      <c r="E114" s="48"/>
      <c r="F114" s="48">
        <v>6</v>
      </c>
      <c r="G114" s="48">
        <v>1</v>
      </c>
      <c r="H114" s="48"/>
      <c r="I114" s="42">
        <v>9879</v>
      </c>
      <c r="J114" s="8">
        <f>Table1[[#This Row],[Population]]/Table1[[#This Row],[Cases]]</f>
        <v>1411.2857142857142</v>
      </c>
      <c r="K114" s="8" t="e">
        <f>Table1[[#This Row],[Population]]/Table1[[#This Row],[Deaths]]</f>
        <v>#DIV/0!</v>
      </c>
      <c r="L114" s="9">
        <f>Table1[[#This Row],[Deaths]]+Table1[[#This Row],[Active]]*Table1[[#This Row],[Death Rate]]</f>
        <v>0</v>
      </c>
      <c r="M114" s="10">
        <f>Table1[[#This Row],[Deaths]]/Table1[[#This Row],[Cases]]</f>
        <v>0</v>
      </c>
      <c r="N114" s="11" t="e">
        <f>Table1[[#This Row],[Cases]]/Table1[[#This Row],[Deaths]]</f>
        <v>#DIV/0!</v>
      </c>
      <c r="O114" s="12">
        <f>Table1[[#This Row],[Cases]]/Table1[[#This Row],[Population]]</f>
        <v>7.0857374228160748E-4</v>
      </c>
      <c r="P114" s="12">
        <f>Table1[[#This Row],[Deaths]]/Table1[[#This Row],[Population]]</f>
        <v>0</v>
      </c>
      <c r="Q114" s="13" t="e">
        <f>1-Table1[[#This Row],[Deaths]]/Table1[[#This Row],[Ex(Deaths)]]</f>
        <v>#DIV/0!</v>
      </c>
      <c r="R114" s="14">
        <f>Table1[[#This Row],[Active]]/Table1[[#This Row],[Cases]]</f>
        <v>0.14285714285714285</v>
      </c>
      <c r="S114" s="12">
        <f>Table1[[#This Row],[Percent Infected]]*Table1[[#This Row],[% Active]]</f>
        <v>1.0122482032594392E-4</v>
      </c>
      <c r="T114" s="8">
        <f>1/Table1[[#This Row],[Percent Actively Infected]]</f>
        <v>9879</v>
      </c>
      <c r="AMC114"/>
    </row>
    <row r="115" spans="1:1017" s="1" customFormat="1" ht="16.5" thickBot="1" x14ac:dyDescent="0.3">
      <c r="A115" s="1">
        <v>114</v>
      </c>
      <c r="B115" s="51">
        <v>127</v>
      </c>
      <c r="C115" s="42" t="s">
        <v>216</v>
      </c>
      <c r="D115" s="47">
        <v>1775</v>
      </c>
      <c r="E115" s="48">
        <v>8</v>
      </c>
      <c r="F115" s="48">
        <v>75</v>
      </c>
      <c r="G115" s="47">
        <v>1692</v>
      </c>
      <c r="H115" s="48">
        <v>13</v>
      </c>
      <c r="I115" s="42">
        <v>2543754</v>
      </c>
      <c r="J115" s="8">
        <f>Table1[[#This Row],[Population]]/Table1[[#This Row],[Cases]]</f>
        <v>1433.1008450704226</v>
      </c>
      <c r="K115" s="8">
        <f>Table1[[#This Row],[Population]]/Table1[[#This Row],[Deaths]]</f>
        <v>317969.25</v>
      </c>
      <c r="L115" s="9">
        <f>Table1[[#This Row],[Deaths]]+Table1[[#This Row],[Active]]*Table1[[#This Row],[Death Rate]]</f>
        <v>15.625915492957747</v>
      </c>
      <c r="M115" s="10">
        <f>Table1[[#This Row],[Deaths]]/Table1[[#This Row],[Cases]]</f>
        <v>4.507042253521127E-3</v>
      </c>
      <c r="N115" s="11">
        <f>Table1[[#This Row],[Cases]]/Table1[[#This Row],[Deaths]]</f>
        <v>221.875</v>
      </c>
      <c r="O115" s="12">
        <f>Table1[[#This Row],[Cases]]/Table1[[#This Row],[Population]]</f>
        <v>6.9778760053055449E-4</v>
      </c>
      <c r="P115" s="12">
        <f>Table1[[#This Row],[Deaths]]/Table1[[#This Row],[Population]]</f>
        <v>3.1449581995743299E-6</v>
      </c>
      <c r="Q115" s="13">
        <f>1-Table1[[#This Row],[Deaths]]/Table1[[#This Row],[Ex(Deaths)]]</f>
        <v>0.48802999711566197</v>
      </c>
      <c r="R115" s="14">
        <f>Table1[[#This Row],[Active]]/Table1[[#This Row],[Cases]]</f>
        <v>0.95323943661971833</v>
      </c>
      <c r="S115" s="12">
        <f>Table1[[#This Row],[Percent Infected]]*Table1[[#This Row],[% Active]]</f>
        <v>6.6515865920997079E-4</v>
      </c>
      <c r="T115" s="8">
        <f>1/Table1[[#This Row],[Percent Actively Infected]]</f>
        <v>1503.4007092198581</v>
      </c>
      <c r="AMC115"/>
    </row>
    <row r="116" spans="1:1017" s="1" customFormat="1" ht="16.5" thickBot="1" x14ac:dyDescent="0.3">
      <c r="A116" s="1">
        <v>115</v>
      </c>
      <c r="B116" s="51">
        <v>136</v>
      </c>
      <c r="C116" s="42" t="s">
        <v>98</v>
      </c>
      <c r="D116" s="47">
        <v>1219</v>
      </c>
      <c r="E116" s="48">
        <v>31</v>
      </c>
      <c r="F116" s="47">
        <v>1045</v>
      </c>
      <c r="G116" s="48">
        <v>143</v>
      </c>
      <c r="H116" s="48">
        <v>2</v>
      </c>
      <c r="I116" s="42">
        <v>1884615</v>
      </c>
      <c r="J116" s="8">
        <f>Table1[[#This Row],[Population]]/Table1[[#This Row],[Cases]]</f>
        <v>1546.033634126333</v>
      </c>
      <c r="K116" s="8">
        <f>Table1[[#This Row],[Population]]/Table1[[#This Row],[Deaths]]</f>
        <v>60794.032258064515</v>
      </c>
      <c r="L116" s="9">
        <f>Table1[[#This Row],[Deaths]]+Table1[[#This Row],[Active]]*Table1[[#This Row],[Death Rate]]</f>
        <v>34.636587366694009</v>
      </c>
      <c r="M116" s="10">
        <f>Table1[[#This Row],[Deaths]]/Table1[[#This Row],[Cases]]</f>
        <v>2.5430680885972109E-2</v>
      </c>
      <c r="N116" s="15">
        <f>Table1[[#This Row],[Cases]]/Table1[[#This Row],[Deaths]]</f>
        <v>39.322580645161288</v>
      </c>
      <c r="O116" s="12">
        <f>Table1[[#This Row],[Cases]]/Table1[[#This Row],[Population]]</f>
        <v>6.4681645853397114E-4</v>
      </c>
      <c r="P116" s="12">
        <f>Table1[[#This Row],[Deaths]]/Table1[[#This Row],[Population]]</f>
        <v>1.6448982948772032E-5</v>
      </c>
      <c r="Q116" s="13">
        <f>1-Table1[[#This Row],[Deaths]]/Table1[[#This Row],[Ex(Deaths)]]</f>
        <v>0.10499265785609391</v>
      </c>
      <c r="R116" s="14">
        <f>Table1[[#This Row],[Active]]/Table1[[#This Row],[Cases]]</f>
        <v>0.1173092698933552</v>
      </c>
      <c r="S116" s="12">
        <f>Table1[[#This Row],[Percent Infected]]*Table1[[#This Row],[% Active]]</f>
        <v>7.5877566505625808E-5</v>
      </c>
      <c r="T116" s="8">
        <f>1/Table1[[#This Row],[Percent Actively Infected]]</f>
        <v>13179.125874125875</v>
      </c>
      <c r="AMC116"/>
    </row>
    <row r="117" spans="1:1017" s="1" customFormat="1" ht="16.5" thickBot="1" x14ac:dyDescent="0.3">
      <c r="A117" s="1">
        <v>116</v>
      </c>
      <c r="B117" s="51">
        <v>88</v>
      </c>
      <c r="C117" s="42" t="s">
        <v>175</v>
      </c>
      <c r="D117" s="47">
        <v>7297</v>
      </c>
      <c r="E117" s="48">
        <v>157</v>
      </c>
      <c r="F117" s="47">
        <v>4365</v>
      </c>
      <c r="G117" s="47">
        <v>2775</v>
      </c>
      <c r="H117" s="48"/>
      <c r="I117" s="42">
        <v>11411547</v>
      </c>
      <c r="J117" s="8">
        <f>Table1[[#This Row],[Population]]/Table1[[#This Row],[Cases]]</f>
        <v>1563.8683020419351</v>
      </c>
      <c r="K117" s="8">
        <f>Table1[[#This Row],[Population]]/Table1[[#This Row],[Deaths]]</f>
        <v>72685.012738853504</v>
      </c>
      <c r="L117" s="9">
        <f>Table1[[#This Row],[Deaths]]+Table1[[#This Row],[Active]]*Table1[[#This Row],[Death Rate]]</f>
        <v>216.70604357955324</v>
      </c>
      <c r="M117" s="10">
        <f>Table1[[#This Row],[Deaths]]/Table1[[#This Row],[Cases]]</f>
        <v>2.1515691380019186E-2</v>
      </c>
      <c r="N117" s="11">
        <f>Table1[[#This Row],[Cases]]/Table1[[#This Row],[Deaths]]</f>
        <v>46.477707006369428</v>
      </c>
      <c r="O117" s="12">
        <f>Table1[[#This Row],[Cases]]/Table1[[#This Row],[Population]]</f>
        <v>6.394400338534293E-4</v>
      </c>
      <c r="P117" s="12">
        <f>Table1[[#This Row],[Deaths]]/Table1[[#This Row],[Population]]</f>
        <v>1.3757994424419405E-5</v>
      </c>
      <c r="Q117" s="13">
        <f>1-Table1[[#This Row],[Deaths]]/Table1[[#This Row],[Ex(Deaths)]]</f>
        <v>0.27551628276409845</v>
      </c>
      <c r="R117" s="14">
        <f>Table1[[#This Row],[Active]]/Table1[[#This Row],[Cases]]</f>
        <v>0.38029327120734546</v>
      </c>
      <c r="S117" s="12">
        <f>Table1[[#This Row],[Percent Infected]]*Table1[[#This Row],[% Active]]</f>
        <v>2.4317474221505634E-4</v>
      </c>
      <c r="T117" s="8">
        <f>1/Table1[[#This Row],[Percent Actively Infected]]</f>
        <v>4112.26918918919</v>
      </c>
      <c r="AMC117"/>
    </row>
    <row r="118" spans="1:1017" s="1" customFormat="1" ht="16.5" thickBot="1" x14ac:dyDescent="0.3">
      <c r="A118" s="1">
        <v>117</v>
      </c>
      <c r="B118" s="51">
        <v>64</v>
      </c>
      <c r="C118" s="42" t="s">
        <v>202</v>
      </c>
      <c r="D118" s="47">
        <v>18613</v>
      </c>
      <c r="E118" s="48">
        <v>45</v>
      </c>
      <c r="F118" s="47">
        <v>13128</v>
      </c>
      <c r="G118" s="47">
        <v>5440</v>
      </c>
      <c r="H118" s="48"/>
      <c r="I118" s="42">
        <v>29169282</v>
      </c>
      <c r="J118" s="8">
        <f>Table1[[#This Row],[Population]]/Table1[[#This Row],[Cases]]</f>
        <v>1567.1456508891636</v>
      </c>
      <c r="K118" s="8">
        <f>Table1[[#This Row],[Population]]/Table1[[#This Row],[Deaths]]</f>
        <v>648206.26666666672</v>
      </c>
      <c r="L118" s="9">
        <f>Table1[[#This Row],[Deaths]]+Table1[[#This Row],[Active]]*Table1[[#This Row],[Death Rate]]</f>
        <v>58.152097996024281</v>
      </c>
      <c r="M118" s="10">
        <f>Table1[[#This Row],[Deaths]]/Table1[[#This Row],[Cases]]</f>
        <v>2.4176650727985817E-3</v>
      </c>
      <c r="N118" s="11">
        <f>Table1[[#This Row],[Cases]]/Table1[[#This Row],[Deaths]]</f>
        <v>413.62222222222221</v>
      </c>
      <c r="O118" s="12">
        <f>Table1[[#This Row],[Cases]]/Table1[[#This Row],[Population]]</f>
        <v>6.3810278223509233E-4</v>
      </c>
      <c r="P118" s="12">
        <f>Table1[[#This Row],[Deaths]]/Table1[[#This Row],[Population]]</f>
        <v>1.5427188094653821E-6</v>
      </c>
      <c r="Q118" s="13">
        <f>1-Table1[[#This Row],[Deaths]]/Table1[[#This Row],[Ex(Deaths)]]</f>
        <v>0.22616721406893103</v>
      </c>
      <c r="R118" s="14">
        <f>Table1[[#This Row],[Active]]/Table1[[#This Row],[Cases]]</f>
        <v>0.29226884435609518</v>
      </c>
      <c r="S118" s="12">
        <f>Table1[[#This Row],[Percent Infected]]*Table1[[#This Row],[% Active]]</f>
        <v>1.8649756274425949E-4</v>
      </c>
      <c r="T118" s="8">
        <f>1/Table1[[#This Row],[Percent Actively Infected]]</f>
        <v>5362.0003676470596</v>
      </c>
      <c r="AMC118"/>
    </row>
    <row r="119" spans="1:1017" s="1" customFormat="1" ht="16.5" thickBot="1" x14ac:dyDescent="0.3">
      <c r="A119" s="1">
        <v>118</v>
      </c>
      <c r="B119" s="51">
        <v>65</v>
      </c>
      <c r="C119" s="42" t="s">
        <v>149</v>
      </c>
      <c r="D119" s="47">
        <v>16708</v>
      </c>
      <c r="E119" s="48">
        <v>385</v>
      </c>
      <c r="F119" s="47">
        <v>14539</v>
      </c>
      <c r="G119" s="47">
        <v>1784</v>
      </c>
      <c r="H119" s="48">
        <v>30</v>
      </c>
      <c r="I119" s="42">
        <v>26584456</v>
      </c>
      <c r="J119" s="8">
        <f>Table1[[#This Row],[Population]]/Table1[[#This Row],[Cases]]</f>
        <v>1591.1213789801293</v>
      </c>
      <c r="K119" s="8">
        <f>Table1[[#This Row],[Population]]/Table1[[#This Row],[Deaths]]</f>
        <v>69050.535064935058</v>
      </c>
      <c r="L119" s="9">
        <f>Table1[[#This Row],[Deaths]]+Table1[[#This Row],[Active]]*Table1[[#This Row],[Death Rate]]</f>
        <v>426.10845104141731</v>
      </c>
      <c r="M119" s="10">
        <f>Table1[[#This Row],[Deaths]]/Table1[[#This Row],[Cases]]</f>
        <v>2.3042853722767535E-2</v>
      </c>
      <c r="N119" s="11">
        <f>Table1[[#This Row],[Cases]]/Table1[[#This Row],[Deaths]]</f>
        <v>43.397402597402596</v>
      </c>
      <c r="O119" s="12">
        <f>Table1[[#This Row],[Cases]]/Table1[[#This Row],[Population]]</f>
        <v>6.2848756431201753E-4</v>
      </c>
      <c r="P119" s="12">
        <f>Table1[[#This Row],[Deaths]]/Table1[[#This Row],[Population]]</f>
        <v>1.4482147011020275E-5</v>
      </c>
      <c r="Q119" s="13">
        <f>1-Table1[[#This Row],[Deaths]]/Table1[[#This Row],[Ex(Deaths)]]</f>
        <v>9.6474150984209417E-2</v>
      </c>
      <c r="R119" s="14">
        <f>Table1[[#This Row],[Active]]/Table1[[#This Row],[Cases]]</f>
        <v>0.10677519751017477</v>
      </c>
      <c r="S119" s="12">
        <f>Table1[[#This Row],[Percent Infected]]*Table1[[#This Row],[% Active]]</f>
        <v>6.710688381210433E-5</v>
      </c>
      <c r="T119" s="8">
        <f>1/Table1[[#This Row],[Percent Actively Infected]]</f>
        <v>14901.600896860988</v>
      </c>
      <c r="AMC119"/>
    </row>
    <row r="120" spans="1:1017" s="1" customFormat="1" ht="16.5" thickBot="1" x14ac:dyDescent="0.3">
      <c r="A120" s="1">
        <v>119</v>
      </c>
      <c r="B120" s="51">
        <v>57</v>
      </c>
      <c r="C120" s="42" t="s">
        <v>146</v>
      </c>
      <c r="D120" s="47">
        <v>26764</v>
      </c>
      <c r="E120" s="47">
        <v>1146</v>
      </c>
      <c r="F120" s="47">
        <v>18076</v>
      </c>
      <c r="G120" s="47">
        <v>7542</v>
      </c>
      <c r="H120" s="48">
        <v>66</v>
      </c>
      <c r="I120" s="42">
        <v>43900083</v>
      </c>
      <c r="J120" s="8">
        <f>Table1[[#This Row],[Population]]/Table1[[#This Row],[Cases]]</f>
        <v>1640.2661410850396</v>
      </c>
      <c r="K120" s="8">
        <f>Table1[[#This Row],[Population]]/Table1[[#This Row],[Deaths]]</f>
        <v>38307.227748691097</v>
      </c>
      <c r="L120" s="9">
        <f>Table1[[#This Row],[Deaths]]+Table1[[#This Row],[Active]]*Table1[[#This Row],[Death Rate]]</f>
        <v>1468.9387236586458</v>
      </c>
      <c r="M120" s="10">
        <f>Table1[[#This Row],[Deaths]]/Table1[[#This Row],[Cases]]</f>
        <v>4.2818711702286655E-2</v>
      </c>
      <c r="N120" s="11">
        <f>Table1[[#This Row],[Cases]]/Table1[[#This Row],[Deaths]]</f>
        <v>23.354275741710296</v>
      </c>
      <c r="O120" s="12">
        <f>Table1[[#This Row],[Cases]]/Table1[[#This Row],[Population]]</f>
        <v>6.096571616960269E-4</v>
      </c>
      <c r="P120" s="12">
        <f>Table1[[#This Row],[Deaths]]/Table1[[#This Row],[Population]]</f>
        <v>2.6104734243896531E-5</v>
      </c>
      <c r="Q120" s="13">
        <f>1-Table1[[#This Row],[Deaths]]/Table1[[#This Row],[Ex(Deaths)]]</f>
        <v>0.21984492508599074</v>
      </c>
      <c r="R120" s="14">
        <f>Table1[[#This Row],[Active]]/Table1[[#This Row],[Cases]]</f>
        <v>0.28179644298311163</v>
      </c>
      <c r="S120" s="12">
        <f>Table1[[#This Row],[Percent Infected]]*Table1[[#This Row],[% Active]]</f>
        <v>1.717992196051201E-4</v>
      </c>
      <c r="T120" s="8">
        <f>1/Table1[[#This Row],[Percent Actively Infected]]</f>
        <v>5820.7482100238667</v>
      </c>
      <c r="AMC120"/>
    </row>
    <row r="121" spans="1:1017" s="1" customFormat="1" ht="16.5" thickBot="1" x14ac:dyDescent="0.3">
      <c r="A121" s="1">
        <v>120</v>
      </c>
      <c r="B121" s="51">
        <v>100</v>
      </c>
      <c r="C121" s="42" t="s">
        <v>161</v>
      </c>
      <c r="D121" s="47">
        <v>4328</v>
      </c>
      <c r="E121" s="48">
        <v>40</v>
      </c>
      <c r="F121" s="47">
        <v>2679</v>
      </c>
      <c r="G121" s="47">
        <v>1609</v>
      </c>
      <c r="H121" s="48">
        <v>12</v>
      </c>
      <c r="I121" s="42">
        <v>7138218</v>
      </c>
      <c r="J121" s="8">
        <f>Table1[[#This Row],[Population]]/Table1[[#This Row],[Cases]]</f>
        <v>1649.3109981515711</v>
      </c>
      <c r="K121" s="8">
        <f>Table1[[#This Row],[Population]]/Table1[[#This Row],[Deaths]]</f>
        <v>178455.45</v>
      </c>
      <c r="L121" s="9">
        <f>Table1[[#This Row],[Deaths]]+Table1[[#This Row],[Active]]*Table1[[#This Row],[Death Rate]]</f>
        <v>54.870609981515713</v>
      </c>
      <c r="M121" s="10">
        <f>Table1[[#This Row],[Deaths]]/Table1[[#This Row],[Cases]]</f>
        <v>9.242144177449169E-3</v>
      </c>
      <c r="N121" s="11">
        <f>Table1[[#This Row],[Cases]]/Table1[[#This Row],[Deaths]]</f>
        <v>108.2</v>
      </c>
      <c r="O121" s="12">
        <f>Table1[[#This Row],[Cases]]/Table1[[#This Row],[Population]]</f>
        <v>6.0631378867947159E-4</v>
      </c>
      <c r="P121" s="12">
        <f>Table1[[#This Row],[Deaths]]/Table1[[#This Row],[Population]]</f>
        <v>5.6036394517511235E-6</v>
      </c>
      <c r="Q121" s="13">
        <f>1-Table1[[#This Row],[Deaths]]/Table1[[#This Row],[Ex(Deaths)]]</f>
        <v>0.27101229577227559</v>
      </c>
      <c r="R121" s="14">
        <f>Table1[[#This Row],[Active]]/Table1[[#This Row],[Cases]]</f>
        <v>0.37176524953789281</v>
      </c>
      <c r="S121" s="12">
        <f>Table1[[#This Row],[Percent Infected]]*Table1[[#This Row],[% Active]]</f>
        <v>2.2540639694668897E-4</v>
      </c>
      <c r="T121" s="8">
        <f>1/Table1[[#This Row],[Percent Actively Infected]]</f>
        <v>4436.4313238036038</v>
      </c>
      <c r="AMC121"/>
    </row>
    <row r="122" spans="1:1017" s="1" customFormat="1" ht="16.5" thickBot="1" x14ac:dyDescent="0.3">
      <c r="A122" s="1">
        <v>121</v>
      </c>
      <c r="B122" s="51">
        <v>62</v>
      </c>
      <c r="C122" s="42" t="s">
        <v>169</v>
      </c>
      <c r="D122" s="47">
        <v>20226</v>
      </c>
      <c r="E122" s="48">
        <v>114</v>
      </c>
      <c r="F122" s="47">
        <v>10831</v>
      </c>
      <c r="G122" s="47">
        <v>9281</v>
      </c>
      <c r="H122" s="48">
        <v>138</v>
      </c>
      <c r="I122" s="42">
        <v>33500117</v>
      </c>
      <c r="J122" s="8">
        <f>Table1[[#This Row],[Population]]/Table1[[#This Row],[Cases]]</f>
        <v>1656.2897755364384</v>
      </c>
      <c r="K122" s="8">
        <f>Table1[[#This Row],[Population]]/Table1[[#This Row],[Deaths]]</f>
        <v>293860.67543859652</v>
      </c>
      <c r="L122" s="9">
        <f>Table1[[#This Row],[Deaths]]+Table1[[#This Row],[Active]]*Table1[[#This Row],[Death Rate]]</f>
        <v>166.31059032927914</v>
      </c>
      <c r="M122" s="10">
        <f>Table1[[#This Row],[Deaths]]/Table1[[#This Row],[Cases]]</f>
        <v>5.6363097003856426E-3</v>
      </c>
      <c r="N122" s="11">
        <f>Table1[[#This Row],[Cases]]/Table1[[#This Row],[Deaths]]</f>
        <v>177.42105263157896</v>
      </c>
      <c r="O122" s="12">
        <f>Table1[[#This Row],[Cases]]/Table1[[#This Row],[Population]]</f>
        <v>6.0375908537871673E-4</v>
      </c>
      <c r="P122" s="12">
        <f>Table1[[#This Row],[Deaths]]/Table1[[#This Row],[Population]]</f>
        <v>3.4029731896160245E-6</v>
      </c>
      <c r="Q122" s="13">
        <f>1-Table1[[#This Row],[Deaths]]/Table1[[#This Row],[Ex(Deaths)]]</f>
        <v>0.31453553394109868</v>
      </c>
      <c r="R122" s="14">
        <f>Table1[[#This Row],[Active]]/Table1[[#This Row],[Cases]]</f>
        <v>0.45886482744981705</v>
      </c>
      <c r="S122" s="12">
        <f>Table1[[#This Row],[Percent Infected]]*Table1[[#This Row],[% Active]]</f>
        <v>2.7704380853356419E-4</v>
      </c>
      <c r="T122" s="8">
        <f>1/Table1[[#This Row],[Percent Actively Infected]]</f>
        <v>3609.5374420859825</v>
      </c>
      <c r="AMC122"/>
    </row>
    <row r="123" spans="1:1017" s="1" customFormat="1" ht="16.5" thickBot="1" x14ac:dyDescent="0.3">
      <c r="A123" s="1">
        <v>122</v>
      </c>
      <c r="B123" s="51">
        <v>67</v>
      </c>
      <c r="C123" s="42" t="s">
        <v>171</v>
      </c>
      <c r="D123" s="47">
        <v>15494</v>
      </c>
      <c r="E123" s="48">
        <v>94</v>
      </c>
      <c r="F123" s="47">
        <v>9880</v>
      </c>
      <c r="G123" s="47">
        <v>5520</v>
      </c>
      <c r="H123" s="48"/>
      <c r="I123" s="42">
        <v>26416469</v>
      </c>
      <c r="J123" s="8">
        <f>Table1[[#This Row],[Population]]/Table1[[#This Row],[Cases]]</f>
        <v>1704.9483025687364</v>
      </c>
      <c r="K123" s="8">
        <f>Table1[[#This Row],[Population]]/Table1[[#This Row],[Deaths]]</f>
        <v>281026.26595744683</v>
      </c>
      <c r="L123" s="9">
        <f>Table1[[#This Row],[Deaths]]+Table1[[#This Row],[Active]]*Table1[[#This Row],[Death Rate]]</f>
        <v>127.48909255195559</v>
      </c>
      <c r="M123" s="10">
        <f>Table1[[#This Row],[Deaths]]/Table1[[#This Row],[Cases]]</f>
        <v>6.0668645927455791E-3</v>
      </c>
      <c r="N123" s="15">
        <f>Table1[[#This Row],[Cases]]/Table1[[#This Row],[Deaths]]</f>
        <v>164.82978723404256</v>
      </c>
      <c r="O123" s="12">
        <f>Table1[[#This Row],[Cases]]/Table1[[#This Row],[Population]]</f>
        <v>5.865280480900002E-4</v>
      </c>
      <c r="P123" s="12">
        <f>Table1[[#This Row],[Deaths]]/Table1[[#This Row],[Population]]</f>
        <v>3.5583862476093986E-6</v>
      </c>
      <c r="Q123" s="13">
        <f>1-Table1[[#This Row],[Deaths]]/Table1[[#This Row],[Ex(Deaths)]]</f>
        <v>0.26268202150946984</v>
      </c>
      <c r="R123" s="14">
        <f>Table1[[#This Row],[Active]]/Table1[[#This Row],[Cases]]</f>
        <v>0.35626694204208081</v>
      </c>
      <c r="S123" s="12">
        <f>Table1[[#This Row],[Percent Infected]]*Table1[[#This Row],[% Active]]</f>
        <v>2.0896055411493488E-4</v>
      </c>
      <c r="T123" s="8">
        <f>1/Table1[[#This Row],[Percent Actively Infected]]</f>
        <v>4785.5922101449278</v>
      </c>
      <c r="AMC123"/>
    </row>
    <row r="124" spans="1:1017" s="1" customFormat="1" ht="16.5" thickBot="1" x14ac:dyDescent="0.3">
      <c r="A124" s="1">
        <v>123</v>
      </c>
      <c r="B124" s="51">
        <v>81</v>
      </c>
      <c r="C124" s="42" t="s">
        <v>147</v>
      </c>
      <c r="D124" s="47">
        <v>9681</v>
      </c>
      <c r="E124" s="48">
        <v>191</v>
      </c>
      <c r="F124" s="47">
        <v>6409</v>
      </c>
      <c r="G124" s="47">
        <v>3081</v>
      </c>
      <c r="H124" s="48">
        <v>49</v>
      </c>
      <c r="I124" s="42">
        <v>16769360</v>
      </c>
      <c r="J124" s="8">
        <f>Table1[[#This Row],[Population]]/Table1[[#This Row],[Cases]]</f>
        <v>1732.1929552732156</v>
      </c>
      <c r="K124" s="8">
        <f>Table1[[#This Row],[Population]]/Table1[[#This Row],[Deaths]]</f>
        <v>87797.696335078537</v>
      </c>
      <c r="L124" s="9">
        <f>Table1[[#This Row],[Deaths]]+Table1[[#This Row],[Active]]*Table1[[#This Row],[Death Rate]]</f>
        <v>251.78617911372791</v>
      </c>
      <c r="M124" s="10">
        <f>Table1[[#This Row],[Deaths]]/Table1[[#This Row],[Cases]]</f>
        <v>1.9729366800950315E-2</v>
      </c>
      <c r="N124" s="11">
        <f>Table1[[#This Row],[Cases]]/Table1[[#This Row],[Deaths]]</f>
        <v>50.68586387434555</v>
      </c>
      <c r="O124" s="12">
        <f>Table1[[#This Row],[Cases]]/Table1[[#This Row],[Population]]</f>
        <v>5.7730289050983462E-4</v>
      </c>
      <c r="P124" s="12">
        <f>Table1[[#This Row],[Deaths]]/Table1[[#This Row],[Population]]</f>
        <v>1.1389820482117386E-5</v>
      </c>
      <c r="Q124" s="13">
        <f>1-Table1[[#This Row],[Deaths]]/Table1[[#This Row],[Ex(Deaths)]]</f>
        <v>0.2414198401504466</v>
      </c>
      <c r="R124" s="14">
        <f>Table1[[#This Row],[Active]]/Table1[[#This Row],[Cases]]</f>
        <v>0.31825224666873259</v>
      </c>
      <c r="S124" s="12">
        <f>Table1[[#This Row],[Percent Infected]]*Table1[[#This Row],[% Active]]</f>
        <v>1.837279419131082E-4</v>
      </c>
      <c r="T124" s="8">
        <f>1/Table1[[#This Row],[Percent Actively Infected]]</f>
        <v>5442.8302499188576</v>
      </c>
      <c r="AMC124"/>
    </row>
    <row r="125" spans="1:1017" s="1" customFormat="1" ht="16.5" thickBot="1" x14ac:dyDescent="0.3">
      <c r="A125" s="1">
        <v>124</v>
      </c>
      <c r="B125" s="51">
        <v>72</v>
      </c>
      <c r="C125" s="42" t="s">
        <v>123</v>
      </c>
      <c r="D125" s="47">
        <v>14403</v>
      </c>
      <c r="E125" s="48">
        <v>155</v>
      </c>
      <c r="F125" s="47">
        <v>9019</v>
      </c>
      <c r="G125" s="47">
        <v>5229</v>
      </c>
      <c r="H125" s="48">
        <v>46</v>
      </c>
      <c r="I125" s="42">
        <v>25519167</v>
      </c>
      <c r="J125" s="8">
        <f>Table1[[#This Row],[Population]]/Table1[[#This Row],[Cases]]</f>
        <v>1771.7952509893771</v>
      </c>
      <c r="K125" s="8">
        <f>Table1[[#This Row],[Population]]/Table1[[#This Row],[Deaths]]</f>
        <v>164639.78709677421</v>
      </c>
      <c r="L125" s="9">
        <f>Table1[[#This Row],[Deaths]]+Table1[[#This Row],[Active]]*Table1[[#This Row],[Death Rate]]</f>
        <v>211.27265153093106</v>
      </c>
      <c r="M125" s="10">
        <f>Table1[[#This Row],[Deaths]]/Table1[[#This Row],[Cases]]</f>
        <v>1.0761646879122405E-2</v>
      </c>
      <c r="N125" s="11">
        <f>Table1[[#This Row],[Cases]]/Table1[[#This Row],[Deaths]]</f>
        <v>92.92258064516129</v>
      </c>
      <c r="O125" s="12">
        <f>Table1[[#This Row],[Cases]]/Table1[[#This Row],[Population]]</f>
        <v>5.6439930033766385E-4</v>
      </c>
      <c r="P125" s="12">
        <f>Table1[[#This Row],[Deaths]]/Table1[[#This Row],[Population]]</f>
        <v>6.073865969057689E-6</v>
      </c>
      <c r="Q125" s="13">
        <f>1-Table1[[#This Row],[Deaths]]/Table1[[#This Row],[Ex(Deaths)]]</f>
        <v>0.26635085574572126</v>
      </c>
      <c r="R125" s="14">
        <f>Table1[[#This Row],[Active]]/Table1[[#This Row],[Cases]]</f>
        <v>0.36304936471568422</v>
      </c>
      <c r="S125" s="12">
        <f>Table1[[#This Row],[Percent Infected]]*Table1[[#This Row],[% Active]]</f>
        <v>2.0490480743356551E-4</v>
      </c>
      <c r="T125" s="8">
        <f>1/Table1[[#This Row],[Percent Actively Infected]]</f>
        <v>4880.3149741824445</v>
      </c>
      <c r="AMC125"/>
    </row>
    <row r="126" spans="1:1017" s="1" customFormat="1" ht="16.5" thickBot="1" x14ac:dyDescent="0.3">
      <c r="A126" s="1">
        <v>125</v>
      </c>
      <c r="B126" s="51">
        <v>109</v>
      </c>
      <c r="C126" s="42" t="s">
        <v>173</v>
      </c>
      <c r="D126" s="47">
        <v>3038</v>
      </c>
      <c r="E126" s="48">
        <v>51</v>
      </c>
      <c r="F126" s="48">
        <v>756</v>
      </c>
      <c r="G126" s="47">
        <v>2231</v>
      </c>
      <c r="H126" s="48"/>
      <c r="I126" s="42">
        <v>5526039</v>
      </c>
      <c r="J126" s="8">
        <f>Table1[[#This Row],[Population]]/Table1[[#This Row],[Cases]]</f>
        <v>1818.9726793943385</v>
      </c>
      <c r="K126" s="8">
        <f>Table1[[#This Row],[Population]]/Table1[[#This Row],[Deaths]]</f>
        <v>108353.70588235294</v>
      </c>
      <c r="L126" s="9">
        <f>Table1[[#This Row],[Deaths]]+Table1[[#This Row],[Active]]*Table1[[#This Row],[Death Rate]]</f>
        <v>88.452600394996708</v>
      </c>
      <c r="M126" s="10">
        <f>Table1[[#This Row],[Deaths]]/Table1[[#This Row],[Cases]]</f>
        <v>1.6787360105332456E-2</v>
      </c>
      <c r="N126" s="11">
        <f>Table1[[#This Row],[Cases]]/Table1[[#This Row],[Deaths]]</f>
        <v>59.568627450980394</v>
      </c>
      <c r="O126" s="12">
        <f>Table1[[#This Row],[Cases]]/Table1[[#This Row],[Population]]</f>
        <v>5.4976086849911848E-4</v>
      </c>
      <c r="P126" s="12">
        <f>Table1[[#This Row],[Deaths]]/Table1[[#This Row],[Population]]</f>
        <v>9.2290336713150233E-6</v>
      </c>
      <c r="Q126" s="13">
        <f>1-Table1[[#This Row],[Deaths]]/Table1[[#This Row],[Ex(Deaths)]]</f>
        <v>0.4234200037957867</v>
      </c>
      <c r="R126" s="14">
        <f>Table1[[#This Row],[Active]]/Table1[[#This Row],[Cases]]</f>
        <v>0.73436471362738642</v>
      </c>
      <c r="S126" s="12">
        <f>Table1[[#This Row],[Percent Infected]]*Table1[[#This Row],[% Active]]</f>
        <v>4.037249827588984E-4</v>
      </c>
      <c r="T126" s="8">
        <f>1/Table1[[#This Row],[Percent Actively Infected]]</f>
        <v>2476.9336620349618</v>
      </c>
      <c r="AMC126"/>
    </row>
    <row r="127" spans="1:1017" s="1" customFormat="1" ht="16.5" thickBot="1" x14ac:dyDescent="0.3">
      <c r="A127" s="1">
        <v>126</v>
      </c>
      <c r="B127" s="51">
        <v>63</v>
      </c>
      <c r="C127" s="42" t="s">
        <v>143</v>
      </c>
      <c r="D127" s="47">
        <v>19645</v>
      </c>
      <c r="E127" s="48">
        <v>305</v>
      </c>
      <c r="F127" s="47">
        <v>16282</v>
      </c>
      <c r="G127" s="47">
        <v>3058</v>
      </c>
      <c r="H127" s="48">
        <v>31</v>
      </c>
      <c r="I127" s="42">
        <v>36939019</v>
      </c>
      <c r="J127" s="8">
        <f>Table1[[#This Row],[Population]]/Table1[[#This Row],[Cases]]</f>
        <v>1880.3267498091118</v>
      </c>
      <c r="K127" s="8">
        <f>Table1[[#This Row],[Population]]/Table1[[#This Row],[Deaths]]</f>
        <v>121111.53770491804</v>
      </c>
      <c r="L127" s="9">
        <f>Table1[[#This Row],[Deaths]]+Table1[[#This Row],[Active]]*Table1[[#This Row],[Death Rate]]</f>
        <v>352.47722066683633</v>
      </c>
      <c r="M127" s="10">
        <f>Table1[[#This Row],[Deaths]]/Table1[[#This Row],[Cases]]</f>
        <v>1.5525579027742428E-2</v>
      </c>
      <c r="N127" s="11">
        <f>Table1[[#This Row],[Cases]]/Table1[[#This Row],[Deaths]]</f>
        <v>64.409836065573771</v>
      </c>
      <c r="O127" s="12">
        <f>Table1[[#This Row],[Cases]]/Table1[[#This Row],[Population]]</f>
        <v>5.3182246122995304E-4</v>
      </c>
      <c r="P127" s="12">
        <f>Table1[[#This Row],[Deaths]]/Table1[[#This Row],[Population]]</f>
        <v>8.2568516505541207E-6</v>
      </c>
      <c r="Q127" s="13">
        <f>1-Table1[[#This Row],[Deaths]]/Table1[[#This Row],[Ex(Deaths)]]</f>
        <v>0.13469585517332505</v>
      </c>
      <c r="R127" s="14">
        <f>Table1[[#This Row],[Active]]/Table1[[#This Row],[Cases]]</f>
        <v>0.15566301857979128</v>
      </c>
      <c r="S127" s="12">
        <f>Table1[[#This Row],[Percent Infected]]*Table1[[#This Row],[% Active]]</f>
        <v>8.2785089663588512E-5</v>
      </c>
      <c r="T127" s="8">
        <f>1/Table1[[#This Row],[Percent Actively Infected]]</f>
        <v>12079.469914977111</v>
      </c>
      <c r="AMC127"/>
    </row>
    <row r="128" spans="1:1017" s="1" customFormat="1" ht="16.5" thickBot="1" x14ac:dyDescent="0.3">
      <c r="A128" s="1">
        <v>127</v>
      </c>
      <c r="B128" s="51">
        <v>91</v>
      </c>
      <c r="C128" s="42" t="s">
        <v>132</v>
      </c>
      <c r="D128" s="47">
        <v>6927</v>
      </c>
      <c r="E128" s="48">
        <v>42</v>
      </c>
      <c r="F128" s="47">
        <v>6098</v>
      </c>
      <c r="G128" s="48">
        <v>787</v>
      </c>
      <c r="H128" s="48">
        <v>24</v>
      </c>
      <c r="I128" s="42">
        <v>13153183</v>
      </c>
      <c r="J128" s="8">
        <f>Table1[[#This Row],[Population]]/Table1[[#This Row],[Cases]]</f>
        <v>1898.8282084596506</v>
      </c>
      <c r="K128" s="8">
        <f>Table1[[#This Row],[Population]]/Table1[[#This Row],[Deaths]]</f>
        <v>313171.02380952379</v>
      </c>
      <c r="L128" s="9">
        <f>Table1[[#This Row],[Deaths]]+Table1[[#This Row],[Active]]*Table1[[#This Row],[Death Rate]]</f>
        <v>46.771762667821569</v>
      </c>
      <c r="M128" s="10">
        <f>Table1[[#This Row],[Deaths]]/Table1[[#This Row],[Cases]]</f>
        <v>6.0632308358596794E-3</v>
      </c>
      <c r="N128" s="11">
        <f>Table1[[#This Row],[Cases]]/Table1[[#This Row],[Deaths]]</f>
        <v>164.92857142857142</v>
      </c>
      <c r="O128" s="12">
        <f>Table1[[#This Row],[Cases]]/Table1[[#This Row],[Population]]</f>
        <v>5.2664058578064338E-4</v>
      </c>
      <c r="P128" s="12">
        <f>Table1[[#This Row],[Deaths]]/Table1[[#This Row],[Population]]</f>
        <v>3.1931434391204016E-6</v>
      </c>
      <c r="Q128" s="13">
        <f>1-Table1[[#This Row],[Deaths]]/Table1[[#This Row],[Ex(Deaths)]]</f>
        <v>0.10202229712211563</v>
      </c>
      <c r="R128" s="14">
        <f>Table1[[#This Row],[Active]]/Table1[[#This Row],[Cases]]</f>
        <v>0.11361339685289447</v>
      </c>
      <c r="S128" s="12">
        <f>Table1[[#This Row],[Percent Infected]]*Table1[[#This Row],[% Active]]</f>
        <v>5.9833425871137049E-5</v>
      </c>
      <c r="T128" s="8">
        <f>1/Table1[[#This Row],[Percent Actively Infected]]</f>
        <v>16713.066073697584</v>
      </c>
      <c r="AMC128"/>
    </row>
    <row r="129" spans="1:1017" s="1" customFormat="1" ht="16.5" thickBot="1" x14ac:dyDescent="0.3">
      <c r="A129" s="1">
        <v>128</v>
      </c>
      <c r="B129" s="51">
        <v>69</v>
      </c>
      <c r="C129" s="42" t="s">
        <v>195</v>
      </c>
      <c r="D129" s="47">
        <v>14929</v>
      </c>
      <c r="E129" s="48">
        <v>138</v>
      </c>
      <c r="F129" s="47">
        <v>8795</v>
      </c>
      <c r="G129" s="47">
        <v>5996</v>
      </c>
      <c r="H129" s="48">
        <v>20</v>
      </c>
      <c r="I129" s="42">
        <v>28430130</v>
      </c>
      <c r="J129" s="8">
        <f>Table1[[#This Row],[Population]]/Table1[[#This Row],[Cases]]</f>
        <v>1904.3559515037846</v>
      </c>
      <c r="K129" s="8">
        <f>Table1[[#This Row],[Population]]/Table1[[#This Row],[Deaths]]</f>
        <v>206015.4347826087</v>
      </c>
      <c r="L129" s="9">
        <f>Table1[[#This Row],[Deaths]]+Table1[[#This Row],[Active]]*Table1[[#This Row],[Death Rate]]</f>
        <v>193.42554759193516</v>
      </c>
      <c r="M129" s="10">
        <f>Table1[[#This Row],[Deaths]]/Table1[[#This Row],[Cases]]</f>
        <v>9.2437537678344162E-3</v>
      </c>
      <c r="N129" s="11">
        <f>Table1[[#This Row],[Cases]]/Table1[[#This Row],[Deaths]]</f>
        <v>108.18115942028986</v>
      </c>
      <c r="O129" s="12">
        <f>Table1[[#This Row],[Cases]]/Table1[[#This Row],[Population]]</f>
        <v>5.2511191471864532E-4</v>
      </c>
      <c r="P129" s="12">
        <f>Table1[[#This Row],[Deaths]]/Table1[[#This Row],[Population]]</f>
        <v>4.8540052402152226E-6</v>
      </c>
      <c r="Q129" s="13">
        <f>1-Table1[[#This Row],[Deaths]]/Table1[[#This Row],[Ex(Deaths)]]</f>
        <v>0.28654719235364401</v>
      </c>
      <c r="R129" s="14">
        <f>Table1[[#This Row],[Active]]/Table1[[#This Row],[Cases]]</f>
        <v>0.40163440284010987</v>
      </c>
      <c r="S129" s="12">
        <f>Table1[[#This Row],[Percent Infected]]*Table1[[#This Row],[% Active]]</f>
        <v>2.1090301029224982E-4</v>
      </c>
      <c r="T129" s="8">
        <f>1/Table1[[#This Row],[Percent Actively Infected]]</f>
        <v>4741.5160106737821</v>
      </c>
      <c r="AMC129"/>
    </row>
    <row r="130" spans="1:1017" s="1" customFormat="1" ht="16.5" thickBot="1" x14ac:dyDescent="0.3">
      <c r="A130" s="1">
        <v>129</v>
      </c>
      <c r="B130" s="51">
        <v>102</v>
      </c>
      <c r="C130" s="42" t="s">
        <v>155</v>
      </c>
      <c r="D130" s="47">
        <v>3582</v>
      </c>
      <c r="E130" s="48">
        <v>47</v>
      </c>
      <c r="F130" s="47">
        <v>1671</v>
      </c>
      <c r="G130" s="47">
        <v>1864</v>
      </c>
      <c r="H130" s="48">
        <v>31</v>
      </c>
      <c r="I130" s="42">
        <v>6823217</v>
      </c>
      <c r="J130" s="8">
        <f>Table1[[#This Row],[Population]]/Table1[[#This Row],[Cases]]</f>
        <v>1904.8623673925181</v>
      </c>
      <c r="K130" s="8">
        <f>Table1[[#This Row],[Population]]/Table1[[#This Row],[Deaths]]</f>
        <v>145174.82978723405</v>
      </c>
      <c r="L130" s="9">
        <f>Table1[[#This Row],[Deaths]]+Table1[[#This Row],[Active]]*Table1[[#This Row],[Death Rate]]</f>
        <v>71.457844779452813</v>
      </c>
      <c r="M130" s="10">
        <f>Table1[[#This Row],[Deaths]]/Table1[[#This Row],[Cases]]</f>
        <v>1.3121161362367392E-2</v>
      </c>
      <c r="N130" s="11">
        <f>Table1[[#This Row],[Cases]]/Table1[[#This Row],[Deaths]]</f>
        <v>76.212765957446805</v>
      </c>
      <c r="O130" s="12">
        <f>Table1[[#This Row],[Cases]]/Table1[[#This Row],[Population]]</f>
        <v>5.2497231144781119E-4</v>
      </c>
      <c r="P130" s="12">
        <f>Table1[[#This Row],[Deaths]]/Table1[[#This Row],[Population]]</f>
        <v>6.8882464092817211E-6</v>
      </c>
      <c r="Q130" s="13">
        <f>1-Table1[[#This Row],[Deaths]]/Table1[[#This Row],[Ex(Deaths)]]</f>
        <v>0.34226955563716488</v>
      </c>
      <c r="R130" s="14">
        <f>Table1[[#This Row],[Active]]/Table1[[#This Row],[Cases]]</f>
        <v>0.52037967615857061</v>
      </c>
      <c r="S130" s="12">
        <f>Table1[[#This Row],[Percent Infected]]*Table1[[#This Row],[% Active]]</f>
        <v>2.7318492142342827E-4</v>
      </c>
      <c r="T130" s="8">
        <f>1/Table1[[#This Row],[Percent Actively Infected]]</f>
        <v>3660.5241416309013</v>
      </c>
      <c r="AMC130"/>
    </row>
    <row r="131" spans="1:1017" s="1" customFormat="1" ht="16.5" thickBot="1" x14ac:dyDescent="0.3">
      <c r="A131" s="1">
        <v>130</v>
      </c>
      <c r="B131" s="51">
        <v>104</v>
      </c>
      <c r="C131" s="42" t="s">
        <v>193</v>
      </c>
      <c r="D131" s="47">
        <v>3439</v>
      </c>
      <c r="E131" s="48">
        <v>108</v>
      </c>
      <c r="F131" s="47">
        <v>2492</v>
      </c>
      <c r="G131" s="48">
        <v>839</v>
      </c>
      <c r="H131" s="48"/>
      <c r="I131" s="42">
        <v>6629679</v>
      </c>
      <c r="J131" s="8">
        <f>Table1[[#This Row],[Population]]/Table1[[#This Row],[Cases]]</f>
        <v>1927.7926722884558</v>
      </c>
      <c r="K131" s="8">
        <f>Table1[[#This Row],[Population]]/Table1[[#This Row],[Deaths]]</f>
        <v>61385.916666666664</v>
      </c>
      <c r="L131" s="9">
        <f>Table1[[#This Row],[Deaths]]+Table1[[#This Row],[Active]]*Table1[[#This Row],[Death Rate]]</f>
        <v>134.34835708054666</v>
      </c>
      <c r="M131" s="10">
        <f>Table1[[#This Row],[Deaths]]/Table1[[#This Row],[Cases]]</f>
        <v>3.1404478045943589E-2</v>
      </c>
      <c r="N131" s="11">
        <f>Table1[[#This Row],[Cases]]/Table1[[#This Row],[Deaths]]</f>
        <v>31.842592592592592</v>
      </c>
      <c r="O131" s="12">
        <f>Table1[[#This Row],[Cases]]/Table1[[#This Row],[Population]]</f>
        <v>5.1872798064582016E-4</v>
      </c>
      <c r="P131" s="12">
        <f>Table1[[#This Row],[Deaths]]/Table1[[#This Row],[Population]]</f>
        <v>1.6290381480008307E-5</v>
      </c>
      <c r="Q131" s="13">
        <f>1-Table1[[#This Row],[Deaths]]/Table1[[#This Row],[Ex(Deaths)]]</f>
        <v>0.19611968209443664</v>
      </c>
      <c r="R131" s="14">
        <f>Table1[[#This Row],[Active]]/Table1[[#This Row],[Cases]]</f>
        <v>0.24396626926432102</v>
      </c>
      <c r="S131" s="12">
        <f>Table1[[#This Row],[Percent Infected]]*Table1[[#This Row],[% Active]]</f>
        <v>1.2655213020117568E-4</v>
      </c>
      <c r="T131" s="8">
        <f>1/Table1[[#This Row],[Percent Actively Infected]]</f>
        <v>7901.8820023837889</v>
      </c>
      <c r="AMC131"/>
    </row>
    <row r="132" spans="1:1017" s="1" customFormat="1" ht="16.5" thickBot="1" x14ac:dyDescent="0.3">
      <c r="A132" s="1">
        <v>131</v>
      </c>
      <c r="B132" s="51">
        <v>175</v>
      </c>
      <c r="C132" s="42" t="s">
        <v>109</v>
      </c>
      <c r="D132" s="48">
        <v>203</v>
      </c>
      <c r="E132" s="48">
        <v>14</v>
      </c>
      <c r="F132" s="48">
        <v>176</v>
      </c>
      <c r="G132" s="48">
        <v>13</v>
      </c>
      <c r="H132" s="48">
        <v>3</v>
      </c>
      <c r="I132" s="42">
        <v>400129</v>
      </c>
      <c r="J132" s="8">
        <f>Table1[[#This Row],[Population]]/Table1[[#This Row],[Cases]]</f>
        <v>1971.07881773399</v>
      </c>
      <c r="K132" s="8">
        <f>Table1[[#This Row],[Population]]/Table1[[#This Row],[Deaths]]</f>
        <v>28580.642857142859</v>
      </c>
      <c r="L132" s="9">
        <f>Table1[[#This Row],[Deaths]]+Table1[[#This Row],[Active]]*Table1[[#This Row],[Death Rate]]</f>
        <v>14.896551724137931</v>
      </c>
      <c r="M132" s="10">
        <f>Table1[[#This Row],[Deaths]]/Table1[[#This Row],[Cases]]</f>
        <v>6.8965517241379309E-2</v>
      </c>
      <c r="N132" s="11">
        <f>Table1[[#This Row],[Cases]]/Table1[[#This Row],[Deaths]]</f>
        <v>14.5</v>
      </c>
      <c r="O132" s="12">
        <f>Table1[[#This Row],[Cases]]/Table1[[#This Row],[Population]]</f>
        <v>5.0733638401615475E-4</v>
      </c>
      <c r="P132" s="12">
        <f>Table1[[#This Row],[Deaths]]/Table1[[#This Row],[Population]]</f>
        <v>3.4988716139045157E-5</v>
      </c>
      <c r="Q132" s="13">
        <f>1-Table1[[#This Row],[Deaths]]/Table1[[#This Row],[Ex(Deaths)]]</f>
        <v>6.0185185185185119E-2</v>
      </c>
      <c r="R132" s="14">
        <f>Table1[[#This Row],[Active]]/Table1[[#This Row],[Cases]]</f>
        <v>6.4039408866995079E-2</v>
      </c>
      <c r="S132" s="12">
        <f>Table1[[#This Row],[Percent Infected]]*Table1[[#This Row],[% Active]]</f>
        <v>3.2489522129113362E-5</v>
      </c>
      <c r="T132" s="8">
        <f>1/Table1[[#This Row],[Percent Actively Infected]]</f>
        <v>30779.153846153844</v>
      </c>
      <c r="AMC132"/>
    </row>
    <row r="133" spans="1:1017" s="1" customFormat="1" ht="16.5" thickBot="1" x14ac:dyDescent="0.3">
      <c r="A133" s="1">
        <v>132</v>
      </c>
      <c r="B133" s="51">
        <v>192</v>
      </c>
      <c r="C133" s="42" t="s">
        <v>156</v>
      </c>
      <c r="D133" s="48">
        <v>52</v>
      </c>
      <c r="E133" s="48"/>
      <c r="F133" s="48">
        <v>39</v>
      </c>
      <c r="G133" s="48">
        <v>13</v>
      </c>
      <c r="H133" s="48"/>
      <c r="I133" s="42">
        <v>110964</v>
      </c>
      <c r="J133" s="8">
        <f>Table1[[#This Row],[Population]]/Table1[[#This Row],[Cases]]</f>
        <v>2133.9230769230771</v>
      </c>
      <c r="K133" s="8" t="e">
        <f>Table1[[#This Row],[Population]]/Table1[[#This Row],[Deaths]]</f>
        <v>#DIV/0!</v>
      </c>
      <c r="L133" s="9">
        <f>Table1[[#This Row],[Deaths]]+Table1[[#This Row],[Active]]*Table1[[#This Row],[Death Rate]]</f>
        <v>0</v>
      </c>
      <c r="M133" s="10">
        <f>Table1[[#This Row],[Deaths]]/Table1[[#This Row],[Cases]]</f>
        <v>0</v>
      </c>
      <c r="N133" s="11" t="e">
        <f>Table1[[#This Row],[Cases]]/Table1[[#This Row],[Deaths]]</f>
        <v>#DIV/0!</v>
      </c>
      <c r="O133" s="12">
        <f>Table1[[#This Row],[Cases]]/Table1[[#This Row],[Population]]</f>
        <v>4.6862045348040806E-4</v>
      </c>
      <c r="P133" s="12">
        <f>Table1[[#This Row],[Deaths]]/Table1[[#This Row],[Population]]</f>
        <v>0</v>
      </c>
      <c r="Q133" s="13" t="e">
        <f>1-Table1[[#This Row],[Deaths]]/Table1[[#This Row],[Ex(Deaths)]]</f>
        <v>#DIV/0!</v>
      </c>
      <c r="R133" s="14">
        <f>Table1[[#This Row],[Active]]/Table1[[#This Row],[Cases]]</f>
        <v>0.25</v>
      </c>
      <c r="S133" s="12">
        <f>Table1[[#This Row],[Percent Infected]]*Table1[[#This Row],[% Active]]</f>
        <v>1.1715511337010201E-4</v>
      </c>
      <c r="T133" s="8">
        <f>1/Table1[[#This Row],[Percent Actively Infected]]</f>
        <v>8535.6923076923085</v>
      </c>
      <c r="AMC133"/>
    </row>
    <row r="134" spans="1:1017" s="1" customFormat="1" ht="16.5" thickBot="1" x14ac:dyDescent="0.3">
      <c r="A134" s="1">
        <v>133</v>
      </c>
      <c r="B134" s="51">
        <v>98</v>
      </c>
      <c r="C134" s="42" t="s">
        <v>111</v>
      </c>
      <c r="D134" s="47">
        <v>4435</v>
      </c>
      <c r="E134" s="48">
        <v>596</v>
      </c>
      <c r="F134" s="47">
        <v>3329</v>
      </c>
      <c r="G134" s="48">
        <v>510</v>
      </c>
      <c r="H134" s="48">
        <v>6</v>
      </c>
      <c r="I134" s="42">
        <v>9658585</v>
      </c>
      <c r="J134" s="8">
        <f>Table1[[#This Row],[Population]]/Table1[[#This Row],[Cases]]</f>
        <v>2177.8094701240134</v>
      </c>
      <c r="K134" s="8">
        <f>Table1[[#This Row],[Population]]/Table1[[#This Row],[Deaths]]</f>
        <v>16205.679530201342</v>
      </c>
      <c r="L134" s="9">
        <f>Table1[[#This Row],[Deaths]]+Table1[[#This Row],[Active]]*Table1[[#This Row],[Death Rate]]</f>
        <v>664.53664036076657</v>
      </c>
      <c r="M134" s="10">
        <f>Table1[[#This Row],[Deaths]]/Table1[[#This Row],[Cases]]</f>
        <v>0.13438556933483653</v>
      </c>
      <c r="N134" s="11">
        <f>Table1[[#This Row],[Cases]]/Table1[[#This Row],[Deaths]]</f>
        <v>7.4412751677852347</v>
      </c>
      <c r="O134" s="12">
        <f>Table1[[#This Row],[Cases]]/Table1[[#This Row],[Population]]</f>
        <v>4.5917699124664742E-4</v>
      </c>
      <c r="P134" s="12">
        <f>Table1[[#This Row],[Deaths]]/Table1[[#This Row],[Population]]</f>
        <v>6.1706761394137959E-5</v>
      </c>
      <c r="Q134" s="13">
        <f>1-Table1[[#This Row],[Deaths]]/Table1[[#This Row],[Ex(Deaths)]]</f>
        <v>0.10313447927199182</v>
      </c>
      <c r="R134" s="14">
        <f>Table1[[#This Row],[Active]]/Table1[[#This Row],[Cases]]</f>
        <v>0.11499436302142052</v>
      </c>
      <c r="S134" s="12">
        <f>Table1[[#This Row],[Percent Infected]]*Table1[[#This Row],[% Active]]</f>
        <v>5.2802765622500606E-5</v>
      </c>
      <c r="T134" s="8">
        <f>1/Table1[[#This Row],[Percent Actively Infected]]</f>
        <v>18938.401960784315</v>
      </c>
      <c r="AMC134"/>
    </row>
    <row r="135" spans="1:1017" s="1" customFormat="1" ht="16.5" thickBot="1" x14ac:dyDescent="0.3">
      <c r="A135" s="1">
        <v>134</v>
      </c>
      <c r="B135" s="51">
        <v>163</v>
      </c>
      <c r="C135" s="42" t="s">
        <v>152</v>
      </c>
      <c r="D135" s="48">
        <v>360</v>
      </c>
      <c r="E135" s="48">
        <v>20</v>
      </c>
      <c r="F135" s="48">
        <v>180</v>
      </c>
      <c r="G135" s="48">
        <v>160</v>
      </c>
      <c r="H135" s="48">
        <v>4</v>
      </c>
      <c r="I135" s="42">
        <v>786812</v>
      </c>
      <c r="J135" s="8">
        <f>Table1[[#This Row],[Population]]/Table1[[#This Row],[Cases]]</f>
        <v>2185.588888888889</v>
      </c>
      <c r="K135" s="8">
        <f>Table1[[#This Row],[Population]]/Table1[[#This Row],[Deaths]]</f>
        <v>39340.6</v>
      </c>
      <c r="L135" s="9">
        <f>Table1[[#This Row],[Deaths]]+Table1[[#This Row],[Active]]*Table1[[#This Row],[Death Rate]]</f>
        <v>28.888888888888889</v>
      </c>
      <c r="M135" s="10">
        <f>Table1[[#This Row],[Deaths]]/Table1[[#This Row],[Cases]]</f>
        <v>5.5555555555555552E-2</v>
      </c>
      <c r="N135" s="11">
        <f>Table1[[#This Row],[Cases]]/Table1[[#This Row],[Deaths]]</f>
        <v>18</v>
      </c>
      <c r="O135" s="12">
        <f>Table1[[#This Row],[Cases]]/Table1[[#This Row],[Population]]</f>
        <v>4.5754258958938097E-4</v>
      </c>
      <c r="P135" s="12">
        <f>Table1[[#This Row],[Deaths]]/Table1[[#This Row],[Population]]</f>
        <v>2.5419032754965608E-5</v>
      </c>
      <c r="Q135" s="13">
        <f>1-Table1[[#This Row],[Deaths]]/Table1[[#This Row],[Ex(Deaths)]]</f>
        <v>0.30769230769230771</v>
      </c>
      <c r="R135" s="14">
        <f>Table1[[#This Row],[Active]]/Table1[[#This Row],[Cases]]</f>
        <v>0.44444444444444442</v>
      </c>
      <c r="S135" s="12">
        <f>Table1[[#This Row],[Percent Infected]]*Table1[[#This Row],[% Active]]</f>
        <v>2.0335226203972487E-4</v>
      </c>
      <c r="T135" s="8">
        <f>1/Table1[[#This Row],[Percent Actively Infected]]</f>
        <v>4917.5749999999998</v>
      </c>
      <c r="AMC135"/>
    </row>
    <row r="136" spans="1:1017" s="1" customFormat="1" ht="16.5" thickBot="1" x14ac:dyDescent="0.3">
      <c r="A136" s="1">
        <v>135</v>
      </c>
      <c r="B136" s="51">
        <v>209</v>
      </c>
      <c r="C136" s="42" t="s">
        <v>232</v>
      </c>
      <c r="D136" s="48">
        <v>11</v>
      </c>
      <c r="E136" s="48"/>
      <c r="F136" s="48">
        <v>7</v>
      </c>
      <c r="G136" s="48">
        <v>4</v>
      </c>
      <c r="H136" s="48"/>
      <c r="I136" s="42">
        <v>26239</v>
      </c>
      <c r="J136" s="8">
        <f>Table1[[#This Row],[Population]]/Table1[[#This Row],[Cases]]</f>
        <v>2385.3636363636365</v>
      </c>
      <c r="K136" s="8" t="e">
        <f>Table1[[#This Row],[Population]]/Table1[[#This Row],[Deaths]]</f>
        <v>#DIV/0!</v>
      </c>
      <c r="L136" s="9">
        <f>Table1[[#This Row],[Deaths]]+Table1[[#This Row],[Active]]*Table1[[#This Row],[Death Rate]]</f>
        <v>0</v>
      </c>
      <c r="M136" s="10">
        <f>Table1[[#This Row],[Deaths]]/Table1[[#This Row],[Cases]]</f>
        <v>0</v>
      </c>
      <c r="N136" s="11" t="e">
        <f>Table1[[#This Row],[Cases]]/Table1[[#This Row],[Deaths]]</f>
        <v>#DIV/0!</v>
      </c>
      <c r="O136" s="12">
        <f>Table1[[#This Row],[Cases]]/Table1[[#This Row],[Population]]</f>
        <v>4.1922329357063913E-4</v>
      </c>
      <c r="P136" s="12">
        <f>Table1[[#This Row],[Deaths]]/Table1[[#This Row],[Population]]</f>
        <v>0</v>
      </c>
      <c r="Q136" s="13" t="e">
        <f>1-Table1[[#This Row],[Deaths]]/Table1[[#This Row],[Ex(Deaths)]]</f>
        <v>#DIV/0!</v>
      </c>
      <c r="R136" s="14">
        <f>Table1[[#This Row],[Active]]/Table1[[#This Row],[Cases]]</f>
        <v>0.36363636363636365</v>
      </c>
      <c r="S136" s="12">
        <f>Table1[[#This Row],[Percent Infected]]*Table1[[#This Row],[% Active]]</f>
        <v>1.5244483402568695E-4</v>
      </c>
      <c r="T136" s="8">
        <f>1/Table1[[#This Row],[Percent Actively Infected]]</f>
        <v>6559.75</v>
      </c>
      <c r="AMC136"/>
    </row>
    <row r="137" spans="1:1017" s="1" customFormat="1" ht="16.5" thickBot="1" x14ac:dyDescent="0.3">
      <c r="A137" s="1">
        <v>136</v>
      </c>
      <c r="B137" s="51">
        <v>164</v>
      </c>
      <c r="C137" s="42" t="s">
        <v>167</v>
      </c>
      <c r="D137" s="48">
        <v>354</v>
      </c>
      <c r="E137" s="48">
        <v>7</v>
      </c>
      <c r="F137" s="48">
        <v>328</v>
      </c>
      <c r="G137" s="48">
        <v>19</v>
      </c>
      <c r="H137" s="48"/>
      <c r="I137" s="42">
        <v>870717</v>
      </c>
      <c r="J137" s="8">
        <f>Table1[[#This Row],[Population]]/Table1[[#This Row],[Cases]]</f>
        <v>2459.6525423728813</v>
      </c>
      <c r="K137" s="8">
        <f>Table1[[#This Row],[Population]]/Table1[[#This Row],[Deaths]]</f>
        <v>124388.14285714286</v>
      </c>
      <c r="L137" s="9">
        <f>Table1[[#This Row],[Deaths]]+Table1[[#This Row],[Active]]*Table1[[#This Row],[Death Rate]]</f>
        <v>7.3757062146892656</v>
      </c>
      <c r="M137" s="10">
        <f>Table1[[#This Row],[Deaths]]/Table1[[#This Row],[Cases]]</f>
        <v>1.977401129943503E-2</v>
      </c>
      <c r="N137" s="11">
        <f>Table1[[#This Row],[Cases]]/Table1[[#This Row],[Deaths]]</f>
        <v>50.571428571428569</v>
      </c>
      <c r="O137" s="12">
        <f>Table1[[#This Row],[Cases]]/Table1[[#This Row],[Population]]</f>
        <v>4.0656148897977182E-4</v>
      </c>
      <c r="P137" s="12">
        <f>Table1[[#This Row],[Deaths]]/Table1[[#This Row],[Population]]</f>
        <v>8.0393514770011381E-6</v>
      </c>
      <c r="Q137" s="13">
        <f>1-Table1[[#This Row],[Deaths]]/Table1[[#This Row],[Ex(Deaths)]]</f>
        <v>5.0938337801608613E-2</v>
      </c>
      <c r="R137" s="14">
        <f>Table1[[#This Row],[Active]]/Table1[[#This Row],[Cases]]</f>
        <v>5.3672316384180789E-2</v>
      </c>
      <c r="S137" s="12">
        <f>Table1[[#This Row],[Percent Infected]]*Table1[[#This Row],[% Active]]</f>
        <v>2.1821096866145943E-5</v>
      </c>
      <c r="T137" s="8">
        <f>1/Table1[[#This Row],[Percent Actively Infected]]</f>
        <v>45827.210526315794</v>
      </c>
      <c r="AMC137"/>
    </row>
    <row r="138" spans="1:1017" s="1" customFormat="1" ht="16.5" thickBot="1" x14ac:dyDescent="0.3">
      <c r="A138" s="1">
        <v>137</v>
      </c>
      <c r="B138" s="51">
        <v>101</v>
      </c>
      <c r="C138" s="42" t="s">
        <v>125</v>
      </c>
      <c r="D138" s="47">
        <v>4193</v>
      </c>
      <c r="E138" s="48">
        <v>202</v>
      </c>
      <c r="F138" s="47">
        <v>1374</v>
      </c>
      <c r="G138" s="47">
        <v>2617</v>
      </c>
      <c r="H138" s="48">
        <v>9</v>
      </c>
      <c r="I138" s="42">
        <v>10419334</v>
      </c>
      <c r="J138" s="8">
        <f>Table1[[#This Row],[Population]]/Table1[[#This Row],[Cases]]</f>
        <v>2484.9353684712614</v>
      </c>
      <c r="K138" s="8">
        <f>Table1[[#This Row],[Population]]/Table1[[#This Row],[Deaths]]</f>
        <v>51580.861386138611</v>
      </c>
      <c r="L138" s="9">
        <f>Table1[[#This Row],[Deaths]]+Table1[[#This Row],[Active]]*Table1[[#This Row],[Death Rate]]</f>
        <v>328.07536370140713</v>
      </c>
      <c r="M138" s="10">
        <f>Table1[[#This Row],[Deaths]]/Table1[[#This Row],[Cases]]</f>
        <v>4.8175530646315287E-2</v>
      </c>
      <c r="N138" s="11">
        <f>Table1[[#This Row],[Cases]]/Table1[[#This Row],[Deaths]]</f>
        <v>20.757425742574256</v>
      </c>
      <c r="O138" s="12">
        <f>Table1[[#This Row],[Cases]]/Table1[[#This Row],[Population]]</f>
        <v>4.0242495345671806E-4</v>
      </c>
      <c r="P138" s="12">
        <f>Table1[[#This Row],[Deaths]]/Table1[[#This Row],[Population]]</f>
        <v>1.9387035678096124E-5</v>
      </c>
      <c r="Q138" s="13">
        <f>1-Table1[[#This Row],[Deaths]]/Table1[[#This Row],[Ex(Deaths)]]</f>
        <v>0.38428781204111606</v>
      </c>
      <c r="R138" s="14">
        <f>Table1[[#This Row],[Active]]/Table1[[#This Row],[Cases]]</f>
        <v>0.62413546386835206</v>
      </c>
      <c r="S138" s="12">
        <f>Table1[[#This Row],[Percent Infected]]*Table1[[#This Row],[% Active]]</f>
        <v>2.5116768499790871E-4</v>
      </c>
      <c r="T138" s="8">
        <f>1/Table1[[#This Row],[Percent Actively Infected]]</f>
        <v>3981.4038975926633</v>
      </c>
      <c r="AMC138"/>
    </row>
    <row r="139" spans="1:1017" s="1" customFormat="1" ht="16.5" thickBot="1" x14ac:dyDescent="0.3">
      <c r="A139" s="1">
        <v>138</v>
      </c>
      <c r="B139" s="51">
        <v>120</v>
      </c>
      <c r="C139" s="42" t="s">
        <v>124</v>
      </c>
      <c r="D139" s="47">
        <v>2179</v>
      </c>
      <c r="E139" s="48">
        <v>28</v>
      </c>
      <c r="F139" s="47">
        <v>1577</v>
      </c>
      <c r="G139" s="48">
        <v>574</v>
      </c>
      <c r="H139" s="48">
        <v>2</v>
      </c>
      <c r="I139" s="42">
        <v>5459829</v>
      </c>
      <c r="J139" s="8">
        <f>Table1[[#This Row],[Population]]/Table1[[#This Row],[Cases]]</f>
        <v>2505.6581000458928</v>
      </c>
      <c r="K139" s="8">
        <f>Table1[[#This Row],[Population]]/Table1[[#This Row],[Deaths]]</f>
        <v>194993.89285714287</v>
      </c>
      <c r="L139" s="9">
        <f>Table1[[#This Row],[Deaths]]+Table1[[#This Row],[Active]]*Table1[[#This Row],[Death Rate]]</f>
        <v>35.375860486461676</v>
      </c>
      <c r="M139" s="10">
        <f>Table1[[#This Row],[Deaths]]/Table1[[#This Row],[Cases]]</f>
        <v>1.2849931161083065E-2</v>
      </c>
      <c r="N139" s="11">
        <f>Table1[[#This Row],[Cases]]/Table1[[#This Row],[Deaths]]</f>
        <v>77.821428571428569</v>
      </c>
      <c r="O139" s="12">
        <f>Table1[[#This Row],[Cases]]/Table1[[#This Row],[Population]]</f>
        <v>3.990967482681234E-4</v>
      </c>
      <c r="P139" s="12">
        <f>Table1[[#This Row],[Deaths]]/Table1[[#This Row],[Population]]</f>
        <v>5.1283657418574828E-6</v>
      </c>
      <c r="Q139" s="13">
        <f>1-Table1[[#This Row],[Deaths]]/Table1[[#This Row],[Ex(Deaths)]]</f>
        <v>0.20849981837994902</v>
      </c>
      <c r="R139" s="14">
        <f>Table1[[#This Row],[Active]]/Table1[[#This Row],[Cases]]</f>
        <v>0.26342358880220285</v>
      </c>
      <c r="S139" s="12">
        <f>Table1[[#This Row],[Percent Infected]]*Table1[[#This Row],[% Active]]</f>
        <v>1.051314977080784E-4</v>
      </c>
      <c r="T139" s="8">
        <f>1/Table1[[#This Row],[Percent Actively Infected]]</f>
        <v>9511.8972125435539</v>
      </c>
      <c r="AMC139"/>
    </row>
    <row r="140" spans="1:1017" s="1" customFormat="1" ht="16.5" thickBot="1" x14ac:dyDescent="0.3">
      <c r="A140" s="1">
        <v>139</v>
      </c>
      <c r="B140" s="51">
        <v>184</v>
      </c>
      <c r="C140" s="42" t="s">
        <v>116</v>
      </c>
      <c r="D140" s="48">
        <v>108</v>
      </c>
      <c r="E140" s="48">
        <v>7</v>
      </c>
      <c r="F140" s="48">
        <v>94</v>
      </c>
      <c r="G140" s="48">
        <v>7</v>
      </c>
      <c r="H140" s="48"/>
      <c r="I140" s="42">
        <v>287400</v>
      </c>
      <c r="J140" s="8">
        <f>Table1[[#This Row],[Population]]/Table1[[#This Row],[Cases]]</f>
        <v>2661.1111111111113</v>
      </c>
      <c r="K140" s="8">
        <f>Table1[[#This Row],[Population]]/Table1[[#This Row],[Deaths]]</f>
        <v>41057.142857142855</v>
      </c>
      <c r="L140" s="9">
        <f>Table1[[#This Row],[Deaths]]+Table1[[#This Row],[Active]]*Table1[[#This Row],[Death Rate]]</f>
        <v>7.4537037037037033</v>
      </c>
      <c r="M140" s="10">
        <f>Table1[[#This Row],[Deaths]]/Table1[[#This Row],[Cases]]</f>
        <v>6.4814814814814811E-2</v>
      </c>
      <c r="N140" s="11">
        <f>Table1[[#This Row],[Cases]]/Table1[[#This Row],[Deaths]]</f>
        <v>15.428571428571429</v>
      </c>
      <c r="O140" s="12">
        <f>Table1[[#This Row],[Cases]]/Table1[[#This Row],[Population]]</f>
        <v>3.757828810020877E-4</v>
      </c>
      <c r="P140" s="12">
        <f>Table1[[#This Row],[Deaths]]/Table1[[#This Row],[Population]]</f>
        <v>2.4356297842727907E-5</v>
      </c>
      <c r="Q140" s="13">
        <f>1-Table1[[#This Row],[Deaths]]/Table1[[#This Row],[Ex(Deaths)]]</f>
        <v>6.0869565217391286E-2</v>
      </c>
      <c r="R140" s="14">
        <f>Table1[[#This Row],[Active]]/Table1[[#This Row],[Cases]]</f>
        <v>6.4814814814814811E-2</v>
      </c>
      <c r="S140" s="12">
        <f>Table1[[#This Row],[Percent Infected]]*Table1[[#This Row],[% Active]]</f>
        <v>2.4356297842727907E-5</v>
      </c>
      <c r="T140" s="8">
        <f>1/Table1[[#This Row],[Percent Actively Infected]]</f>
        <v>41057.142857142855</v>
      </c>
      <c r="AMC140"/>
    </row>
    <row r="141" spans="1:1017" s="1" customFormat="1" ht="16.5" thickBot="1" x14ac:dyDescent="0.3">
      <c r="A141" s="1">
        <v>140</v>
      </c>
      <c r="B141" s="51">
        <v>114</v>
      </c>
      <c r="C141" s="42" t="s">
        <v>213</v>
      </c>
      <c r="D141" s="47">
        <v>2547</v>
      </c>
      <c r="E141" s="48">
        <v>58</v>
      </c>
      <c r="F141" s="48">
        <v>510</v>
      </c>
      <c r="G141" s="47">
        <v>1979</v>
      </c>
      <c r="H141" s="48"/>
      <c r="I141" s="42">
        <v>6877289</v>
      </c>
      <c r="J141" s="8">
        <f>Table1[[#This Row],[Population]]/Table1[[#This Row],[Cases]]</f>
        <v>2700.1527287004319</v>
      </c>
      <c r="K141" s="8">
        <f>Table1[[#This Row],[Population]]/Table1[[#This Row],[Deaths]]</f>
        <v>118573.94827586207</v>
      </c>
      <c r="L141" s="9">
        <f>Table1[[#This Row],[Deaths]]+Table1[[#This Row],[Active]]*Table1[[#This Row],[Death Rate]]</f>
        <v>103.06556733411858</v>
      </c>
      <c r="M141" s="10">
        <f>Table1[[#This Row],[Deaths]]/Table1[[#This Row],[Cases]]</f>
        <v>2.2771888496270123E-2</v>
      </c>
      <c r="N141" s="11">
        <f>Table1[[#This Row],[Cases]]/Table1[[#This Row],[Deaths]]</f>
        <v>43.913793103448278</v>
      </c>
      <c r="O141" s="12">
        <f>Table1[[#This Row],[Cases]]/Table1[[#This Row],[Population]]</f>
        <v>3.7034942111637302E-4</v>
      </c>
      <c r="P141" s="12">
        <f>Table1[[#This Row],[Deaths]]/Table1[[#This Row],[Population]]</f>
        <v>8.4335557223202345E-6</v>
      </c>
      <c r="Q141" s="13">
        <f>1-Table1[[#This Row],[Deaths]]/Table1[[#This Row],[Ex(Deaths)]]</f>
        <v>0.43725143614670803</v>
      </c>
      <c r="R141" s="14">
        <f>Table1[[#This Row],[Active]]/Table1[[#This Row],[Cases]]</f>
        <v>0.77699254024342368</v>
      </c>
      <c r="S141" s="12">
        <f>Table1[[#This Row],[Percent Infected]]*Table1[[#This Row],[% Active]]</f>
        <v>2.8775873749089213E-4</v>
      </c>
      <c r="T141" s="8">
        <f>1/Table1[[#This Row],[Percent Actively Infected]]</f>
        <v>3475.1334007074279</v>
      </c>
      <c r="AMC141"/>
    </row>
    <row r="142" spans="1:1017" s="1" customFormat="1" ht="16.5" thickBot="1" x14ac:dyDescent="0.3">
      <c r="A142" s="1">
        <v>141</v>
      </c>
      <c r="B142" s="51">
        <v>24</v>
      </c>
      <c r="C142" s="42" t="s">
        <v>176</v>
      </c>
      <c r="D142" s="47">
        <v>98778</v>
      </c>
      <c r="E142" s="47">
        <v>4781</v>
      </c>
      <c r="F142" s="47">
        <v>56655</v>
      </c>
      <c r="G142" s="47">
        <v>37342</v>
      </c>
      <c r="H142" s="48"/>
      <c r="I142" s="42">
        <v>273713592</v>
      </c>
      <c r="J142" s="8">
        <f>Table1[[#This Row],[Population]]/Table1[[#This Row],[Cases]]</f>
        <v>2770.9975095669074</v>
      </c>
      <c r="K142" s="8">
        <f>Table1[[#This Row],[Population]]/Table1[[#This Row],[Deaths]]</f>
        <v>57250.280694415393</v>
      </c>
      <c r="L142" s="9">
        <f>Table1[[#This Row],[Deaths]]+Table1[[#This Row],[Active]]*Table1[[#This Row],[Death Rate]]</f>
        <v>6588.4075401405171</v>
      </c>
      <c r="M142" s="10">
        <f>Table1[[#This Row],[Deaths]]/Table1[[#This Row],[Cases]]</f>
        <v>4.8401465913462512E-2</v>
      </c>
      <c r="N142" s="11">
        <f>Table1[[#This Row],[Cases]]/Table1[[#This Row],[Deaths]]</f>
        <v>20.660531269608867</v>
      </c>
      <c r="O142" s="12">
        <f>Table1[[#This Row],[Cases]]/Table1[[#This Row],[Population]]</f>
        <v>3.6088087287970705E-4</v>
      </c>
      <c r="P142" s="12">
        <f>Table1[[#This Row],[Deaths]]/Table1[[#This Row],[Population]]</f>
        <v>1.746716326750774E-5</v>
      </c>
      <c r="Q142" s="13">
        <f>1-Table1[[#This Row],[Deaths]]/Table1[[#This Row],[Ex(Deaths)]]</f>
        <v>0.2743314722303849</v>
      </c>
      <c r="R142" s="14">
        <f>Table1[[#This Row],[Active]]/Table1[[#This Row],[Cases]]</f>
        <v>0.37803964445524307</v>
      </c>
      <c r="S142" s="12">
        <f>Table1[[#This Row],[Percent Infected]]*Table1[[#This Row],[% Active]]</f>
        <v>1.3642727687414221E-4</v>
      </c>
      <c r="T142" s="8">
        <f>1/Table1[[#This Row],[Percent Actively Infected]]</f>
        <v>7329.9124846017894</v>
      </c>
      <c r="AMC142"/>
    </row>
    <row r="143" spans="1:1017" s="1" customFormat="1" ht="16.5" thickBot="1" x14ac:dyDescent="0.3">
      <c r="A143" s="1">
        <v>142</v>
      </c>
      <c r="B143" s="51">
        <v>113</v>
      </c>
      <c r="C143" s="42" t="s">
        <v>157</v>
      </c>
      <c r="D143" s="47">
        <v>2634</v>
      </c>
      <c r="E143" s="48">
        <v>18</v>
      </c>
      <c r="F143" s="47">
        <v>1495</v>
      </c>
      <c r="G143" s="47">
        <v>1121</v>
      </c>
      <c r="H143" s="48">
        <v>40</v>
      </c>
      <c r="I143" s="42">
        <v>7501050</v>
      </c>
      <c r="J143" s="8">
        <f>Table1[[#This Row],[Population]]/Table1[[#This Row],[Cases]]</f>
        <v>2847.7790432801821</v>
      </c>
      <c r="K143" s="8">
        <f>Table1[[#This Row],[Population]]/Table1[[#This Row],[Deaths]]</f>
        <v>416725</v>
      </c>
      <c r="L143" s="9">
        <f>Table1[[#This Row],[Deaths]]+Table1[[#This Row],[Active]]*Table1[[#This Row],[Death Rate]]</f>
        <v>25.660592255125284</v>
      </c>
      <c r="M143" s="10">
        <f>Table1[[#This Row],[Deaths]]/Table1[[#This Row],[Cases]]</f>
        <v>6.8337129840546698E-3</v>
      </c>
      <c r="N143" s="11">
        <f>Table1[[#This Row],[Cases]]/Table1[[#This Row],[Deaths]]</f>
        <v>146.33333333333334</v>
      </c>
      <c r="O143" s="12">
        <f>Table1[[#This Row],[Cases]]/Table1[[#This Row],[Population]]</f>
        <v>3.5115083888255646E-4</v>
      </c>
      <c r="P143" s="12">
        <f>Table1[[#This Row],[Deaths]]/Table1[[#This Row],[Population]]</f>
        <v>2.3996640470334152E-6</v>
      </c>
      <c r="Q143" s="13">
        <f>1-Table1[[#This Row],[Deaths]]/Table1[[#This Row],[Ex(Deaths)]]</f>
        <v>0.29853528628495341</v>
      </c>
      <c r="R143" s="14">
        <f>Table1[[#This Row],[Active]]/Table1[[#This Row],[Cases]]</f>
        <v>0.42558845861807137</v>
      </c>
      <c r="S143" s="12">
        <f>Table1[[#This Row],[Percent Infected]]*Table1[[#This Row],[% Active]]</f>
        <v>1.4944574426246994E-4</v>
      </c>
      <c r="T143" s="8">
        <f>1/Table1[[#This Row],[Percent Actively Infected]]</f>
        <v>6691.3916146297943</v>
      </c>
      <c r="AMC143"/>
    </row>
    <row r="144" spans="1:1017" s="1" customFormat="1" ht="16.5" thickBot="1" x14ac:dyDescent="0.3">
      <c r="A144" s="1">
        <v>143</v>
      </c>
      <c r="B144" s="51">
        <v>137</v>
      </c>
      <c r="C144" s="42" t="s">
        <v>135</v>
      </c>
      <c r="D144" s="47">
        <v>1174</v>
      </c>
      <c r="E144" s="48">
        <v>34</v>
      </c>
      <c r="F144" s="48">
        <v>947</v>
      </c>
      <c r="G144" s="48">
        <v>193</v>
      </c>
      <c r="H144" s="48">
        <v>3</v>
      </c>
      <c r="I144" s="42">
        <v>3474562</v>
      </c>
      <c r="J144" s="8">
        <f>Table1[[#This Row],[Population]]/Table1[[#This Row],[Cases]]</f>
        <v>2959.5928449744465</v>
      </c>
      <c r="K144" s="8">
        <f>Table1[[#This Row],[Population]]/Table1[[#This Row],[Deaths]]</f>
        <v>102193</v>
      </c>
      <c r="L144" s="9">
        <f>Table1[[#This Row],[Deaths]]+Table1[[#This Row],[Active]]*Table1[[#This Row],[Death Rate]]</f>
        <v>39.58943781942078</v>
      </c>
      <c r="M144" s="10">
        <f>Table1[[#This Row],[Deaths]]/Table1[[#This Row],[Cases]]</f>
        <v>2.8960817717206135E-2</v>
      </c>
      <c r="N144" s="11">
        <f>Table1[[#This Row],[Cases]]/Table1[[#This Row],[Deaths]]</f>
        <v>34.529411764705884</v>
      </c>
      <c r="O144" s="12">
        <f>Table1[[#This Row],[Cases]]/Table1[[#This Row],[Population]]</f>
        <v>3.378843146272825E-4</v>
      </c>
      <c r="P144" s="12">
        <f>Table1[[#This Row],[Deaths]]/Table1[[#This Row],[Population]]</f>
        <v>9.7854060454238555E-6</v>
      </c>
      <c r="Q144" s="13">
        <f>1-Table1[[#This Row],[Deaths]]/Table1[[#This Row],[Ex(Deaths)]]</f>
        <v>0.14118507681053394</v>
      </c>
      <c r="R144" s="14">
        <f>Table1[[#This Row],[Active]]/Table1[[#This Row],[Cases]]</f>
        <v>0.16439522998296421</v>
      </c>
      <c r="S144" s="12">
        <f>Table1[[#This Row],[Percent Infected]]*Table1[[#This Row],[% Active]]</f>
        <v>5.5546569610788346E-5</v>
      </c>
      <c r="T144" s="8">
        <f>1/Table1[[#This Row],[Percent Actively Infected]]</f>
        <v>18002.911917098449</v>
      </c>
      <c r="AMC144"/>
    </row>
    <row r="145" spans="1:1017" s="1" customFormat="1" ht="16.5" thickBot="1" x14ac:dyDescent="0.3">
      <c r="A145" s="1">
        <v>144</v>
      </c>
      <c r="B145" s="51">
        <v>82</v>
      </c>
      <c r="C145" s="42" t="s">
        <v>205</v>
      </c>
      <c r="D145" s="47">
        <v>9295</v>
      </c>
      <c r="E145" s="48">
        <v>85</v>
      </c>
      <c r="F145" s="47">
        <v>5579</v>
      </c>
      <c r="G145" s="47">
        <v>3631</v>
      </c>
      <c r="H145" s="48">
        <v>89</v>
      </c>
      <c r="I145" s="42">
        <v>27732292</v>
      </c>
      <c r="J145" s="8">
        <f>Table1[[#This Row],[Population]]/Table1[[#This Row],[Cases]]</f>
        <v>2983.5709521247982</v>
      </c>
      <c r="K145" s="8">
        <f>Table1[[#This Row],[Population]]/Table1[[#This Row],[Deaths]]</f>
        <v>326262.25882352941</v>
      </c>
      <c r="L145" s="9">
        <f>Table1[[#This Row],[Deaths]]+Table1[[#This Row],[Active]]*Table1[[#This Row],[Death Rate]]</f>
        <v>118.20441097364174</v>
      </c>
      <c r="M145" s="10">
        <f>Table1[[#This Row],[Deaths]]/Table1[[#This Row],[Cases]]</f>
        <v>9.1447014523937595E-3</v>
      </c>
      <c r="N145" s="11">
        <f>Table1[[#This Row],[Cases]]/Table1[[#This Row],[Deaths]]</f>
        <v>109.35294117647059</v>
      </c>
      <c r="O145" s="12">
        <f>Table1[[#This Row],[Cases]]/Table1[[#This Row],[Population]]</f>
        <v>3.3516883494519675E-4</v>
      </c>
      <c r="P145" s="12">
        <f>Table1[[#This Row],[Deaths]]/Table1[[#This Row],[Population]]</f>
        <v>3.0650189317204651E-6</v>
      </c>
      <c r="Q145" s="13">
        <f>1-Table1[[#This Row],[Deaths]]/Table1[[#This Row],[Ex(Deaths)]]</f>
        <v>0.28090669967507353</v>
      </c>
      <c r="R145" s="14">
        <f>Table1[[#This Row],[Active]]/Table1[[#This Row],[Cases]]</f>
        <v>0.39064012910166757</v>
      </c>
      <c r="S145" s="12">
        <f>Table1[[#This Row],[Percent Infected]]*Table1[[#This Row],[% Active]]</f>
        <v>1.3093039695384717E-4</v>
      </c>
      <c r="T145" s="8">
        <f>1/Table1[[#This Row],[Percent Actively Infected]]</f>
        <v>7637.6458275957029</v>
      </c>
      <c r="AMC145"/>
    </row>
    <row r="146" spans="1:1017" s="1" customFormat="1" ht="16.5" thickBot="1" x14ac:dyDescent="0.3">
      <c r="A146" s="1">
        <v>145</v>
      </c>
      <c r="B146" s="52">
        <v>180</v>
      </c>
      <c r="C146" s="42" t="s">
        <v>115</v>
      </c>
      <c r="D146" s="49">
        <v>141</v>
      </c>
      <c r="E146" s="49">
        <v>3</v>
      </c>
      <c r="F146" s="49">
        <v>138</v>
      </c>
      <c r="G146" s="49">
        <v>0</v>
      </c>
      <c r="H146" s="49"/>
      <c r="I146" s="42">
        <v>437756</v>
      </c>
      <c r="J146" s="8">
        <f>Table1[[#This Row],[Population]]/Table1[[#This Row],[Cases]]</f>
        <v>3104.6524822695037</v>
      </c>
      <c r="K146" s="8">
        <f>Table1[[#This Row],[Population]]/Table1[[#This Row],[Deaths]]</f>
        <v>145918.66666666666</v>
      </c>
      <c r="L146" s="9">
        <f>Table1[[#This Row],[Deaths]]+Table1[[#This Row],[Active]]*Table1[[#This Row],[Death Rate]]</f>
        <v>3</v>
      </c>
      <c r="M146" s="10">
        <f>Table1[[#This Row],[Deaths]]/Table1[[#This Row],[Cases]]</f>
        <v>2.1276595744680851E-2</v>
      </c>
      <c r="N146" s="11">
        <f>Table1[[#This Row],[Cases]]/Table1[[#This Row],[Deaths]]</f>
        <v>47</v>
      </c>
      <c r="O146" s="12">
        <f>Table1[[#This Row],[Cases]]/Table1[[#This Row],[Population]]</f>
        <v>3.2209724138561205E-4</v>
      </c>
      <c r="P146" s="12">
        <f>Table1[[#This Row],[Deaths]]/Table1[[#This Row],[Population]]</f>
        <v>6.8531327954385548E-6</v>
      </c>
      <c r="Q146" s="13">
        <f>1-Table1[[#This Row],[Deaths]]/Table1[[#This Row],[Ex(Deaths)]]</f>
        <v>0</v>
      </c>
      <c r="R146" s="14">
        <f>Table1[[#This Row],[Active]]/Table1[[#This Row],[Cases]]</f>
        <v>0</v>
      </c>
      <c r="S146" s="12">
        <f>Table1[[#This Row],[Percent Infected]]*Table1[[#This Row],[% Active]]</f>
        <v>0</v>
      </c>
      <c r="T146" s="8" t="e">
        <f>1/Table1[[#This Row],[Percent Actively Infected]]</f>
        <v>#DIV/0!</v>
      </c>
      <c r="AMC146"/>
    </row>
    <row r="147" spans="1:1017" s="1" customFormat="1" ht="16.5" thickBot="1" x14ac:dyDescent="0.3">
      <c r="A147" s="1">
        <v>146</v>
      </c>
      <c r="B147" s="51">
        <v>204</v>
      </c>
      <c r="C147" s="42" t="s">
        <v>122</v>
      </c>
      <c r="D147" s="48">
        <v>17</v>
      </c>
      <c r="E147" s="48"/>
      <c r="F147" s="48">
        <v>15</v>
      </c>
      <c r="G147" s="48">
        <v>2</v>
      </c>
      <c r="H147" s="48"/>
      <c r="I147" s="42">
        <v>53224</v>
      </c>
      <c r="J147" s="8">
        <f>Table1[[#This Row],[Population]]/Table1[[#This Row],[Cases]]</f>
        <v>3130.8235294117649</v>
      </c>
      <c r="K147" s="8" t="e">
        <f>Table1[[#This Row],[Population]]/Table1[[#This Row],[Deaths]]</f>
        <v>#DIV/0!</v>
      </c>
      <c r="L147" s="9">
        <f>Table1[[#This Row],[Deaths]]+Table1[[#This Row],[Active]]*Table1[[#This Row],[Death Rate]]</f>
        <v>0</v>
      </c>
      <c r="M147" s="10">
        <f>Table1[[#This Row],[Deaths]]/Table1[[#This Row],[Cases]]</f>
        <v>0</v>
      </c>
      <c r="N147" s="11" t="e">
        <f>Table1[[#This Row],[Cases]]/Table1[[#This Row],[Deaths]]</f>
        <v>#DIV/0!</v>
      </c>
      <c r="O147" s="12">
        <f>Table1[[#This Row],[Cases]]/Table1[[#This Row],[Population]]</f>
        <v>3.1940477979858711E-4</v>
      </c>
      <c r="P147" s="12">
        <f>Table1[[#This Row],[Deaths]]/Table1[[#This Row],[Population]]</f>
        <v>0</v>
      </c>
      <c r="Q147" s="13" t="e">
        <f>1-Table1[[#This Row],[Deaths]]/Table1[[#This Row],[Ex(Deaths)]]</f>
        <v>#DIV/0!</v>
      </c>
      <c r="R147" s="14">
        <f>Table1[[#This Row],[Active]]/Table1[[#This Row],[Cases]]</f>
        <v>0.11764705882352941</v>
      </c>
      <c r="S147" s="12">
        <f>Table1[[#This Row],[Percent Infected]]*Table1[[#This Row],[% Active]]</f>
        <v>3.7577032917480837E-5</v>
      </c>
      <c r="T147" s="8">
        <f>1/Table1[[#This Row],[Percent Actively Infected]]</f>
        <v>26612</v>
      </c>
      <c r="AMC147"/>
    </row>
    <row r="148" spans="1:1017" s="1" customFormat="1" ht="16.5" thickBot="1" x14ac:dyDescent="0.3">
      <c r="A148" s="1">
        <v>147</v>
      </c>
      <c r="B148" s="51">
        <v>133</v>
      </c>
      <c r="C148" s="42" t="s">
        <v>117</v>
      </c>
      <c r="D148" s="47">
        <v>1556</v>
      </c>
      <c r="E148" s="48">
        <v>22</v>
      </c>
      <c r="F148" s="47">
        <v>1513</v>
      </c>
      <c r="G148" s="48">
        <v>21</v>
      </c>
      <c r="H148" s="48"/>
      <c r="I148" s="47">
        <v>5002100</v>
      </c>
      <c r="J148" s="8">
        <f>Table1[[#This Row],[Population]]/Table1[[#This Row],[Cases]]</f>
        <v>3214.7172236503857</v>
      </c>
      <c r="K148" s="8">
        <f>Table1[[#This Row],[Population]]/Table1[[#This Row],[Deaths]]</f>
        <v>227368.18181818182</v>
      </c>
      <c r="L148" s="9">
        <f>Table1[[#This Row],[Deaths]]+Table1[[#This Row],[Active]]*Table1[[#This Row],[Death Rate]]</f>
        <v>22.296915167095115</v>
      </c>
      <c r="M148" s="10">
        <f>Table1[[#This Row],[Deaths]]/Table1[[#This Row],[Cases]]</f>
        <v>1.4138817480719794E-2</v>
      </c>
      <c r="N148" s="11">
        <f>Table1[[#This Row],[Cases]]/Table1[[#This Row],[Deaths]]</f>
        <v>70.727272727272734</v>
      </c>
      <c r="O148" s="12">
        <f>Table1[[#This Row],[Cases]]/Table1[[#This Row],[Population]]</f>
        <v>3.1106935087263349E-4</v>
      </c>
      <c r="P148" s="12">
        <f>Table1[[#This Row],[Deaths]]/Table1[[#This Row],[Population]]</f>
        <v>4.3981527758341496E-6</v>
      </c>
      <c r="Q148" s="13">
        <f>1-Table1[[#This Row],[Deaths]]/Table1[[#This Row],[Ex(Deaths)]]</f>
        <v>1.3316423589093129E-2</v>
      </c>
      <c r="R148" s="14">
        <f>Table1[[#This Row],[Active]]/Table1[[#This Row],[Cases]]</f>
        <v>1.3496143958868894E-2</v>
      </c>
      <c r="S148" s="12">
        <f>Table1[[#This Row],[Percent Infected]]*Table1[[#This Row],[% Active]]</f>
        <v>4.1982367405689611E-6</v>
      </c>
      <c r="T148" s="8">
        <f>1/Table1[[#This Row],[Percent Actively Infected]]</f>
        <v>238195.23809523808</v>
      </c>
      <c r="AMC148"/>
    </row>
    <row r="149" spans="1:1017" s="1" customFormat="1" ht="16.5" thickBot="1" x14ac:dyDescent="0.3">
      <c r="A149" s="1">
        <v>148</v>
      </c>
      <c r="B149" s="51">
        <v>66</v>
      </c>
      <c r="C149" s="42" t="s">
        <v>203</v>
      </c>
      <c r="D149" s="47">
        <v>16643</v>
      </c>
      <c r="E149" s="48">
        <v>278</v>
      </c>
      <c r="F149" s="47">
        <v>7574</v>
      </c>
      <c r="G149" s="47">
        <v>8791</v>
      </c>
      <c r="H149" s="48">
        <v>44</v>
      </c>
      <c r="I149" s="42">
        <v>53842237</v>
      </c>
      <c r="J149" s="8">
        <f>Table1[[#This Row],[Population]]/Table1[[#This Row],[Cases]]</f>
        <v>3235.1281019047046</v>
      </c>
      <c r="K149" s="8">
        <f>Table1[[#This Row],[Population]]/Table1[[#This Row],[Deaths]]</f>
        <v>193677.11151079138</v>
      </c>
      <c r="L149" s="9">
        <f>Table1[[#This Row],[Deaths]]+Table1[[#This Row],[Active]]*Table1[[#This Row],[Death Rate]]</f>
        <v>424.84239620260769</v>
      </c>
      <c r="M149" s="10">
        <f>Table1[[#This Row],[Deaths]]/Table1[[#This Row],[Cases]]</f>
        <v>1.6703719281379557E-2</v>
      </c>
      <c r="N149" s="15">
        <f>Table1[[#This Row],[Cases]]/Table1[[#This Row],[Deaths]]</f>
        <v>59.866906474820141</v>
      </c>
      <c r="O149" s="12">
        <f>Table1[[#This Row],[Cases]]/Table1[[#This Row],[Population]]</f>
        <v>3.0910677058235895E-4</v>
      </c>
      <c r="P149" s="12">
        <f>Table1[[#This Row],[Deaths]]/Table1[[#This Row],[Population]]</f>
        <v>5.1632327237815177E-6</v>
      </c>
      <c r="Q149" s="13">
        <f>1-Table1[[#This Row],[Deaths]]/Table1[[#This Row],[Ex(Deaths)]]</f>
        <v>0.34563969489659507</v>
      </c>
      <c r="R149" s="14">
        <f>Table1[[#This Row],[Active]]/Table1[[#This Row],[Cases]]</f>
        <v>0.52821005828276157</v>
      </c>
      <c r="S149" s="12">
        <f>Table1[[#This Row],[Percent Infected]]*Table1[[#This Row],[% Active]]</f>
        <v>1.6327330530490405E-4</v>
      </c>
      <c r="T149" s="8">
        <f>1/Table1[[#This Row],[Percent Actively Infected]]</f>
        <v>6124.6999203731084</v>
      </c>
      <c r="AMC149"/>
    </row>
    <row r="150" spans="1:1017" s="1" customFormat="1" ht="16.5" thickBot="1" x14ac:dyDescent="0.3">
      <c r="A150" s="1">
        <v>149</v>
      </c>
      <c r="B150" s="51">
        <v>154</v>
      </c>
      <c r="C150" s="42" t="s">
        <v>211</v>
      </c>
      <c r="D150" s="48">
        <v>686</v>
      </c>
      <c r="E150" s="48">
        <v>1</v>
      </c>
      <c r="F150" s="48">
        <v>52</v>
      </c>
      <c r="G150" s="48">
        <v>633</v>
      </c>
      <c r="H150" s="48">
        <v>1</v>
      </c>
      <c r="I150" s="42">
        <v>2354516</v>
      </c>
      <c r="J150" s="8">
        <f>Table1[[#This Row],[Population]]/Table1[[#This Row],[Cases]]</f>
        <v>3432.2390670553937</v>
      </c>
      <c r="K150" s="8">
        <f>Table1[[#This Row],[Population]]/Table1[[#This Row],[Deaths]]</f>
        <v>2354516</v>
      </c>
      <c r="L150" s="9">
        <f>Table1[[#This Row],[Deaths]]+Table1[[#This Row],[Active]]*Table1[[#This Row],[Death Rate]]</f>
        <v>1.9227405247813412</v>
      </c>
      <c r="M150" s="10">
        <f>Table1[[#This Row],[Deaths]]/Table1[[#This Row],[Cases]]</f>
        <v>1.4577259475218659E-3</v>
      </c>
      <c r="N150" s="11">
        <f>Table1[[#This Row],[Cases]]/Table1[[#This Row],[Deaths]]</f>
        <v>686</v>
      </c>
      <c r="O150" s="12">
        <f>Table1[[#This Row],[Cases]]/Table1[[#This Row],[Population]]</f>
        <v>2.9135499610110954E-4</v>
      </c>
      <c r="P150" s="12">
        <f>Table1[[#This Row],[Deaths]]/Table1[[#This Row],[Population]]</f>
        <v>4.2471573775671944E-7</v>
      </c>
      <c r="Q150" s="13">
        <f>1-Table1[[#This Row],[Deaths]]/Table1[[#This Row],[Ex(Deaths)]]</f>
        <v>0.47990902198635332</v>
      </c>
      <c r="R150" s="14">
        <f>Table1[[#This Row],[Active]]/Table1[[#This Row],[Cases]]</f>
        <v>0.92274052478134105</v>
      </c>
      <c r="S150" s="12">
        <f>Table1[[#This Row],[Percent Infected]]*Table1[[#This Row],[% Active]]</f>
        <v>2.6884506200000342E-4</v>
      </c>
      <c r="T150" s="8">
        <f>1/Table1[[#This Row],[Percent Actively Infected]]</f>
        <v>3719.6145339652444</v>
      </c>
      <c r="AMC150"/>
    </row>
    <row r="151" spans="1:1017" s="1" customFormat="1" ht="16.5" thickBot="1" x14ac:dyDescent="0.3">
      <c r="A151" s="1">
        <v>150</v>
      </c>
      <c r="B151" s="51">
        <v>140</v>
      </c>
      <c r="C151" s="42" t="s">
        <v>150</v>
      </c>
      <c r="D151" s="47">
        <v>1131</v>
      </c>
      <c r="E151" s="48">
        <v>16</v>
      </c>
      <c r="F151" s="48">
        <v>920</v>
      </c>
      <c r="G151" s="48">
        <v>195</v>
      </c>
      <c r="H151" s="48">
        <v>5</v>
      </c>
      <c r="I151" s="42">
        <v>3988618</v>
      </c>
      <c r="J151" s="8">
        <f>Table1[[#This Row],[Population]]/Table1[[#This Row],[Cases]]</f>
        <v>3526.6295313881519</v>
      </c>
      <c r="K151" s="8">
        <f>Table1[[#This Row],[Population]]/Table1[[#This Row],[Deaths]]</f>
        <v>249288.625</v>
      </c>
      <c r="L151" s="9">
        <f>Table1[[#This Row],[Deaths]]+Table1[[#This Row],[Active]]*Table1[[#This Row],[Death Rate]]</f>
        <v>18.758620689655171</v>
      </c>
      <c r="M151" s="10">
        <f>Table1[[#This Row],[Deaths]]/Table1[[#This Row],[Cases]]</f>
        <v>1.4146772767462422E-2</v>
      </c>
      <c r="N151" s="11">
        <f>Table1[[#This Row],[Cases]]/Table1[[#This Row],[Deaths]]</f>
        <v>70.6875</v>
      </c>
      <c r="O151" s="12">
        <f>Table1[[#This Row],[Cases]]/Table1[[#This Row],[Population]]</f>
        <v>2.8355686104811239E-4</v>
      </c>
      <c r="P151" s="12">
        <f>Table1[[#This Row],[Deaths]]/Table1[[#This Row],[Population]]</f>
        <v>4.0114144799025627E-6</v>
      </c>
      <c r="Q151" s="16">
        <f>1-Table1[[#This Row],[Deaths]]/Table1[[#This Row],[Ex(Deaths)]]</f>
        <v>0.14705882352941169</v>
      </c>
      <c r="R151" s="14">
        <f>Table1[[#This Row],[Active]]/Table1[[#This Row],[Cases]]</f>
        <v>0.17241379310344829</v>
      </c>
      <c r="S151" s="12">
        <f>Table1[[#This Row],[Percent Infected]]*Table1[[#This Row],[% Active]]</f>
        <v>4.8889113973812483E-5</v>
      </c>
      <c r="T151" s="8">
        <f>1/Table1[[#This Row],[Percent Actively Infected]]</f>
        <v>20454.451282051283</v>
      </c>
      <c r="AMC151"/>
    </row>
    <row r="152" spans="1:1017" s="1" customFormat="1" ht="16.5" thickBot="1" x14ac:dyDescent="0.3">
      <c r="A152" s="1">
        <v>151</v>
      </c>
      <c r="B152" s="51">
        <v>150</v>
      </c>
      <c r="C152" s="42" t="s">
        <v>148</v>
      </c>
      <c r="D152" s="48">
        <v>837</v>
      </c>
      <c r="E152" s="48">
        <v>10</v>
      </c>
      <c r="F152" s="48">
        <v>711</v>
      </c>
      <c r="G152" s="48">
        <v>116</v>
      </c>
      <c r="H152" s="48"/>
      <c r="I152" s="42">
        <v>2962055</v>
      </c>
      <c r="J152" s="8">
        <f>Table1[[#This Row],[Population]]/Table1[[#This Row],[Cases]]</f>
        <v>3538.8948626045399</v>
      </c>
      <c r="K152" s="8">
        <f>Table1[[#This Row],[Population]]/Table1[[#This Row],[Deaths]]</f>
        <v>296205.5</v>
      </c>
      <c r="L152" s="9">
        <f>Table1[[#This Row],[Deaths]]+Table1[[#This Row],[Active]]*Table1[[#This Row],[Death Rate]]</f>
        <v>11.385902031063321</v>
      </c>
      <c r="M152" s="10">
        <f>Table1[[#This Row],[Deaths]]/Table1[[#This Row],[Cases]]</f>
        <v>1.1947431302270013E-2</v>
      </c>
      <c r="N152" s="11">
        <f>Table1[[#This Row],[Cases]]/Table1[[#This Row],[Deaths]]</f>
        <v>83.7</v>
      </c>
      <c r="O152" s="12">
        <f>Table1[[#This Row],[Cases]]/Table1[[#This Row],[Population]]</f>
        <v>2.8257409129810217E-4</v>
      </c>
      <c r="P152" s="12">
        <f>Table1[[#This Row],[Deaths]]/Table1[[#This Row],[Population]]</f>
        <v>3.3760345435854501E-6</v>
      </c>
      <c r="Q152" s="13">
        <f>1-Table1[[#This Row],[Deaths]]/Table1[[#This Row],[Ex(Deaths)]]</f>
        <v>0.12172088142707238</v>
      </c>
      <c r="R152" s="14">
        <f>Table1[[#This Row],[Active]]/Table1[[#This Row],[Cases]]</f>
        <v>0.13859020310633213</v>
      </c>
      <c r="S152" s="12">
        <f>Table1[[#This Row],[Percent Infected]]*Table1[[#This Row],[% Active]]</f>
        <v>3.916200070559122E-5</v>
      </c>
      <c r="T152" s="8">
        <f>1/Table1[[#This Row],[Percent Actively Infected]]</f>
        <v>25534.956896551725</v>
      </c>
      <c r="AMC152"/>
    </row>
    <row r="153" spans="1:1017" s="1" customFormat="1" ht="16.5" thickBot="1" x14ac:dyDescent="0.3">
      <c r="A153" s="1">
        <v>152</v>
      </c>
      <c r="B153" s="51">
        <v>73</v>
      </c>
      <c r="C153" s="42" t="s">
        <v>138</v>
      </c>
      <c r="D153" s="47">
        <v>14150</v>
      </c>
      <c r="E153" s="48">
        <v>298</v>
      </c>
      <c r="F153" s="47">
        <v>12890</v>
      </c>
      <c r="G153" s="48">
        <v>962</v>
      </c>
      <c r="H153" s="48">
        <v>15</v>
      </c>
      <c r="I153" s="42">
        <v>51272290</v>
      </c>
      <c r="J153" s="8">
        <f>Table1[[#This Row],[Population]]/Table1[[#This Row],[Cases]]</f>
        <v>3623.4833922261482</v>
      </c>
      <c r="K153" s="8">
        <f>Table1[[#This Row],[Population]]/Table1[[#This Row],[Deaths]]</f>
        <v>172054.66442953021</v>
      </c>
      <c r="L153" s="9">
        <f>Table1[[#This Row],[Deaths]]+Table1[[#This Row],[Active]]*Table1[[#This Row],[Death Rate]]</f>
        <v>318.25978798586573</v>
      </c>
      <c r="M153" s="10">
        <f>Table1[[#This Row],[Deaths]]/Table1[[#This Row],[Cases]]</f>
        <v>2.1060070671378092E-2</v>
      </c>
      <c r="N153" s="11">
        <f>Table1[[#This Row],[Cases]]/Table1[[#This Row],[Deaths]]</f>
        <v>47.483221476510067</v>
      </c>
      <c r="O153" s="12">
        <f>Table1[[#This Row],[Cases]]/Table1[[#This Row],[Population]]</f>
        <v>2.7597753094312736E-4</v>
      </c>
      <c r="P153" s="12">
        <f>Table1[[#This Row],[Deaths]]/Table1[[#This Row],[Population]]</f>
        <v>5.8121063053746962E-6</v>
      </c>
      <c r="Q153" s="13">
        <f>1-Table1[[#This Row],[Deaths]]/Table1[[#This Row],[Ex(Deaths)]]</f>
        <v>6.3658020116463709E-2</v>
      </c>
      <c r="R153" s="14">
        <f>Table1[[#This Row],[Active]]/Table1[[#This Row],[Cases]]</f>
        <v>6.7985865724381631E-2</v>
      </c>
      <c r="S153" s="12">
        <f>Table1[[#This Row],[Percent Infected]]*Table1[[#This Row],[% Active]]</f>
        <v>1.8762571361645832E-5</v>
      </c>
      <c r="T153" s="8">
        <f>1/Table1[[#This Row],[Percent Actively Infected]]</f>
        <v>53297.598752598751</v>
      </c>
      <c r="AMC153"/>
    </row>
    <row r="154" spans="1:1017" s="1" customFormat="1" ht="16.5" thickBot="1" x14ac:dyDescent="0.3">
      <c r="A154" s="1">
        <v>153</v>
      </c>
      <c r="B154" s="51">
        <v>84</v>
      </c>
      <c r="C154" s="42" t="s">
        <v>133</v>
      </c>
      <c r="D154" s="47">
        <v>8897</v>
      </c>
      <c r="E154" s="48">
        <v>124</v>
      </c>
      <c r="F154" s="47">
        <v>8600</v>
      </c>
      <c r="G154" s="48">
        <v>173</v>
      </c>
      <c r="H154" s="48">
        <v>2</v>
      </c>
      <c r="I154" s="42">
        <v>32392776</v>
      </c>
      <c r="J154" s="8">
        <f>Table1[[#This Row],[Population]]/Table1[[#This Row],[Cases]]</f>
        <v>3640.8650106777563</v>
      </c>
      <c r="K154" s="8">
        <f>Table1[[#This Row],[Population]]/Table1[[#This Row],[Deaths]]</f>
        <v>261232.06451612903</v>
      </c>
      <c r="L154" s="9">
        <f>Table1[[#This Row],[Deaths]]+Table1[[#This Row],[Active]]*Table1[[#This Row],[Death Rate]]</f>
        <v>126.41114982578397</v>
      </c>
      <c r="M154" s="10">
        <f>Table1[[#This Row],[Deaths]]/Table1[[#This Row],[Cases]]</f>
        <v>1.3937282229965157E-2</v>
      </c>
      <c r="N154" s="11">
        <f>Table1[[#This Row],[Cases]]/Table1[[#This Row],[Deaths]]</f>
        <v>71.75</v>
      </c>
      <c r="O154" s="12">
        <f>Table1[[#This Row],[Cases]]/Table1[[#This Row],[Population]]</f>
        <v>2.7466000444049623E-4</v>
      </c>
      <c r="P154" s="12">
        <f>Table1[[#This Row],[Deaths]]/Table1[[#This Row],[Population]]</f>
        <v>3.8280139991706789E-6</v>
      </c>
      <c r="Q154" s="13">
        <f>1-Table1[[#This Row],[Deaths]]/Table1[[#This Row],[Ex(Deaths)]]</f>
        <v>1.9073869900771756E-2</v>
      </c>
      <c r="R154" s="14">
        <f>Table1[[#This Row],[Active]]/Table1[[#This Row],[Cases]]</f>
        <v>1.9444756659548163E-2</v>
      </c>
      <c r="S154" s="12">
        <f>Table1[[#This Row],[Percent Infected]]*Table1[[#This Row],[% Active]]</f>
        <v>5.3406969504558669E-6</v>
      </c>
      <c r="T154" s="8">
        <f>1/Table1[[#This Row],[Percent Actively Infected]]</f>
        <v>187241.47976878614</v>
      </c>
      <c r="AMC154"/>
    </row>
    <row r="155" spans="1:1017" s="1" customFormat="1" ht="16.5" thickBot="1" x14ac:dyDescent="0.3">
      <c r="A155" s="1">
        <v>154</v>
      </c>
      <c r="B155" s="51">
        <v>166</v>
      </c>
      <c r="C155" s="42" t="s">
        <v>128</v>
      </c>
      <c r="D155" s="48">
        <v>344</v>
      </c>
      <c r="E155" s="48">
        <v>10</v>
      </c>
      <c r="F155" s="48">
        <v>332</v>
      </c>
      <c r="G155" s="48">
        <v>2</v>
      </c>
      <c r="H155" s="48"/>
      <c r="I155" s="42">
        <v>1271916</v>
      </c>
      <c r="J155" s="8">
        <f>Table1[[#This Row],[Population]]/Table1[[#This Row],[Cases]]</f>
        <v>3697.4302325581393</v>
      </c>
      <c r="K155" s="8">
        <f>Table1[[#This Row],[Population]]/Table1[[#This Row],[Deaths]]</f>
        <v>127191.6</v>
      </c>
      <c r="L155" s="9">
        <f>Table1[[#This Row],[Deaths]]+Table1[[#This Row],[Active]]*Table1[[#This Row],[Death Rate]]</f>
        <v>10.05813953488372</v>
      </c>
      <c r="M155" s="10">
        <f>Table1[[#This Row],[Deaths]]/Table1[[#This Row],[Cases]]</f>
        <v>2.9069767441860465E-2</v>
      </c>
      <c r="N155" s="11">
        <f>Table1[[#This Row],[Cases]]/Table1[[#This Row],[Deaths]]</f>
        <v>34.4</v>
      </c>
      <c r="O155" s="12">
        <f>Table1[[#This Row],[Cases]]/Table1[[#This Row],[Population]]</f>
        <v>2.7045811201368642E-4</v>
      </c>
      <c r="P155" s="12">
        <f>Table1[[#This Row],[Deaths]]/Table1[[#This Row],[Population]]</f>
        <v>7.862154419002513E-6</v>
      </c>
      <c r="Q155" s="13">
        <f>1-Table1[[#This Row],[Deaths]]/Table1[[#This Row],[Ex(Deaths)]]</f>
        <v>5.7803468208091902E-3</v>
      </c>
      <c r="R155" s="14">
        <f>Table1[[#This Row],[Active]]/Table1[[#This Row],[Cases]]</f>
        <v>5.8139534883720929E-3</v>
      </c>
      <c r="S155" s="12">
        <f>Table1[[#This Row],[Percent Infected]]*Table1[[#This Row],[% Active]]</f>
        <v>1.5724308838005023E-6</v>
      </c>
      <c r="T155" s="8">
        <f>1/Table1[[#This Row],[Percent Actively Infected]]</f>
        <v>635958.00000000012</v>
      </c>
      <c r="AMC155"/>
    </row>
    <row r="156" spans="1:1017" s="1" customFormat="1" ht="16.5" thickBot="1" x14ac:dyDescent="0.3">
      <c r="A156" s="1">
        <v>155</v>
      </c>
      <c r="B156" s="52">
        <v>212</v>
      </c>
      <c r="C156" s="42" t="s">
        <v>127</v>
      </c>
      <c r="D156" s="49">
        <v>8</v>
      </c>
      <c r="E156" s="49">
        <v>1</v>
      </c>
      <c r="F156" s="49">
        <v>7</v>
      </c>
      <c r="G156" s="49">
        <v>0</v>
      </c>
      <c r="H156" s="49"/>
      <c r="I156" s="42">
        <v>30245</v>
      </c>
      <c r="J156" s="8">
        <f>Table1[[#This Row],[Population]]/Table1[[#This Row],[Cases]]</f>
        <v>3780.625</v>
      </c>
      <c r="K156" s="8">
        <f>Table1[[#This Row],[Population]]/Table1[[#This Row],[Deaths]]</f>
        <v>30245</v>
      </c>
      <c r="L156" s="9">
        <f>Table1[[#This Row],[Deaths]]+Table1[[#This Row],[Active]]*Table1[[#This Row],[Death Rate]]</f>
        <v>1</v>
      </c>
      <c r="M156" s="10">
        <f>Table1[[#This Row],[Deaths]]/Table1[[#This Row],[Cases]]</f>
        <v>0.125</v>
      </c>
      <c r="N156" s="11">
        <f>Table1[[#This Row],[Cases]]/Table1[[#This Row],[Deaths]]</f>
        <v>8</v>
      </c>
      <c r="O156" s="12">
        <f>Table1[[#This Row],[Cases]]/Table1[[#This Row],[Population]]</f>
        <v>2.6450653000495948E-4</v>
      </c>
      <c r="P156" s="12">
        <f>Table1[[#This Row],[Deaths]]/Table1[[#This Row],[Population]]</f>
        <v>3.3063316250619935E-5</v>
      </c>
      <c r="Q156" s="13">
        <f>1-Table1[[#This Row],[Deaths]]/Table1[[#This Row],[Ex(Deaths)]]</f>
        <v>0</v>
      </c>
      <c r="R156" s="14">
        <f>Table1[[#This Row],[Active]]/Table1[[#This Row],[Cases]]</f>
        <v>0</v>
      </c>
      <c r="S156" s="12">
        <f>Table1[[#This Row],[Percent Infected]]*Table1[[#This Row],[% Active]]</f>
        <v>0</v>
      </c>
      <c r="T156" s="8" t="e">
        <f>1/Table1[[#This Row],[Percent Actively Infected]]</f>
        <v>#DIV/0!</v>
      </c>
      <c r="AMC156"/>
    </row>
    <row r="157" spans="1:1017" s="1" customFormat="1" ht="16.5" thickBot="1" x14ac:dyDescent="0.3">
      <c r="A157" s="1">
        <v>156</v>
      </c>
      <c r="B157" s="51">
        <v>76</v>
      </c>
      <c r="C157" s="42" t="s">
        <v>174</v>
      </c>
      <c r="D157" s="47">
        <v>11385</v>
      </c>
      <c r="E157" s="48">
        <v>717</v>
      </c>
      <c r="F157" s="47">
        <v>5890</v>
      </c>
      <c r="G157" s="47">
        <v>4778</v>
      </c>
      <c r="H157" s="48"/>
      <c r="I157" s="42">
        <v>43909879</v>
      </c>
      <c r="J157" s="8">
        <f>Table1[[#This Row],[Population]]/Table1[[#This Row],[Cases]]</f>
        <v>3856.8185331576638</v>
      </c>
      <c r="K157" s="8">
        <f>Table1[[#This Row],[Population]]/Table1[[#This Row],[Deaths]]</f>
        <v>61241.114365411435</v>
      </c>
      <c r="L157" s="9">
        <f>Table1[[#This Row],[Deaths]]+Table1[[#This Row],[Active]]*Table1[[#This Row],[Death Rate]]</f>
        <v>1017.9069828722003</v>
      </c>
      <c r="M157" s="10">
        <f>Table1[[#This Row],[Deaths]]/Table1[[#This Row],[Cases]]</f>
        <v>6.2977602108036893E-2</v>
      </c>
      <c r="N157" s="11">
        <f>Table1[[#This Row],[Cases]]/Table1[[#This Row],[Deaths]]</f>
        <v>15.878661087866108</v>
      </c>
      <c r="O157" s="12">
        <f>Table1[[#This Row],[Cases]]/Table1[[#This Row],[Population]]</f>
        <v>2.5928106064696741E-4</v>
      </c>
      <c r="P157" s="12">
        <f>Table1[[#This Row],[Deaths]]/Table1[[#This Row],[Population]]</f>
        <v>1.6328899471574493E-5</v>
      </c>
      <c r="Q157" s="13">
        <f>1-Table1[[#This Row],[Deaths]]/Table1[[#This Row],[Ex(Deaths)]]</f>
        <v>0.2956134380993628</v>
      </c>
      <c r="R157" s="14">
        <f>Table1[[#This Row],[Active]]/Table1[[#This Row],[Cases]]</f>
        <v>0.41967501097935883</v>
      </c>
      <c r="S157" s="12">
        <f>Table1[[#This Row],[Percent Infected]]*Table1[[#This Row],[% Active]]</f>
        <v>1.0881378197375585E-4</v>
      </c>
      <c r="T157" s="8">
        <f>1/Table1[[#This Row],[Percent Actively Infected]]</f>
        <v>9190.0123482628696</v>
      </c>
      <c r="AMC157"/>
    </row>
    <row r="158" spans="1:1017" s="1" customFormat="1" ht="16.5" thickBot="1" x14ac:dyDescent="0.3">
      <c r="A158" s="1">
        <v>157</v>
      </c>
      <c r="B158" s="53">
        <v>203</v>
      </c>
      <c r="C158" s="42" t="s">
        <v>134</v>
      </c>
      <c r="D158" s="50">
        <v>18</v>
      </c>
      <c r="E158" s="50"/>
      <c r="F158" s="50">
        <v>18</v>
      </c>
      <c r="G158" s="50">
        <v>0</v>
      </c>
      <c r="H158" s="50"/>
      <c r="I158" s="42">
        <v>71998</v>
      </c>
      <c r="J158" s="8">
        <f>Table1[[#This Row],[Population]]/Table1[[#This Row],[Cases]]</f>
        <v>3999.8888888888887</v>
      </c>
      <c r="K158" s="8" t="e">
        <f>Table1[[#This Row],[Population]]/Table1[[#This Row],[Deaths]]</f>
        <v>#DIV/0!</v>
      </c>
      <c r="L158" s="9">
        <f>Table1[[#This Row],[Deaths]]+Table1[[#This Row],[Active]]*Table1[[#This Row],[Death Rate]]</f>
        <v>0</v>
      </c>
      <c r="M158" s="10">
        <f>Table1[[#This Row],[Deaths]]/Table1[[#This Row],[Cases]]</f>
        <v>0</v>
      </c>
      <c r="N158" s="11" t="e">
        <f>Table1[[#This Row],[Cases]]/Table1[[#This Row],[Deaths]]</f>
        <v>#DIV/0!</v>
      </c>
      <c r="O158" s="12">
        <f>Table1[[#This Row],[Cases]]/Table1[[#This Row],[Population]]</f>
        <v>2.5000694463735103E-4</v>
      </c>
      <c r="P158" s="12">
        <f>Table1[[#This Row],[Deaths]]/Table1[[#This Row],[Population]]</f>
        <v>0</v>
      </c>
      <c r="Q158" s="13" t="e">
        <f>1-Table1[[#This Row],[Deaths]]/Table1[[#This Row],[Ex(Deaths)]]</f>
        <v>#DIV/0!</v>
      </c>
      <c r="R158" s="14">
        <f>Table1[[#This Row],[Active]]/Table1[[#This Row],[Cases]]</f>
        <v>0</v>
      </c>
      <c r="S158" s="12">
        <f>Table1[[#This Row],[Percent Infected]]*Table1[[#This Row],[% Active]]</f>
        <v>0</v>
      </c>
      <c r="T158" s="8" t="e">
        <f>1/Table1[[#This Row],[Percent Actively Infected]]</f>
        <v>#DIV/0!</v>
      </c>
      <c r="AMC158"/>
    </row>
    <row r="159" spans="1:1017" s="1" customFormat="1" ht="16.5" thickBot="1" x14ac:dyDescent="0.3">
      <c r="A159" s="1">
        <v>158</v>
      </c>
      <c r="B159" s="51">
        <v>159</v>
      </c>
      <c r="C159" s="42" t="s">
        <v>231</v>
      </c>
      <c r="D159" s="48">
        <v>505</v>
      </c>
      <c r="E159" s="48">
        <v>12</v>
      </c>
      <c r="F159" s="48">
        <v>128</v>
      </c>
      <c r="G159" s="48">
        <v>365</v>
      </c>
      <c r="H159" s="48"/>
      <c r="I159" s="42">
        <v>2143387</v>
      </c>
      <c r="J159" s="8">
        <f>Table1[[#This Row],[Population]]/Table1[[#This Row],[Cases]]</f>
        <v>4244.330693069307</v>
      </c>
      <c r="K159" s="8">
        <f>Table1[[#This Row],[Population]]/Table1[[#This Row],[Deaths]]</f>
        <v>178615.58333333334</v>
      </c>
      <c r="L159" s="9">
        <f>Table1[[#This Row],[Deaths]]+Table1[[#This Row],[Active]]*Table1[[#This Row],[Death Rate]]</f>
        <v>20.673267326732674</v>
      </c>
      <c r="M159" s="10">
        <f>Table1[[#This Row],[Deaths]]/Table1[[#This Row],[Cases]]</f>
        <v>2.3762376237623763E-2</v>
      </c>
      <c r="N159" s="11">
        <f>Table1[[#This Row],[Cases]]/Table1[[#This Row],[Deaths]]</f>
        <v>42.083333333333336</v>
      </c>
      <c r="O159" s="12">
        <f>Table1[[#This Row],[Cases]]/Table1[[#This Row],[Population]]</f>
        <v>2.356084085608432E-4</v>
      </c>
      <c r="P159" s="12">
        <f>Table1[[#This Row],[Deaths]]/Table1[[#This Row],[Population]]</f>
        <v>5.5986156489705313E-6</v>
      </c>
      <c r="Q159" s="13">
        <f>1-Table1[[#This Row],[Deaths]]/Table1[[#This Row],[Ex(Deaths)]]</f>
        <v>0.41954022988505746</v>
      </c>
      <c r="R159" s="14">
        <f>Table1[[#This Row],[Active]]/Table1[[#This Row],[Cases]]</f>
        <v>0.72277227722772275</v>
      </c>
      <c r="S159" s="12">
        <f>Table1[[#This Row],[Percent Infected]]*Table1[[#This Row],[% Active]]</f>
        <v>1.7029122598952032E-4</v>
      </c>
      <c r="T159" s="8">
        <f>1/Table1[[#This Row],[Percent Actively Infected]]</f>
        <v>5872.2931506849318</v>
      </c>
      <c r="AMC159"/>
    </row>
    <row r="160" spans="1:1017" s="1" customFormat="1" ht="16.5" thickBot="1" x14ac:dyDescent="0.3">
      <c r="A160" s="1">
        <v>159</v>
      </c>
      <c r="B160" s="51">
        <v>99</v>
      </c>
      <c r="C160" s="42" t="s">
        <v>188</v>
      </c>
      <c r="D160" s="47">
        <v>4328</v>
      </c>
      <c r="E160" s="48">
        <v>139</v>
      </c>
      <c r="F160" s="47">
        <v>1953</v>
      </c>
      <c r="G160" s="47">
        <v>2236</v>
      </c>
      <c r="H160" s="48">
        <v>18</v>
      </c>
      <c r="I160" s="42">
        <v>18413183</v>
      </c>
      <c r="J160" s="8">
        <f>Table1[[#This Row],[Population]]/Table1[[#This Row],[Cases]]</f>
        <v>4254.4323012939003</v>
      </c>
      <c r="K160" s="8">
        <f>Table1[[#This Row],[Population]]/Table1[[#This Row],[Deaths]]</f>
        <v>132468.94244604316</v>
      </c>
      <c r="L160" s="9">
        <f>Table1[[#This Row],[Deaths]]+Table1[[#This Row],[Active]]*Table1[[#This Row],[Death Rate]]</f>
        <v>210.81238447319777</v>
      </c>
      <c r="M160" s="10">
        <f>Table1[[#This Row],[Deaths]]/Table1[[#This Row],[Cases]]</f>
        <v>3.2116451016635857E-2</v>
      </c>
      <c r="N160" s="11">
        <f>Table1[[#This Row],[Cases]]/Table1[[#This Row],[Deaths]]</f>
        <v>31.136690647482013</v>
      </c>
      <c r="O160" s="12">
        <f>Table1[[#This Row],[Cases]]/Table1[[#This Row],[Population]]</f>
        <v>2.350489863702544E-4</v>
      </c>
      <c r="P160" s="12">
        <f>Table1[[#This Row],[Deaths]]/Table1[[#This Row],[Population]]</f>
        <v>7.5489392572701851E-6</v>
      </c>
      <c r="Q160" s="13">
        <f>1-Table1[[#This Row],[Deaths]]/Table1[[#This Row],[Ex(Deaths)]]</f>
        <v>0.3406459475929311</v>
      </c>
      <c r="R160" s="14">
        <f>Table1[[#This Row],[Active]]/Table1[[#This Row],[Cases]]</f>
        <v>0.51663585951940849</v>
      </c>
      <c r="S160" s="12">
        <f>Table1[[#This Row],[Percent Infected]]*Table1[[#This Row],[% Active]]</f>
        <v>1.2143473510256212E-4</v>
      </c>
      <c r="T160" s="8">
        <f>1/Table1[[#This Row],[Percent Actively Infected]]</f>
        <v>8234.8761180679776</v>
      </c>
      <c r="AMC160"/>
    </row>
    <row r="161" spans="1:1017" s="1" customFormat="1" ht="16.5" thickBot="1" x14ac:dyDescent="0.3">
      <c r="A161" s="1">
        <v>160</v>
      </c>
      <c r="B161" s="51">
        <v>139</v>
      </c>
      <c r="C161" s="42" t="s">
        <v>185</v>
      </c>
      <c r="D161" s="47">
        <v>1162</v>
      </c>
      <c r="E161" s="48">
        <v>72</v>
      </c>
      <c r="F161" s="48">
        <v>641</v>
      </c>
      <c r="G161" s="48">
        <v>449</v>
      </c>
      <c r="H161" s="48"/>
      <c r="I161" s="42">
        <v>5064710</v>
      </c>
      <c r="J161" s="8">
        <f>Table1[[#This Row],[Population]]/Table1[[#This Row],[Cases]]</f>
        <v>4358.6144578313251</v>
      </c>
      <c r="K161" s="8">
        <f>Table1[[#This Row],[Population]]/Table1[[#This Row],[Deaths]]</f>
        <v>70343.194444444438</v>
      </c>
      <c r="L161" s="9">
        <f>Table1[[#This Row],[Deaths]]+Table1[[#This Row],[Active]]*Table1[[#This Row],[Death Rate]]</f>
        <v>99.820998278829606</v>
      </c>
      <c r="M161" s="10">
        <f>Table1[[#This Row],[Deaths]]/Table1[[#This Row],[Cases]]</f>
        <v>6.1962134251290879E-2</v>
      </c>
      <c r="N161" s="11">
        <f>Table1[[#This Row],[Cases]]/Table1[[#This Row],[Deaths]]</f>
        <v>16.138888888888889</v>
      </c>
      <c r="O161" s="12">
        <f>Table1[[#This Row],[Cases]]/Table1[[#This Row],[Population]]</f>
        <v>2.2943070777991237E-4</v>
      </c>
      <c r="P161" s="12">
        <f>Table1[[#This Row],[Deaths]]/Table1[[#This Row],[Population]]</f>
        <v>1.4216016316827617E-5</v>
      </c>
      <c r="Q161" s="13">
        <f>1-Table1[[#This Row],[Deaths]]/Table1[[#This Row],[Ex(Deaths)]]</f>
        <v>0.27870887647423959</v>
      </c>
      <c r="R161" s="14">
        <f>Table1[[#This Row],[Active]]/Table1[[#This Row],[Cases]]</f>
        <v>0.3864027538726334</v>
      </c>
      <c r="S161" s="12">
        <f>Table1[[#This Row],[Percent Infected]]*Table1[[#This Row],[% Active]]</f>
        <v>8.865265730910556E-5</v>
      </c>
      <c r="T161" s="8">
        <f>1/Table1[[#This Row],[Percent Actively Infected]]</f>
        <v>11279.977728285077</v>
      </c>
      <c r="AMC161"/>
    </row>
    <row r="162" spans="1:1017" s="1" customFormat="1" ht="16.5" thickBot="1" x14ac:dyDescent="0.3">
      <c r="A162" s="1">
        <v>161</v>
      </c>
      <c r="B162" s="53">
        <v>206</v>
      </c>
      <c r="C162" s="42" t="s">
        <v>142</v>
      </c>
      <c r="D162" s="50">
        <v>13</v>
      </c>
      <c r="E162" s="50"/>
      <c r="F162" s="50">
        <v>13</v>
      </c>
      <c r="G162" s="50">
        <v>0</v>
      </c>
      <c r="H162" s="50"/>
      <c r="I162" s="42">
        <v>56777</v>
      </c>
      <c r="J162" s="8">
        <f>Table1[[#This Row],[Population]]/Table1[[#This Row],[Cases]]</f>
        <v>4367.4615384615381</v>
      </c>
      <c r="K162" s="8" t="e">
        <f>Table1[[#This Row],[Population]]/Table1[[#This Row],[Deaths]]</f>
        <v>#DIV/0!</v>
      </c>
      <c r="L162" s="9">
        <f>Table1[[#This Row],[Deaths]]+Table1[[#This Row],[Active]]*Table1[[#This Row],[Death Rate]]</f>
        <v>0</v>
      </c>
      <c r="M162" s="10">
        <f>Table1[[#This Row],[Deaths]]/Table1[[#This Row],[Cases]]</f>
        <v>0</v>
      </c>
      <c r="N162" s="11" t="e">
        <f>Table1[[#This Row],[Cases]]/Table1[[#This Row],[Deaths]]</f>
        <v>#DIV/0!</v>
      </c>
      <c r="O162" s="12">
        <f>Table1[[#This Row],[Cases]]/Table1[[#This Row],[Population]]</f>
        <v>2.2896595452383888E-4</v>
      </c>
      <c r="P162" s="12">
        <f>Table1[[#This Row],[Deaths]]/Table1[[#This Row],[Population]]</f>
        <v>0</v>
      </c>
      <c r="Q162" s="13" t="e">
        <f>1-Table1[[#This Row],[Deaths]]/Table1[[#This Row],[Ex(Deaths)]]</f>
        <v>#DIV/0!</v>
      </c>
      <c r="R162" s="14">
        <f>Table1[[#This Row],[Active]]/Table1[[#This Row],[Cases]]</f>
        <v>0</v>
      </c>
      <c r="S162" s="12">
        <f>Table1[[#This Row],[Percent Infected]]*Table1[[#This Row],[% Active]]</f>
        <v>0</v>
      </c>
      <c r="T162" s="8" t="e">
        <f>1/Table1[[#This Row],[Percent Actively Infected]]</f>
        <v>#DIV/0!</v>
      </c>
      <c r="AMC162"/>
    </row>
    <row r="163" spans="1:1017" s="1" customFormat="1" ht="16.5" thickBot="1" x14ac:dyDescent="0.3">
      <c r="A163" s="1">
        <v>162</v>
      </c>
      <c r="B163" s="51">
        <v>56</v>
      </c>
      <c r="C163" s="42" t="s">
        <v>159</v>
      </c>
      <c r="D163" s="47">
        <v>28786</v>
      </c>
      <c r="E163" s="48">
        <v>993</v>
      </c>
      <c r="F163" s="47">
        <v>21567</v>
      </c>
      <c r="G163" s="47">
        <v>6226</v>
      </c>
      <c r="H163" s="48">
        <v>64</v>
      </c>
      <c r="I163" s="42">
        <v>126448497</v>
      </c>
      <c r="J163" s="8">
        <f>Table1[[#This Row],[Population]]/Table1[[#This Row],[Cases]]</f>
        <v>4392.7081567428613</v>
      </c>
      <c r="K163" s="8">
        <f>Table1[[#This Row],[Population]]/Table1[[#This Row],[Deaths]]</f>
        <v>127339.87613293051</v>
      </c>
      <c r="L163" s="9">
        <f>Table1[[#This Row],[Deaths]]+Table1[[#This Row],[Active]]*Table1[[#This Row],[Death Rate]]</f>
        <v>1207.7716945737511</v>
      </c>
      <c r="M163" s="10">
        <f>Table1[[#This Row],[Deaths]]/Table1[[#This Row],[Cases]]</f>
        <v>3.4495935524213157E-2</v>
      </c>
      <c r="N163" s="15">
        <f>Table1[[#This Row],[Cases]]/Table1[[#This Row],[Deaths]]</f>
        <v>28.988922457200403</v>
      </c>
      <c r="O163" s="12">
        <f>Table1[[#This Row],[Cases]]/Table1[[#This Row],[Population]]</f>
        <v>2.276499972949461E-4</v>
      </c>
      <c r="P163" s="12">
        <f>Table1[[#This Row],[Deaths]]/Table1[[#This Row],[Population]]</f>
        <v>7.8529996287737612E-6</v>
      </c>
      <c r="Q163" s="13">
        <f>1-Table1[[#This Row],[Deaths]]/Table1[[#This Row],[Ex(Deaths)]]</f>
        <v>0.17782474580143948</v>
      </c>
      <c r="R163" s="14">
        <f>Table1[[#This Row],[Active]]/Table1[[#This Row],[Cases]]</f>
        <v>0.2162856944347947</v>
      </c>
      <c r="S163" s="12">
        <f>Table1[[#This Row],[Percent Infected]]*Table1[[#This Row],[% Active]]</f>
        <v>4.9237437753016551E-5</v>
      </c>
      <c r="T163" s="8">
        <f>1/Table1[[#This Row],[Percent Actively Infected]]</f>
        <v>20309.748955991006</v>
      </c>
      <c r="AMC163"/>
    </row>
    <row r="164" spans="1:1017" s="1" customFormat="1" ht="16.5" thickBot="1" x14ac:dyDescent="0.3">
      <c r="A164" s="1">
        <v>163</v>
      </c>
      <c r="B164" s="51">
        <v>129</v>
      </c>
      <c r="C164" s="42" t="s">
        <v>170</v>
      </c>
      <c r="D164" s="47">
        <v>1768</v>
      </c>
      <c r="E164" s="48">
        <v>66</v>
      </c>
      <c r="F164" s="47">
        <v>1297</v>
      </c>
      <c r="G164" s="48">
        <v>405</v>
      </c>
      <c r="H164" s="48"/>
      <c r="I164" s="42">
        <v>7986840</v>
      </c>
      <c r="J164" s="8">
        <f>Table1[[#This Row],[Population]]/Table1[[#This Row],[Cases]]</f>
        <v>4517.443438914027</v>
      </c>
      <c r="K164" s="8">
        <f>Table1[[#This Row],[Population]]/Table1[[#This Row],[Deaths]]</f>
        <v>121012.72727272728</v>
      </c>
      <c r="L164" s="9">
        <f>Table1[[#This Row],[Deaths]]+Table1[[#This Row],[Active]]*Table1[[#This Row],[Death Rate]]</f>
        <v>81.118778280542983</v>
      </c>
      <c r="M164" s="10">
        <f>Table1[[#This Row],[Deaths]]/Table1[[#This Row],[Cases]]</f>
        <v>3.7330316742081447E-2</v>
      </c>
      <c r="N164" s="11">
        <f>Table1[[#This Row],[Cases]]/Table1[[#This Row],[Deaths]]</f>
        <v>26.787878787878789</v>
      </c>
      <c r="O164" s="12">
        <f>Table1[[#This Row],[Cases]]/Table1[[#This Row],[Population]]</f>
        <v>2.2136414401690782E-4</v>
      </c>
      <c r="P164" s="12">
        <f>Table1[[#This Row],[Deaths]]/Table1[[#This Row],[Population]]</f>
        <v>8.2635936114909019E-6</v>
      </c>
      <c r="Q164" s="13">
        <f>1-Table1[[#This Row],[Deaths]]/Table1[[#This Row],[Ex(Deaths)]]</f>
        <v>0.18637827887712832</v>
      </c>
      <c r="R164" s="14">
        <f>Table1[[#This Row],[Active]]/Table1[[#This Row],[Cases]]</f>
        <v>0.22907239819004524</v>
      </c>
      <c r="S164" s="12">
        <f>Table1[[#This Row],[Percent Infected]]*Table1[[#This Row],[% Active]]</f>
        <v>5.0708415343239629E-5</v>
      </c>
      <c r="T164" s="8">
        <f>1/Table1[[#This Row],[Percent Actively Infected]]</f>
        <v>19720.592592592591</v>
      </c>
      <c r="AMC164"/>
    </row>
    <row r="165" spans="1:1017" s="1" customFormat="1" ht="16.5" thickBot="1" x14ac:dyDescent="0.3">
      <c r="A165" s="1">
        <v>164</v>
      </c>
      <c r="B165" s="51">
        <v>191</v>
      </c>
      <c r="C165" s="42" t="s">
        <v>141</v>
      </c>
      <c r="D165" s="48">
        <v>62</v>
      </c>
      <c r="E165" s="48"/>
      <c r="F165" s="48">
        <v>60</v>
      </c>
      <c r="G165" s="48">
        <v>2</v>
      </c>
      <c r="H165" s="48"/>
      <c r="I165" s="42">
        <v>281018</v>
      </c>
      <c r="J165" s="8">
        <f>Table1[[#This Row],[Population]]/Table1[[#This Row],[Cases]]</f>
        <v>4532.5483870967746</v>
      </c>
      <c r="K165" s="8" t="e">
        <f>Table1[[#This Row],[Population]]/Table1[[#This Row],[Deaths]]</f>
        <v>#DIV/0!</v>
      </c>
      <c r="L165" s="9">
        <f>Table1[[#This Row],[Deaths]]+Table1[[#This Row],[Active]]*Table1[[#This Row],[Death Rate]]</f>
        <v>0</v>
      </c>
      <c r="M165" s="10">
        <f>Table1[[#This Row],[Deaths]]/Table1[[#This Row],[Cases]]</f>
        <v>0</v>
      </c>
      <c r="N165" s="11" t="e">
        <f>Table1[[#This Row],[Cases]]/Table1[[#This Row],[Deaths]]</f>
        <v>#DIV/0!</v>
      </c>
      <c r="O165" s="12">
        <f>Table1[[#This Row],[Cases]]/Table1[[#This Row],[Population]]</f>
        <v>2.2062643674070699E-4</v>
      </c>
      <c r="P165" s="12">
        <f>Table1[[#This Row],[Deaths]]/Table1[[#This Row],[Population]]</f>
        <v>0</v>
      </c>
      <c r="Q165" s="13" t="e">
        <f>1-Table1[[#This Row],[Deaths]]/Table1[[#This Row],[Ex(Deaths)]]</f>
        <v>#DIV/0!</v>
      </c>
      <c r="R165" s="14">
        <f>Table1[[#This Row],[Active]]/Table1[[#This Row],[Cases]]</f>
        <v>3.2258064516129031E-2</v>
      </c>
      <c r="S165" s="12">
        <f>Table1[[#This Row],[Percent Infected]]*Table1[[#This Row],[% Active]]</f>
        <v>7.1169818303453863E-6</v>
      </c>
      <c r="T165" s="8">
        <f>1/Table1[[#This Row],[Percent Actively Infected]]</f>
        <v>140509.00000000003</v>
      </c>
      <c r="AMC165"/>
    </row>
    <row r="166" spans="1:1017" s="1" customFormat="1" ht="16.5" thickBot="1" x14ac:dyDescent="0.3">
      <c r="A166" s="1">
        <v>165</v>
      </c>
      <c r="B166" s="51">
        <v>116</v>
      </c>
      <c r="C166" s="42" t="s">
        <v>153</v>
      </c>
      <c r="D166" s="47">
        <v>2495</v>
      </c>
      <c r="E166" s="48">
        <v>87</v>
      </c>
      <c r="F166" s="47">
        <v>2349</v>
      </c>
      <c r="G166" s="48">
        <v>59</v>
      </c>
      <c r="H166" s="48">
        <v>1</v>
      </c>
      <c r="I166" s="42">
        <v>11326125</v>
      </c>
      <c r="J166" s="8">
        <f>Table1[[#This Row],[Population]]/Table1[[#This Row],[Cases]]</f>
        <v>4539.5290581162326</v>
      </c>
      <c r="K166" s="8">
        <f>Table1[[#This Row],[Population]]/Table1[[#This Row],[Deaths]]</f>
        <v>130185.3448275862</v>
      </c>
      <c r="L166" s="9">
        <f>Table1[[#This Row],[Deaths]]+Table1[[#This Row],[Active]]*Table1[[#This Row],[Death Rate]]</f>
        <v>89.057314629258514</v>
      </c>
      <c r="M166" s="10">
        <f>Table1[[#This Row],[Deaths]]/Table1[[#This Row],[Cases]]</f>
        <v>3.4869739478957919E-2</v>
      </c>
      <c r="N166" s="11">
        <f>Table1[[#This Row],[Cases]]/Table1[[#This Row],[Deaths]]</f>
        <v>28.678160919540229</v>
      </c>
      <c r="O166" s="12">
        <f>Table1[[#This Row],[Cases]]/Table1[[#This Row],[Population]]</f>
        <v>2.2028716794137448E-4</v>
      </c>
      <c r="P166" s="12">
        <f>Table1[[#This Row],[Deaths]]/Table1[[#This Row],[Population]]</f>
        <v>7.6813561566731774E-6</v>
      </c>
      <c r="Q166" s="13">
        <f>1-Table1[[#This Row],[Deaths]]/Table1[[#This Row],[Ex(Deaths)]]</f>
        <v>2.3101018010963204E-2</v>
      </c>
      <c r="R166" s="14">
        <f>Table1[[#This Row],[Active]]/Table1[[#This Row],[Cases]]</f>
        <v>2.3647294589178358E-2</v>
      </c>
      <c r="S166" s="12">
        <f>Table1[[#This Row],[Percent Infected]]*Table1[[#This Row],[% Active]]</f>
        <v>5.2091955545254889E-6</v>
      </c>
      <c r="T166" s="8">
        <f>1/Table1[[#This Row],[Percent Actively Infected]]</f>
        <v>191968.22033898305</v>
      </c>
      <c r="AMC166"/>
    </row>
    <row r="167" spans="1:1017" s="1" customFormat="1" ht="16.5" thickBot="1" x14ac:dyDescent="0.3">
      <c r="A167" s="1">
        <v>166</v>
      </c>
      <c r="B167" s="53">
        <v>200</v>
      </c>
      <c r="C167" s="42" t="s">
        <v>144</v>
      </c>
      <c r="D167" s="50">
        <v>23</v>
      </c>
      <c r="E167" s="50"/>
      <c r="F167" s="50">
        <v>23</v>
      </c>
      <c r="G167" s="50">
        <v>0</v>
      </c>
      <c r="H167" s="50"/>
      <c r="I167" s="42">
        <v>112559</v>
      </c>
      <c r="J167" s="8">
        <f>Table1[[#This Row],[Population]]/Table1[[#This Row],[Cases]]</f>
        <v>4893.869565217391</v>
      </c>
      <c r="K167" s="8" t="e">
        <f>Table1[[#This Row],[Population]]/Table1[[#This Row],[Deaths]]</f>
        <v>#DIV/0!</v>
      </c>
      <c r="L167" s="9">
        <f>Table1[[#This Row],[Deaths]]+Table1[[#This Row],[Active]]*Table1[[#This Row],[Death Rate]]</f>
        <v>0</v>
      </c>
      <c r="M167" s="10">
        <f>Table1[[#This Row],[Deaths]]/Table1[[#This Row],[Cases]]</f>
        <v>0</v>
      </c>
      <c r="N167" s="11" t="e">
        <f>Table1[[#This Row],[Cases]]/Table1[[#This Row],[Deaths]]</f>
        <v>#DIV/0!</v>
      </c>
      <c r="O167" s="12">
        <f>Table1[[#This Row],[Cases]]/Table1[[#This Row],[Population]]</f>
        <v>2.0433728089268738E-4</v>
      </c>
      <c r="P167" s="12">
        <f>Table1[[#This Row],[Deaths]]/Table1[[#This Row],[Population]]</f>
        <v>0</v>
      </c>
      <c r="Q167" s="13" t="e">
        <f>1-Table1[[#This Row],[Deaths]]/Table1[[#This Row],[Ex(Deaths)]]</f>
        <v>#DIV/0!</v>
      </c>
      <c r="R167" s="14">
        <f>Table1[[#This Row],[Active]]/Table1[[#This Row],[Cases]]</f>
        <v>0</v>
      </c>
      <c r="S167" s="12">
        <f>Table1[[#This Row],[Percent Infected]]*Table1[[#This Row],[% Active]]</f>
        <v>0</v>
      </c>
      <c r="T167" s="8" t="e">
        <f>1/Table1[[#This Row],[Percent Actively Infected]]</f>
        <v>#DIV/0!</v>
      </c>
      <c r="AMC167"/>
    </row>
    <row r="168" spans="1:1017" s="1" customFormat="1" ht="16.5" thickBot="1" x14ac:dyDescent="0.3">
      <c r="A168" s="1">
        <v>167</v>
      </c>
      <c r="B168" s="51">
        <v>118</v>
      </c>
      <c r="C168" s="42" t="s">
        <v>182</v>
      </c>
      <c r="D168" s="47">
        <v>2258</v>
      </c>
      <c r="E168" s="48">
        <v>45</v>
      </c>
      <c r="F168" s="47">
        <v>1175</v>
      </c>
      <c r="G168" s="47">
        <v>1038</v>
      </c>
      <c r="H168" s="48"/>
      <c r="I168" s="42">
        <v>11202270</v>
      </c>
      <c r="J168" s="8">
        <f>Table1[[#This Row],[Population]]/Table1[[#This Row],[Cases]]</f>
        <v>4961.1470327723646</v>
      </c>
      <c r="K168" s="8">
        <f>Table1[[#This Row],[Population]]/Table1[[#This Row],[Deaths]]</f>
        <v>248939.33333333334</v>
      </c>
      <c r="L168" s="9">
        <f>Table1[[#This Row],[Deaths]]+Table1[[#This Row],[Active]]*Table1[[#This Row],[Death Rate]]</f>
        <v>65.686448184233839</v>
      </c>
      <c r="M168" s="10">
        <f>Table1[[#This Row],[Deaths]]/Table1[[#This Row],[Cases]]</f>
        <v>1.9929140832595216E-2</v>
      </c>
      <c r="N168" s="11">
        <f>Table1[[#This Row],[Cases]]/Table1[[#This Row],[Deaths]]</f>
        <v>50.177777777777777</v>
      </c>
      <c r="O168" s="12">
        <f>Table1[[#This Row],[Cases]]/Table1[[#This Row],[Population]]</f>
        <v>2.0156628968950044E-4</v>
      </c>
      <c r="P168" s="12">
        <f>Table1[[#This Row],[Deaths]]/Table1[[#This Row],[Population]]</f>
        <v>4.0170429743257393E-6</v>
      </c>
      <c r="Q168" s="13">
        <f>1-Table1[[#This Row],[Deaths]]/Table1[[#This Row],[Ex(Deaths)]]</f>
        <v>0.31492718446601942</v>
      </c>
      <c r="R168" s="14">
        <f>Table1[[#This Row],[Active]]/Table1[[#This Row],[Cases]]</f>
        <v>0.45969884853852966</v>
      </c>
      <c r="S168" s="12">
        <f>Table1[[#This Row],[Percent Infected]]*Table1[[#This Row],[% Active]]</f>
        <v>9.2659791274447056E-5</v>
      </c>
      <c r="T168" s="8">
        <f>1/Table1[[#This Row],[Percent Actively Infected]]</f>
        <v>10792.167630057804</v>
      </c>
      <c r="AMC168"/>
    </row>
    <row r="169" spans="1:1017" s="1" customFormat="1" ht="16.5" thickBot="1" x14ac:dyDescent="0.3">
      <c r="A169" s="1">
        <v>168</v>
      </c>
      <c r="B169" s="51">
        <v>107</v>
      </c>
      <c r="C169" s="42" t="s">
        <v>166</v>
      </c>
      <c r="D169" s="47">
        <v>3178</v>
      </c>
      <c r="E169" s="48">
        <v>93</v>
      </c>
      <c r="F169" s="47">
        <v>1521</v>
      </c>
      <c r="G169" s="47">
        <v>1564</v>
      </c>
      <c r="H169" s="48">
        <v>2</v>
      </c>
      <c r="I169" s="42">
        <v>15918419</v>
      </c>
      <c r="J169" s="8">
        <f>Table1[[#This Row],[Population]]/Table1[[#This Row],[Cases]]</f>
        <v>5008.9424166142226</v>
      </c>
      <c r="K169" s="8">
        <f>Table1[[#This Row],[Population]]/Table1[[#This Row],[Deaths]]</f>
        <v>171165.79569892472</v>
      </c>
      <c r="L169" s="9">
        <f>Table1[[#This Row],[Deaths]]+Table1[[#This Row],[Active]]*Table1[[#This Row],[Death Rate]]</f>
        <v>138.76840780365009</v>
      </c>
      <c r="M169" s="10">
        <f>Table1[[#This Row],[Deaths]]/Table1[[#This Row],[Cases]]</f>
        <v>2.9263687853996224E-2</v>
      </c>
      <c r="N169" s="15">
        <f>Table1[[#This Row],[Cases]]/Table1[[#This Row],[Deaths]]</f>
        <v>34.172043010752688</v>
      </c>
      <c r="O169" s="12">
        <f>Table1[[#This Row],[Cases]]/Table1[[#This Row],[Population]]</f>
        <v>1.9964294192783844E-4</v>
      </c>
      <c r="P169" s="12">
        <f>Table1[[#This Row],[Deaths]]/Table1[[#This Row],[Population]]</f>
        <v>5.8422887348297594E-6</v>
      </c>
      <c r="Q169" s="13">
        <f>1-Table1[[#This Row],[Deaths]]/Table1[[#This Row],[Ex(Deaths)]]</f>
        <v>0.32981864192323918</v>
      </c>
      <c r="R169" s="14">
        <f>Table1[[#This Row],[Active]]/Table1[[#This Row],[Cases]]</f>
        <v>0.49213341724354942</v>
      </c>
      <c r="S169" s="12">
        <f>Table1[[#This Row],[Percent Infected]]*Table1[[#This Row],[% Active]]</f>
        <v>9.8250963239502622E-5</v>
      </c>
      <c r="T169" s="8">
        <f>1/Table1[[#This Row],[Percent Actively Infected]]</f>
        <v>10178.017263427109</v>
      </c>
      <c r="AMC169"/>
    </row>
    <row r="170" spans="1:1017" s="1" customFormat="1" ht="16.5" thickBot="1" x14ac:dyDescent="0.3">
      <c r="A170" s="1">
        <v>169</v>
      </c>
      <c r="B170" s="51">
        <v>47</v>
      </c>
      <c r="C170" s="42" t="s">
        <v>198</v>
      </c>
      <c r="D170" s="47">
        <v>39977</v>
      </c>
      <c r="E170" s="48">
        <v>856</v>
      </c>
      <c r="F170" s="47">
        <v>16948</v>
      </c>
      <c r="G170" s="47">
        <v>22173</v>
      </c>
      <c r="H170" s="48">
        <v>7</v>
      </c>
      <c r="I170" s="42">
        <v>206438279</v>
      </c>
      <c r="J170" s="8">
        <f>Table1[[#This Row],[Population]]/Table1[[#This Row],[Cases]]</f>
        <v>5163.9262325837353</v>
      </c>
      <c r="K170" s="8">
        <f>Table1[[#This Row],[Population]]/Table1[[#This Row],[Deaths]]</f>
        <v>241166.21378504674</v>
      </c>
      <c r="L170" s="9">
        <f>Table1[[#This Row],[Deaths]]+Table1[[#This Row],[Active]]*Table1[[#This Row],[Death Rate]]</f>
        <v>1330.775195737549</v>
      </c>
      <c r="M170" s="10">
        <f>Table1[[#This Row],[Deaths]]/Table1[[#This Row],[Cases]]</f>
        <v>2.1412312079445682E-2</v>
      </c>
      <c r="N170" s="11">
        <f>Table1[[#This Row],[Cases]]/Table1[[#This Row],[Deaths]]</f>
        <v>46.70210280373832</v>
      </c>
      <c r="O170" s="12">
        <f>Table1[[#This Row],[Cases]]/Table1[[#This Row],[Population]]</f>
        <v>1.9365110091815868E-4</v>
      </c>
      <c r="P170" s="12">
        <f>Table1[[#This Row],[Deaths]]/Table1[[#This Row],[Population]]</f>
        <v>4.1465178073878436E-6</v>
      </c>
      <c r="Q170" s="13">
        <f>1-Table1[[#This Row],[Deaths]]/Table1[[#This Row],[Ex(Deaths)]]</f>
        <v>0.35676588897827832</v>
      </c>
      <c r="R170" s="14">
        <f>Table1[[#This Row],[Active]]/Table1[[#This Row],[Cases]]</f>
        <v>0.55464392025414611</v>
      </c>
      <c r="S170" s="12">
        <f>Table1[[#This Row],[Percent Infected]]*Table1[[#This Row],[% Active]]</f>
        <v>1.0740740577477881E-4</v>
      </c>
      <c r="T170" s="8">
        <f>1/Table1[[#This Row],[Percent Actively Infected]]</f>
        <v>9310.3449691065725</v>
      </c>
      <c r="AMC170"/>
    </row>
    <row r="171" spans="1:1017" s="1" customFormat="1" ht="16.5" thickBot="1" x14ac:dyDescent="0.3">
      <c r="A171" s="1">
        <v>170</v>
      </c>
      <c r="B171" s="51">
        <v>103</v>
      </c>
      <c r="C171" s="42" t="s">
        <v>223</v>
      </c>
      <c r="D171" s="47">
        <v>3557</v>
      </c>
      <c r="E171" s="48">
        <v>94</v>
      </c>
      <c r="F171" s="47">
        <v>1585</v>
      </c>
      <c r="G171" s="47">
        <v>1878</v>
      </c>
      <c r="H171" s="48">
        <v>4</v>
      </c>
      <c r="I171" s="42">
        <v>19158578</v>
      </c>
      <c r="J171" s="8">
        <f>Table1[[#This Row],[Population]]/Table1[[#This Row],[Cases]]</f>
        <v>5386.1619342142258</v>
      </c>
      <c r="K171" s="8">
        <f>Table1[[#This Row],[Population]]/Table1[[#This Row],[Deaths]]</f>
        <v>203814.6595744681</v>
      </c>
      <c r="L171" s="9">
        <f>Table1[[#This Row],[Deaths]]+Table1[[#This Row],[Active]]*Table1[[#This Row],[Death Rate]]</f>
        <v>143.62946303064382</v>
      </c>
      <c r="M171" s="10">
        <f>Table1[[#This Row],[Deaths]]/Table1[[#This Row],[Cases]]</f>
        <v>2.6426764127073378E-2</v>
      </c>
      <c r="N171" s="11">
        <f>Table1[[#This Row],[Cases]]/Table1[[#This Row],[Deaths]]</f>
        <v>37.840425531914896</v>
      </c>
      <c r="O171" s="12">
        <f>Table1[[#This Row],[Cases]]/Table1[[#This Row],[Population]]</f>
        <v>1.8566096085001715E-4</v>
      </c>
      <c r="P171" s="12">
        <f>Table1[[#This Row],[Deaths]]/Table1[[#This Row],[Population]]</f>
        <v>4.9064184199892076E-6</v>
      </c>
      <c r="Q171" s="13">
        <f>1-Table1[[#This Row],[Deaths]]/Table1[[#This Row],[Ex(Deaths)]]</f>
        <v>0.34553817847286117</v>
      </c>
      <c r="R171" s="14">
        <f>Table1[[#This Row],[Active]]/Table1[[#This Row],[Cases]]</f>
        <v>0.52797301096429572</v>
      </c>
      <c r="S171" s="12">
        <f>Table1[[#This Row],[Percent Infected]]*Table1[[#This Row],[% Active]]</f>
        <v>9.8023976518507786E-5</v>
      </c>
      <c r="T171" s="8">
        <f>1/Table1[[#This Row],[Percent Actively Infected]]</f>
        <v>10201.585729499468</v>
      </c>
      <c r="AMC171"/>
    </row>
    <row r="172" spans="1:1017" s="1" customFormat="1" ht="16.5" thickBot="1" x14ac:dyDescent="0.3">
      <c r="A172" s="1">
        <v>171</v>
      </c>
      <c r="B172" s="51">
        <v>196</v>
      </c>
      <c r="C172" s="42" t="s">
        <v>164</v>
      </c>
      <c r="D172" s="48">
        <v>29</v>
      </c>
      <c r="E172" s="48">
        <v>1</v>
      </c>
      <c r="F172" s="48">
        <v>24</v>
      </c>
      <c r="G172" s="48">
        <v>4</v>
      </c>
      <c r="H172" s="48"/>
      <c r="I172" s="42">
        <v>164139</v>
      </c>
      <c r="J172" s="8">
        <f>Table1[[#This Row],[Population]]/Table1[[#This Row],[Cases]]</f>
        <v>5659.9655172413795</v>
      </c>
      <c r="K172" s="8">
        <f>Table1[[#This Row],[Population]]/Table1[[#This Row],[Deaths]]</f>
        <v>164139</v>
      </c>
      <c r="L172" s="9">
        <f>Table1[[#This Row],[Deaths]]+Table1[[#This Row],[Active]]*Table1[[#This Row],[Death Rate]]</f>
        <v>1.1379310344827587</v>
      </c>
      <c r="M172" s="10">
        <f>Table1[[#This Row],[Deaths]]/Table1[[#This Row],[Cases]]</f>
        <v>3.4482758620689655E-2</v>
      </c>
      <c r="N172" s="11">
        <f>Table1[[#This Row],[Cases]]/Table1[[#This Row],[Deaths]]</f>
        <v>29</v>
      </c>
      <c r="O172" s="12">
        <f>Table1[[#This Row],[Cases]]/Table1[[#This Row],[Population]]</f>
        <v>1.766795216249642E-4</v>
      </c>
      <c r="P172" s="12">
        <f>Table1[[#This Row],[Deaths]]/Table1[[#This Row],[Population]]</f>
        <v>6.0923972974125586E-6</v>
      </c>
      <c r="Q172" s="13">
        <f>1-Table1[[#This Row],[Deaths]]/Table1[[#This Row],[Ex(Deaths)]]</f>
        <v>0.12121212121212122</v>
      </c>
      <c r="R172" s="14">
        <f>Table1[[#This Row],[Active]]/Table1[[#This Row],[Cases]]</f>
        <v>0.13793103448275862</v>
      </c>
      <c r="S172" s="12">
        <f>Table1[[#This Row],[Percent Infected]]*Table1[[#This Row],[% Active]]</f>
        <v>2.4369589189650234E-5</v>
      </c>
      <c r="T172" s="8">
        <f>1/Table1[[#This Row],[Percent Actively Infected]]</f>
        <v>41034.75</v>
      </c>
      <c r="AMC172"/>
    </row>
    <row r="173" spans="1:1017" s="1" customFormat="1" ht="16.5" thickBot="1" x14ac:dyDescent="0.3">
      <c r="A173" s="1">
        <v>172</v>
      </c>
      <c r="B173" s="51">
        <v>117</v>
      </c>
      <c r="C173" s="42" t="s">
        <v>224</v>
      </c>
      <c r="D173" s="47">
        <v>2434</v>
      </c>
      <c r="E173" s="48">
        <v>34</v>
      </c>
      <c r="F173" s="48">
        <v>518</v>
      </c>
      <c r="G173" s="47">
        <v>1882</v>
      </c>
      <c r="H173" s="48"/>
      <c r="I173" s="42">
        <v>14876706</v>
      </c>
      <c r="J173" s="8">
        <f>Table1[[#This Row],[Population]]/Table1[[#This Row],[Cases]]</f>
        <v>6112.0402629416594</v>
      </c>
      <c r="K173" s="8">
        <f>Table1[[#This Row],[Population]]/Table1[[#This Row],[Deaths]]</f>
        <v>437550.17647058825</v>
      </c>
      <c r="L173" s="9">
        <f>Table1[[#This Row],[Deaths]]+Table1[[#This Row],[Active]]*Table1[[#This Row],[Death Rate]]</f>
        <v>60.289235825801157</v>
      </c>
      <c r="M173" s="10">
        <f>Table1[[#This Row],[Deaths]]/Table1[[#This Row],[Cases]]</f>
        <v>1.3968775677896467E-2</v>
      </c>
      <c r="N173" s="11">
        <f>Table1[[#This Row],[Cases]]/Table1[[#This Row],[Deaths]]</f>
        <v>71.588235294117652</v>
      </c>
      <c r="O173" s="12">
        <f>Table1[[#This Row],[Cases]]/Table1[[#This Row],[Population]]</f>
        <v>1.636114876505592E-4</v>
      </c>
      <c r="P173" s="12">
        <f>Table1[[#This Row],[Deaths]]/Table1[[#This Row],[Population]]</f>
        <v>2.2854521693175895E-6</v>
      </c>
      <c r="Q173" s="13">
        <f>1-Table1[[#This Row],[Deaths]]/Table1[[#This Row],[Ex(Deaths)]]</f>
        <v>0.43605189990732163</v>
      </c>
      <c r="R173" s="14">
        <f>Table1[[#This Row],[Active]]/Table1[[#This Row],[Cases]]</f>
        <v>0.77321281840591616</v>
      </c>
      <c r="S173" s="12">
        <f>Table1[[#This Row],[Percent Infected]]*Table1[[#This Row],[% Active]]</f>
        <v>1.2650649948987364E-4</v>
      </c>
      <c r="T173" s="8">
        <f>1/Table1[[#This Row],[Percent Actively Infected]]</f>
        <v>7904.7321997874596</v>
      </c>
      <c r="AMC173"/>
    </row>
    <row r="174" spans="1:1017" s="1" customFormat="1" ht="16.5" thickBot="1" x14ac:dyDescent="0.3">
      <c r="A174" s="1">
        <v>173</v>
      </c>
      <c r="B174" s="51">
        <v>128</v>
      </c>
      <c r="C174" s="42" t="s">
        <v>209</v>
      </c>
      <c r="D174" s="47">
        <v>1770</v>
      </c>
      <c r="E174" s="48">
        <v>35</v>
      </c>
      <c r="F174" s="47">
        <v>1036</v>
      </c>
      <c r="G174" s="48">
        <v>699</v>
      </c>
      <c r="H174" s="48">
        <v>1</v>
      </c>
      <c r="I174" s="42">
        <v>12141530</v>
      </c>
      <c r="J174" s="8">
        <f>Table1[[#This Row],[Population]]/Table1[[#This Row],[Cases]]</f>
        <v>6859.6214689265535</v>
      </c>
      <c r="K174" s="8">
        <f>Table1[[#This Row],[Population]]/Table1[[#This Row],[Deaths]]</f>
        <v>346900.85714285716</v>
      </c>
      <c r="L174" s="9">
        <f>Table1[[#This Row],[Deaths]]+Table1[[#This Row],[Active]]*Table1[[#This Row],[Death Rate]]</f>
        <v>48.822033898305087</v>
      </c>
      <c r="M174" s="10">
        <f>Table1[[#This Row],[Deaths]]/Table1[[#This Row],[Cases]]</f>
        <v>1.977401129943503E-2</v>
      </c>
      <c r="N174" s="11">
        <f>Table1[[#This Row],[Cases]]/Table1[[#This Row],[Deaths]]</f>
        <v>50.571428571428569</v>
      </c>
      <c r="O174" s="12">
        <f>Table1[[#This Row],[Cases]]/Table1[[#This Row],[Population]]</f>
        <v>1.4578063884864592E-4</v>
      </c>
      <c r="P174" s="12">
        <f>Table1[[#This Row],[Deaths]]/Table1[[#This Row],[Population]]</f>
        <v>2.8826679998319816E-6</v>
      </c>
      <c r="Q174" s="13">
        <f>1-Table1[[#This Row],[Deaths]]/Table1[[#This Row],[Ex(Deaths)]]</f>
        <v>0.28311057108140947</v>
      </c>
      <c r="R174" s="14">
        <f>Table1[[#This Row],[Active]]/Table1[[#This Row],[Cases]]</f>
        <v>0.39491525423728813</v>
      </c>
      <c r="S174" s="12">
        <f>Table1[[#This Row],[Percent Infected]]*Table1[[#This Row],[% Active]]</f>
        <v>5.7570998053787286E-5</v>
      </c>
      <c r="T174" s="8">
        <f>1/Table1[[#This Row],[Percent Actively Infected]]</f>
        <v>17369.85693848355</v>
      </c>
      <c r="AMC174"/>
    </row>
    <row r="175" spans="1:1017" s="1" customFormat="1" ht="16.5" thickBot="1" x14ac:dyDescent="0.3">
      <c r="A175" s="1">
        <v>174</v>
      </c>
      <c r="B175" s="51">
        <v>130</v>
      </c>
      <c r="C175" s="42" t="s">
        <v>200</v>
      </c>
      <c r="D175" s="47">
        <v>1752</v>
      </c>
      <c r="E175" s="48">
        <v>5</v>
      </c>
      <c r="F175" s="48">
        <v>907</v>
      </c>
      <c r="G175" s="48">
        <v>840</v>
      </c>
      <c r="H175" s="48"/>
      <c r="I175" s="42">
        <v>12970988</v>
      </c>
      <c r="J175" s="8">
        <f>Table1[[#This Row],[Population]]/Table1[[#This Row],[Cases]]</f>
        <v>7403.5319634703201</v>
      </c>
      <c r="K175" s="8">
        <f>Table1[[#This Row],[Population]]/Table1[[#This Row],[Deaths]]</f>
        <v>2594197.6</v>
      </c>
      <c r="L175" s="9">
        <f>Table1[[#This Row],[Deaths]]+Table1[[#This Row],[Active]]*Table1[[#This Row],[Death Rate]]</f>
        <v>7.3972602739726021</v>
      </c>
      <c r="M175" s="10">
        <f>Table1[[#This Row],[Deaths]]/Table1[[#This Row],[Cases]]</f>
        <v>2.8538812785388126E-3</v>
      </c>
      <c r="N175" s="11">
        <f>Table1[[#This Row],[Cases]]/Table1[[#This Row],[Deaths]]</f>
        <v>350.4</v>
      </c>
      <c r="O175" s="12">
        <f>Table1[[#This Row],[Cases]]/Table1[[#This Row],[Population]]</f>
        <v>1.3507066693763036E-4</v>
      </c>
      <c r="P175" s="12">
        <f>Table1[[#This Row],[Deaths]]/Table1[[#This Row],[Population]]</f>
        <v>3.8547564765305464E-7</v>
      </c>
      <c r="Q175" s="13">
        <f>1-Table1[[#This Row],[Deaths]]/Table1[[#This Row],[Ex(Deaths)]]</f>
        <v>0.32407407407407407</v>
      </c>
      <c r="R175" s="14">
        <f>Table1[[#This Row],[Active]]/Table1[[#This Row],[Cases]]</f>
        <v>0.47945205479452052</v>
      </c>
      <c r="S175" s="12">
        <f>Table1[[#This Row],[Percent Infected]]*Table1[[#This Row],[% Active]]</f>
        <v>6.4759908805713188E-5</v>
      </c>
      <c r="T175" s="8">
        <f>1/Table1[[#This Row],[Percent Actively Infected]]</f>
        <v>15441.652380952379</v>
      </c>
      <c r="AMC175"/>
    </row>
    <row r="176" spans="1:1017" s="1" customFormat="1" ht="16.5" thickBot="1" x14ac:dyDescent="0.3">
      <c r="A176" s="1">
        <v>175</v>
      </c>
      <c r="B176" s="51">
        <v>198</v>
      </c>
      <c r="C176" s="42" t="s">
        <v>168</v>
      </c>
      <c r="D176" s="48">
        <v>24</v>
      </c>
      <c r="E176" s="48"/>
      <c r="F176" s="48">
        <v>22</v>
      </c>
      <c r="G176" s="48">
        <v>2</v>
      </c>
      <c r="H176" s="48"/>
      <c r="I176" s="42">
        <v>183685</v>
      </c>
      <c r="J176" s="8">
        <f>Table1[[#This Row],[Population]]/Table1[[#This Row],[Cases]]</f>
        <v>7653.541666666667</v>
      </c>
      <c r="K176" s="8" t="e">
        <f>Table1[[#This Row],[Population]]/Table1[[#This Row],[Deaths]]</f>
        <v>#DIV/0!</v>
      </c>
      <c r="L176" s="9">
        <f>Table1[[#This Row],[Deaths]]+Table1[[#This Row],[Active]]*Table1[[#This Row],[Death Rate]]</f>
        <v>0</v>
      </c>
      <c r="M176" s="10">
        <f>Table1[[#This Row],[Deaths]]/Table1[[#This Row],[Cases]]</f>
        <v>0</v>
      </c>
      <c r="N176" s="11" t="e">
        <f>Table1[[#This Row],[Cases]]/Table1[[#This Row],[Deaths]]</f>
        <v>#DIV/0!</v>
      </c>
      <c r="O176" s="12">
        <f>Table1[[#This Row],[Cases]]/Table1[[#This Row],[Population]]</f>
        <v>1.3065846421863515E-4</v>
      </c>
      <c r="P176" s="12">
        <f>Table1[[#This Row],[Deaths]]/Table1[[#This Row],[Population]]</f>
        <v>0</v>
      </c>
      <c r="Q176" s="13" t="e">
        <f>1-Table1[[#This Row],[Deaths]]/Table1[[#This Row],[Ex(Deaths)]]</f>
        <v>#DIV/0!</v>
      </c>
      <c r="R176" s="14">
        <f>Table1[[#This Row],[Active]]/Table1[[#This Row],[Cases]]</f>
        <v>8.3333333333333329E-2</v>
      </c>
      <c r="S176" s="12">
        <f>Table1[[#This Row],[Percent Infected]]*Table1[[#This Row],[% Active]]</f>
        <v>1.0888205351552929E-5</v>
      </c>
      <c r="T176" s="8">
        <f>1/Table1[[#This Row],[Percent Actively Infected]]</f>
        <v>91842.500000000015</v>
      </c>
      <c r="AMC176"/>
    </row>
    <row r="177" spans="1:1017" s="1" customFormat="1" ht="16.5" thickBot="1" x14ac:dyDescent="0.3">
      <c r="A177" s="1">
        <v>176</v>
      </c>
      <c r="B177" s="51">
        <v>111</v>
      </c>
      <c r="C177" s="42" t="s">
        <v>184</v>
      </c>
      <c r="D177" s="47">
        <v>2777</v>
      </c>
      <c r="E177" s="48">
        <v>11</v>
      </c>
      <c r="F177" s="47">
        <v>2106</v>
      </c>
      <c r="G177" s="48">
        <v>660</v>
      </c>
      <c r="H177" s="48">
        <v>1</v>
      </c>
      <c r="I177" s="42">
        <v>21419425</v>
      </c>
      <c r="J177" s="8">
        <f>Table1[[#This Row],[Population]]/Table1[[#This Row],[Cases]]</f>
        <v>7713.1526827511707</v>
      </c>
      <c r="K177" s="8">
        <f>Table1[[#This Row],[Population]]/Table1[[#This Row],[Deaths]]</f>
        <v>1947220.4545454546</v>
      </c>
      <c r="L177" s="9">
        <f>Table1[[#This Row],[Deaths]]+Table1[[#This Row],[Active]]*Table1[[#This Row],[Death Rate]]</f>
        <v>13.614332012963629</v>
      </c>
      <c r="M177" s="10">
        <f>Table1[[#This Row],[Deaths]]/Table1[[#This Row],[Cases]]</f>
        <v>3.9611091105509547E-3</v>
      </c>
      <c r="N177" s="11">
        <f>Table1[[#This Row],[Cases]]/Table1[[#This Row],[Deaths]]</f>
        <v>252.45454545454547</v>
      </c>
      <c r="O177" s="12">
        <f>Table1[[#This Row],[Cases]]/Table1[[#This Row],[Population]]</f>
        <v>1.2964867170804073E-4</v>
      </c>
      <c r="P177" s="12">
        <f>Table1[[#This Row],[Deaths]]/Table1[[#This Row],[Population]]</f>
        <v>5.1355253467354982E-7</v>
      </c>
      <c r="Q177" s="13">
        <f>1-Table1[[#This Row],[Deaths]]/Table1[[#This Row],[Ex(Deaths)]]</f>
        <v>0.19202793133546692</v>
      </c>
      <c r="R177" s="14">
        <f>Table1[[#This Row],[Active]]/Table1[[#This Row],[Cases]]</f>
        <v>0.23766654663305725</v>
      </c>
      <c r="S177" s="12">
        <f>Table1[[#This Row],[Percent Infected]]*Table1[[#This Row],[% Active]]</f>
        <v>3.0813152080412992E-5</v>
      </c>
      <c r="T177" s="8">
        <f>1/Table1[[#This Row],[Percent Actively Infected]]</f>
        <v>32453.67424242424</v>
      </c>
      <c r="AMC177"/>
    </row>
    <row r="178" spans="1:1017" s="1" customFormat="1" ht="16.5" thickBot="1" x14ac:dyDescent="0.3">
      <c r="A178" s="1">
        <v>177</v>
      </c>
      <c r="B178" s="51">
        <v>115</v>
      </c>
      <c r="C178" s="42" t="s">
        <v>187</v>
      </c>
      <c r="D178" s="47">
        <v>2510</v>
      </c>
      <c r="E178" s="48">
        <v>123</v>
      </c>
      <c r="F178" s="47">
        <v>1911</v>
      </c>
      <c r="G178" s="48">
        <v>476</v>
      </c>
      <c r="H178" s="48"/>
      <c r="I178" s="42">
        <v>20283699</v>
      </c>
      <c r="J178" s="8">
        <f>Table1[[#This Row],[Population]]/Table1[[#This Row],[Cases]]</f>
        <v>8081.1549800796811</v>
      </c>
      <c r="K178" s="8">
        <f>Table1[[#This Row],[Population]]/Table1[[#This Row],[Deaths]]</f>
        <v>164908.12195121951</v>
      </c>
      <c r="L178" s="9">
        <f>Table1[[#This Row],[Deaths]]+Table1[[#This Row],[Active]]*Table1[[#This Row],[Death Rate]]</f>
        <v>146.32589641434262</v>
      </c>
      <c r="M178" s="10">
        <f>Table1[[#This Row],[Deaths]]/Table1[[#This Row],[Cases]]</f>
        <v>4.9003984063745017E-2</v>
      </c>
      <c r="N178" s="11">
        <f>Table1[[#This Row],[Cases]]/Table1[[#This Row],[Deaths]]</f>
        <v>20.40650406504065</v>
      </c>
      <c r="O178" s="12">
        <f>Table1[[#This Row],[Cases]]/Table1[[#This Row],[Population]]</f>
        <v>1.2374468779092018E-4</v>
      </c>
      <c r="P178" s="12">
        <f>Table1[[#This Row],[Deaths]]/Table1[[#This Row],[Population]]</f>
        <v>6.0639827084793557E-6</v>
      </c>
      <c r="Q178" s="13">
        <f>1-Table1[[#This Row],[Deaths]]/Table1[[#This Row],[Ex(Deaths)]]</f>
        <v>0.15941058271935693</v>
      </c>
      <c r="R178" s="14">
        <f>Table1[[#This Row],[Active]]/Table1[[#This Row],[Cases]]</f>
        <v>0.18964143426294822</v>
      </c>
      <c r="S178" s="12">
        <f>Table1[[#This Row],[Percent Infected]]*Table1[[#This Row],[% Active]]</f>
        <v>2.3467120075090839E-5</v>
      </c>
      <c r="T178" s="8">
        <f>1/Table1[[#This Row],[Percent Actively Infected]]</f>
        <v>42612.813025210089</v>
      </c>
      <c r="AMC178"/>
    </row>
    <row r="179" spans="1:1017" s="1" customFormat="1" ht="16.5" thickBot="1" x14ac:dyDescent="0.3">
      <c r="A179" s="1">
        <v>178</v>
      </c>
      <c r="B179" s="51">
        <v>134</v>
      </c>
      <c r="C179" s="42" t="s">
        <v>172</v>
      </c>
      <c r="D179" s="47">
        <v>1443</v>
      </c>
      <c r="E179" s="48">
        <v>50</v>
      </c>
      <c r="F179" s="47">
        <v>1133</v>
      </c>
      <c r="G179" s="48">
        <v>260</v>
      </c>
      <c r="H179" s="48">
        <v>3</v>
      </c>
      <c r="I179" s="42">
        <v>11826749</v>
      </c>
      <c r="J179" s="8">
        <f>Table1[[#This Row],[Population]]/Table1[[#This Row],[Cases]]</f>
        <v>8195.9452529452537</v>
      </c>
      <c r="K179" s="8">
        <f>Table1[[#This Row],[Population]]/Table1[[#This Row],[Deaths]]</f>
        <v>236534.98</v>
      </c>
      <c r="L179" s="9">
        <f>Table1[[#This Row],[Deaths]]+Table1[[#This Row],[Active]]*Table1[[#This Row],[Death Rate]]</f>
        <v>59.009009009009006</v>
      </c>
      <c r="M179" s="10">
        <f>Table1[[#This Row],[Deaths]]/Table1[[#This Row],[Cases]]</f>
        <v>3.4650034650034647E-2</v>
      </c>
      <c r="N179" s="11">
        <f>Table1[[#This Row],[Cases]]/Table1[[#This Row],[Deaths]]</f>
        <v>28.86</v>
      </c>
      <c r="O179" s="12">
        <f>Table1[[#This Row],[Cases]]/Table1[[#This Row],[Population]]</f>
        <v>1.2201155194889145E-4</v>
      </c>
      <c r="P179" s="12">
        <f>Table1[[#This Row],[Deaths]]/Table1[[#This Row],[Population]]</f>
        <v>4.2277045027335913E-6</v>
      </c>
      <c r="Q179" s="13">
        <f>1-Table1[[#This Row],[Deaths]]/Table1[[#This Row],[Ex(Deaths)]]</f>
        <v>0.15267175572519076</v>
      </c>
      <c r="R179" s="14">
        <f>Table1[[#This Row],[Active]]/Table1[[#This Row],[Cases]]</f>
        <v>0.18018018018018017</v>
      </c>
      <c r="S179" s="12">
        <f>Table1[[#This Row],[Percent Infected]]*Table1[[#This Row],[% Active]]</f>
        <v>2.1984063414214673E-5</v>
      </c>
      <c r="T179" s="8">
        <f>1/Table1[[#This Row],[Percent Actively Infected]]</f>
        <v>45487.496153846158</v>
      </c>
      <c r="AMC179"/>
    </row>
    <row r="180" spans="1:1017" s="1" customFormat="1" ht="16.5" thickBot="1" x14ac:dyDescent="0.3">
      <c r="A180" s="1">
        <v>179</v>
      </c>
      <c r="B180" s="51">
        <v>194</v>
      </c>
      <c r="C180" s="42" t="s">
        <v>190</v>
      </c>
      <c r="D180" s="48">
        <v>48</v>
      </c>
      <c r="E180" s="48">
        <v>2</v>
      </c>
      <c r="F180" s="48">
        <v>26</v>
      </c>
      <c r="G180" s="48">
        <v>20</v>
      </c>
      <c r="H180" s="48"/>
      <c r="I180" s="42">
        <v>398075</v>
      </c>
      <c r="J180" s="8">
        <f>Table1[[#This Row],[Population]]/Table1[[#This Row],[Cases]]</f>
        <v>8293.2291666666661</v>
      </c>
      <c r="K180" s="8">
        <f>Table1[[#This Row],[Population]]/Table1[[#This Row],[Deaths]]</f>
        <v>199037.5</v>
      </c>
      <c r="L180" s="9">
        <f>Table1[[#This Row],[Deaths]]+Table1[[#This Row],[Active]]*Table1[[#This Row],[Death Rate]]</f>
        <v>2.833333333333333</v>
      </c>
      <c r="M180" s="10">
        <f>Table1[[#This Row],[Deaths]]/Table1[[#This Row],[Cases]]</f>
        <v>4.1666666666666664E-2</v>
      </c>
      <c r="N180" s="11">
        <f>Table1[[#This Row],[Cases]]/Table1[[#This Row],[Deaths]]</f>
        <v>24</v>
      </c>
      <c r="O180" s="12">
        <f>Table1[[#This Row],[Cases]]/Table1[[#This Row],[Population]]</f>
        <v>1.2058029265841865E-4</v>
      </c>
      <c r="P180" s="12">
        <f>Table1[[#This Row],[Deaths]]/Table1[[#This Row],[Population]]</f>
        <v>5.0241788607674433E-6</v>
      </c>
      <c r="Q180" s="13">
        <f>1-Table1[[#This Row],[Deaths]]/Table1[[#This Row],[Ex(Deaths)]]</f>
        <v>0.29411764705882348</v>
      </c>
      <c r="R180" s="14">
        <f>Table1[[#This Row],[Active]]/Table1[[#This Row],[Cases]]</f>
        <v>0.41666666666666669</v>
      </c>
      <c r="S180" s="12">
        <f>Table1[[#This Row],[Percent Infected]]*Table1[[#This Row],[% Active]]</f>
        <v>5.0241788607674438E-5</v>
      </c>
      <c r="T180" s="8">
        <f>1/Table1[[#This Row],[Percent Actively Infected]]</f>
        <v>19903.75</v>
      </c>
      <c r="AMC180"/>
    </row>
    <row r="181" spans="1:1017" s="1" customFormat="1" ht="16.5" thickBot="1" x14ac:dyDescent="0.3">
      <c r="A181" s="1">
        <v>180</v>
      </c>
      <c r="B181" s="51">
        <v>187</v>
      </c>
      <c r="C181" s="42" t="s">
        <v>199</v>
      </c>
      <c r="D181" s="48">
        <v>93</v>
      </c>
      <c r="E181" s="48"/>
      <c r="F181" s="48">
        <v>85</v>
      </c>
      <c r="G181" s="48">
        <v>8</v>
      </c>
      <c r="H181" s="48"/>
      <c r="I181" s="42">
        <v>772164</v>
      </c>
      <c r="J181" s="8">
        <f>Table1[[#This Row],[Population]]/Table1[[#This Row],[Cases]]</f>
        <v>8302.8387096774186</v>
      </c>
      <c r="K181" s="8" t="e">
        <f>Table1[[#This Row],[Population]]/Table1[[#This Row],[Deaths]]</f>
        <v>#DIV/0!</v>
      </c>
      <c r="L181" s="9">
        <f>Table1[[#This Row],[Deaths]]+Table1[[#This Row],[Active]]*Table1[[#This Row],[Death Rate]]</f>
        <v>0</v>
      </c>
      <c r="M181" s="10">
        <f>Table1[[#This Row],[Deaths]]/Table1[[#This Row],[Cases]]</f>
        <v>0</v>
      </c>
      <c r="N181" s="11" t="e">
        <f>Table1[[#This Row],[Cases]]/Table1[[#This Row],[Deaths]]</f>
        <v>#DIV/0!</v>
      </c>
      <c r="O181" s="12">
        <f>Table1[[#This Row],[Cases]]/Table1[[#This Row],[Population]]</f>
        <v>1.2044073538781917E-4</v>
      </c>
      <c r="P181" s="12">
        <f>Table1[[#This Row],[Deaths]]/Table1[[#This Row],[Population]]</f>
        <v>0</v>
      </c>
      <c r="Q181" s="13" t="e">
        <f>1-Table1[[#This Row],[Deaths]]/Table1[[#This Row],[Ex(Deaths)]]</f>
        <v>#DIV/0!</v>
      </c>
      <c r="R181" s="14">
        <f>Table1[[#This Row],[Active]]/Table1[[#This Row],[Cases]]</f>
        <v>8.6021505376344093E-2</v>
      </c>
      <c r="S181" s="12">
        <f>Table1[[#This Row],[Percent Infected]]*Table1[[#This Row],[% Active]]</f>
        <v>1.0360493366694123E-5</v>
      </c>
      <c r="T181" s="8">
        <f>1/Table1[[#This Row],[Percent Actively Infected]]</f>
        <v>96520.499999999985</v>
      </c>
      <c r="AMC181"/>
    </row>
    <row r="182" spans="1:1017" s="1" customFormat="1" ht="16.5" thickBot="1" x14ac:dyDescent="0.3">
      <c r="A182" s="1">
        <v>181</v>
      </c>
      <c r="B182" s="51">
        <v>75</v>
      </c>
      <c r="C182" s="42" t="s">
        <v>221</v>
      </c>
      <c r="D182" s="47">
        <v>13248</v>
      </c>
      <c r="E182" s="48">
        <v>209</v>
      </c>
      <c r="F182" s="47">
        <v>5966</v>
      </c>
      <c r="G182" s="47">
        <v>7073</v>
      </c>
      <c r="H182" s="48">
        <v>66</v>
      </c>
      <c r="I182" s="42">
        <v>115130088</v>
      </c>
      <c r="J182" s="8">
        <f>Table1[[#This Row],[Population]]/Table1[[#This Row],[Cases]]</f>
        <v>8690.375</v>
      </c>
      <c r="K182" s="8">
        <f>Table1[[#This Row],[Population]]/Table1[[#This Row],[Deaths]]</f>
        <v>550861.66507177032</v>
      </c>
      <c r="L182" s="9">
        <f>Table1[[#This Row],[Deaths]]+Table1[[#This Row],[Active]]*Table1[[#This Row],[Death Rate]]</f>
        <v>320.58340881642511</v>
      </c>
      <c r="M182" s="10">
        <f>Table1[[#This Row],[Deaths]]/Table1[[#This Row],[Cases]]</f>
        <v>1.577596618357488E-2</v>
      </c>
      <c r="N182" s="11">
        <f>Table1[[#This Row],[Cases]]/Table1[[#This Row],[Deaths]]</f>
        <v>63.387559808612437</v>
      </c>
      <c r="O182" s="12">
        <f>Table1[[#This Row],[Cases]]/Table1[[#This Row],[Population]]</f>
        <v>1.1506983300490485E-4</v>
      </c>
      <c r="P182" s="12">
        <f>Table1[[#This Row],[Deaths]]/Table1[[#This Row],[Population]]</f>
        <v>1.8153377942349874E-6</v>
      </c>
      <c r="Q182" s="13">
        <f>1-Table1[[#This Row],[Deaths]]/Table1[[#This Row],[Ex(Deaths)]]</f>
        <v>0.34806357954825051</v>
      </c>
      <c r="R182" s="14">
        <f>Table1[[#This Row],[Active]]/Table1[[#This Row],[Cases]]</f>
        <v>0.53389190821256038</v>
      </c>
      <c r="S182" s="12">
        <f>Table1[[#This Row],[Percent Infected]]*Table1[[#This Row],[% Active]]</f>
        <v>6.1434852720689315E-5</v>
      </c>
      <c r="T182" s="8">
        <f>1/Table1[[#This Row],[Percent Actively Infected]]</f>
        <v>16277.40534426693</v>
      </c>
      <c r="AMC182"/>
    </row>
    <row r="183" spans="1:1017" s="1" customFormat="1" ht="16.5" thickBot="1" x14ac:dyDescent="0.3">
      <c r="A183" s="1">
        <v>182</v>
      </c>
      <c r="B183" s="51">
        <v>170</v>
      </c>
      <c r="C183" s="42" t="s">
        <v>214</v>
      </c>
      <c r="D183" s="48">
        <v>277</v>
      </c>
      <c r="E183" s="48">
        <v>6</v>
      </c>
      <c r="F183" s="48">
        <v>60</v>
      </c>
      <c r="G183" s="48">
        <v>211</v>
      </c>
      <c r="H183" s="48"/>
      <c r="I183" s="42">
        <v>2420519</v>
      </c>
      <c r="J183" s="8">
        <f>Table1[[#This Row],[Population]]/Table1[[#This Row],[Cases]]</f>
        <v>8738.3357400722016</v>
      </c>
      <c r="K183" s="8">
        <f>Table1[[#This Row],[Population]]/Table1[[#This Row],[Deaths]]</f>
        <v>403419.83333333331</v>
      </c>
      <c r="L183" s="9">
        <f>Table1[[#This Row],[Deaths]]+Table1[[#This Row],[Active]]*Table1[[#This Row],[Death Rate]]</f>
        <v>10.570397111913358</v>
      </c>
      <c r="M183" s="10">
        <f>Table1[[#This Row],[Deaths]]/Table1[[#This Row],[Cases]]</f>
        <v>2.1660649819494584E-2</v>
      </c>
      <c r="N183" s="11">
        <f>Table1[[#This Row],[Cases]]/Table1[[#This Row],[Deaths]]</f>
        <v>46.166666666666664</v>
      </c>
      <c r="O183" s="12">
        <f>Table1[[#This Row],[Cases]]/Table1[[#This Row],[Population]]</f>
        <v>1.1443826716501708E-4</v>
      </c>
      <c r="P183" s="12">
        <f>Table1[[#This Row],[Deaths]]/Table1[[#This Row],[Population]]</f>
        <v>2.4788072310112007E-6</v>
      </c>
      <c r="Q183" s="13">
        <f>1-Table1[[#This Row],[Deaths]]/Table1[[#This Row],[Ex(Deaths)]]</f>
        <v>0.43237704918032793</v>
      </c>
      <c r="R183" s="14">
        <f>Table1[[#This Row],[Active]]/Table1[[#This Row],[Cases]]</f>
        <v>0.76173285198555951</v>
      </c>
      <c r="S183" s="12">
        <f>Table1[[#This Row],[Percent Infected]]*Table1[[#This Row],[% Active]]</f>
        <v>8.7171387623893875E-5</v>
      </c>
      <c r="T183" s="8">
        <f>1/Table1[[#This Row],[Percent Actively Infected]]</f>
        <v>11471.65402843602</v>
      </c>
      <c r="AMC183"/>
    </row>
    <row r="184" spans="1:1017" s="1" customFormat="1" ht="16.5" thickBot="1" x14ac:dyDescent="0.3">
      <c r="A184" s="1">
        <v>183</v>
      </c>
      <c r="B184" s="51">
        <v>138</v>
      </c>
      <c r="C184" s="42" t="s">
        <v>179</v>
      </c>
      <c r="D184" s="47">
        <v>1168</v>
      </c>
      <c r="E184" s="48">
        <v>11</v>
      </c>
      <c r="F184" s="47">
        <v>1041</v>
      </c>
      <c r="G184" s="48">
        <v>116</v>
      </c>
      <c r="H184" s="48">
        <v>3</v>
      </c>
      <c r="I184" s="42">
        <v>10209819</v>
      </c>
      <c r="J184" s="8">
        <f>Table1[[#This Row],[Population]]/Table1[[#This Row],[Cases]]</f>
        <v>8741.2833904109593</v>
      </c>
      <c r="K184" s="8">
        <f>Table1[[#This Row],[Population]]/Table1[[#This Row],[Deaths]]</f>
        <v>928165.36363636365</v>
      </c>
      <c r="L184" s="9">
        <f>Table1[[#This Row],[Deaths]]+Table1[[#This Row],[Active]]*Table1[[#This Row],[Death Rate]]</f>
        <v>12.092465753424658</v>
      </c>
      <c r="M184" s="10">
        <f>Table1[[#This Row],[Deaths]]/Table1[[#This Row],[Cases]]</f>
        <v>9.4178082191780817E-3</v>
      </c>
      <c r="N184" s="11">
        <f>Table1[[#This Row],[Cases]]/Table1[[#This Row],[Deaths]]</f>
        <v>106.18181818181819</v>
      </c>
      <c r="O184" s="12">
        <f>Table1[[#This Row],[Cases]]/Table1[[#This Row],[Population]]</f>
        <v>1.143996774085809E-4</v>
      </c>
      <c r="P184" s="12">
        <f>Table1[[#This Row],[Deaths]]/Table1[[#This Row],[Population]]</f>
        <v>1.0773942221698543E-6</v>
      </c>
      <c r="Q184" s="13">
        <f>1-Table1[[#This Row],[Deaths]]/Table1[[#This Row],[Ex(Deaths)]]</f>
        <v>9.0342679127725978E-2</v>
      </c>
      <c r="R184" s="14">
        <f>Table1[[#This Row],[Active]]/Table1[[#This Row],[Cases]]</f>
        <v>9.9315068493150679E-2</v>
      </c>
      <c r="S184" s="12">
        <f>Table1[[#This Row],[Percent Infected]]*Table1[[#This Row],[% Active]]</f>
        <v>1.1361611797427555E-5</v>
      </c>
      <c r="T184" s="8">
        <f>1/Table1[[#This Row],[Percent Actively Infected]]</f>
        <v>88015.681034482754</v>
      </c>
      <c r="AMC184"/>
    </row>
    <row r="185" spans="1:1017" s="1" customFormat="1" ht="16.5" thickBot="1" x14ac:dyDescent="0.3">
      <c r="A185" s="1">
        <v>184</v>
      </c>
      <c r="B185" s="51">
        <v>179</v>
      </c>
      <c r="C185" s="42" t="s">
        <v>178</v>
      </c>
      <c r="D185" s="48">
        <v>147</v>
      </c>
      <c r="E185" s="48">
        <v>8</v>
      </c>
      <c r="F185" s="48">
        <v>128</v>
      </c>
      <c r="G185" s="48">
        <v>11</v>
      </c>
      <c r="H185" s="48"/>
      <c r="I185" s="42">
        <v>1399802</v>
      </c>
      <c r="J185" s="8">
        <f>Table1[[#This Row],[Population]]/Table1[[#This Row],[Cases]]</f>
        <v>9522.4625850340144</v>
      </c>
      <c r="K185" s="8">
        <f>Table1[[#This Row],[Population]]/Table1[[#This Row],[Deaths]]</f>
        <v>174975.25</v>
      </c>
      <c r="L185" s="9">
        <f>Table1[[#This Row],[Deaths]]+Table1[[#This Row],[Active]]*Table1[[#This Row],[Death Rate]]</f>
        <v>8.5986394557823136</v>
      </c>
      <c r="M185" s="10">
        <f>Table1[[#This Row],[Deaths]]/Table1[[#This Row],[Cases]]</f>
        <v>5.4421768707482991E-2</v>
      </c>
      <c r="N185" s="11">
        <f>Table1[[#This Row],[Cases]]/Table1[[#This Row],[Deaths]]</f>
        <v>18.375</v>
      </c>
      <c r="O185" s="12">
        <f>Table1[[#This Row],[Cases]]/Table1[[#This Row],[Population]]</f>
        <v>1.0501485210051136E-4</v>
      </c>
      <c r="P185" s="12">
        <f>Table1[[#This Row],[Deaths]]/Table1[[#This Row],[Population]]</f>
        <v>5.7150939918645636E-6</v>
      </c>
      <c r="Q185" s="13">
        <f>1-Table1[[#This Row],[Deaths]]/Table1[[#This Row],[Ex(Deaths)]]</f>
        <v>6.9620253164557E-2</v>
      </c>
      <c r="R185" s="14">
        <f>Table1[[#This Row],[Active]]/Table1[[#This Row],[Cases]]</f>
        <v>7.4829931972789115E-2</v>
      </c>
      <c r="S185" s="12">
        <f>Table1[[#This Row],[Percent Infected]]*Table1[[#This Row],[% Active]]</f>
        <v>7.8582542388137751E-6</v>
      </c>
      <c r="T185" s="8">
        <f>1/Table1[[#This Row],[Percent Actively Infected]]</f>
        <v>127254.72727272728</v>
      </c>
      <c r="AMC185"/>
    </row>
    <row r="186" spans="1:1017" ht="16.5" thickBot="1" x14ac:dyDescent="0.3">
      <c r="A186" s="1">
        <v>185</v>
      </c>
      <c r="B186" s="51">
        <v>149</v>
      </c>
      <c r="C186" s="42" t="s">
        <v>189</v>
      </c>
      <c r="D186" s="48">
        <v>853</v>
      </c>
      <c r="E186" s="48">
        <v>17</v>
      </c>
      <c r="F186" s="48">
        <v>587</v>
      </c>
      <c r="G186" s="48">
        <v>249</v>
      </c>
      <c r="H186" s="48">
        <v>2</v>
      </c>
      <c r="I186" s="42">
        <v>8290203</v>
      </c>
      <c r="J186" s="8">
        <f>Table1[[#This Row],[Population]]/Table1[[#This Row],[Cases]]</f>
        <v>9718.8780773739745</v>
      </c>
      <c r="K186" s="8">
        <f>Table1[[#This Row],[Population]]/Table1[[#This Row],[Deaths]]</f>
        <v>487659</v>
      </c>
      <c r="L186" s="9">
        <f>Table1[[#This Row],[Deaths]]+Table1[[#This Row],[Active]]*Table1[[#This Row],[Death Rate]]</f>
        <v>21.962485345838218</v>
      </c>
      <c r="M186" s="10">
        <f>Table1[[#This Row],[Deaths]]/Table1[[#This Row],[Cases]]</f>
        <v>1.992966002344666E-2</v>
      </c>
      <c r="N186" s="11">
        <f>Table1[[#This Row],[Cases]]/Table1[[#This Row],[Deaths]]</f>
        <v>50.176470588235297</v>
      </c>
      <c r="O186" s="12">
        <f>Table1[[#This Row],[Cases]]/Table1[[#This Row],[Population]]</f>
        <v>1.0289253471838989E-4</v>
      </c>
      <c r="P186" s="12">
        <f>Table1[[#This Row],[Deaths]]/Table1[[#This Row],[Population]]</f>
        <v>2.0506132358881926E-6</v>
      </c>
      <c r="Q186" s="13">
        <f>1-Table1[[#This Row],[Deaths]]/Table1[[#This Row],[Ex(Deaths)]]</f>
        <v>0.22595281306715065</v>
      </c>
      <c r="R186" s="14">
        <f>Table1[[#This Row],[Active]]/Table1[[#This Row],[Cases]]</f>
        <v>0.29191090269636577</v>
      </c>
      <c r="S186" s="12">
        <f>Table1[[#This Row],[Percent Infected]]*Table1[[#This Row],[% Active]]</f>
        <v>3.0035452690362348E-5</v>
      </c>
      <c r="T186" s="8">
        <f>1/Table1[[#This Row],[Percent Actively Infected]]</f>
        <v>33293.987951807227</v>
      </c>
    </row>
    <row r="187" spans="1:1017" ht="16.5" thickBot="1" x14ac:dyDescent="0.3">
      <c r="A187" s="1">
        <v>186</v>
      </c>
      <c r="B187" s="51">
        <v>85</v>
      </c>
      <c r="C187" s="42" t="s">
        <v>201</v>
      </c>
      <c r="D187" s="47">
        <v>8831</v>
      </c>
      <c r="E187" s="48">
        <v>204</v>
      </c>
      <c r="F187" s="47">
        <v>5510</v>
      </c>
      <c r="G187" s="47">
        <v>3117</v>
      </c>
      <c r="H187" s="48"/>
      <c r="I187" s="42">
        <v>89712507</v>
      </c>
      <c r="J187" s="8">
        <f>Table1[[#This Row],[Population]]/Table1[[#This Row],[Cases]]</f>
        <v>10158.81632884158</v>
      </c>
      <c r="K187" s="8">
        <f>Table1[[#This Row],[Population]]/Table1[[#This Row],[Deaths]]</f>
        <v>439767.1911764706</v>
      </c>
      <c r="L187" s="9">
        <f>Table1[[#This Row],[Deaths]]+Table1[[#This Row],[Active]]*Table1[[#This Row],[Death Rate]]</f>
        <v>276.00407654852222</v>
      </c>
      <c r="M187" s="10">
        <f>Table1[[#This Row],[Deaths]]/Table1[[#This Row],[Cases]]</f>
        <v>2.3100441626089912E-2</v>
      </c>
      <c r="N187" s="15">
        <f>Table1[[#This Row],[Cases]]/Table1[[#This Row],[Deaths]]</f>
        <v>43.28921568627451</v>
      </c>
      <c r="O187" s="12">
        <f>Table1[[#This Row],[Cases]]/Table1[[#This Row],[Population]]</f>
        <v>9.8436665023751932E-5</v>
      </c>
      <c r="P187" s="12">
        <f>Table1[[#This Row],[Deaths]]/Table1[[#This Row],[Population]]</f>
        <v>2.2739304342481476E-6</v>
      </c>
      <c r="Q187" s="13">
        <f>1-Table1[[#This Row],[Deaths]]/Table1[[#This Row],[Ex(Deaths)]]</f>
        <v>0.26088048208905246</v>
      </c>
      <c r="R187" s="14">
        <f>Table1[[#This Row],[Active]]/Table1[[#This Row],[Cases]]</f>
        <v>0.35296115955157964</v>
      </c>
      <c r="S187" s="12">
        <f>Table1[[#This Row],[Percent Infected]]*Table1[[#This Row],[% Active]]</f>
        <v>3.4744319429173906E-5</v>
      </c>
      <c r="T187" s="8">
        <f>1/Table1[[#This Row],[Percent Actively Infected]]</f>
        <v>28781.683349374398</v>
      </c>
    </row>
    <row r="188" spans="1:1017" ht="16.5" thickBot="1" x14ac:dyDescent="0.3">
      <c r="A188" s="1">
        <v>187</v>
      </c>
      <c r="B188" s="51">
        <v>169</v>
      </c>
      <c r="C188" s="42" t="s">
        <v>192</v>
      </c>
      <c r="D188" s="48">
        <v>288</v>
      </c>
      <c r="E188" s="48"/>
      <c r="F188" s="48">
        <v>218</v>
      </c>
      <c r="G188" s="48">
        <v>70</v>
      </c>
      <c r="H188" s="48">
        <v>9</v>
      </c>
      <c r="I188" s="42">
        <v>3281612</v>
      </c>
      <c r="J188" s="8">
        <f>Table1[[#This Row],[Population]]/Table1[[#This Row],[Cases]]</f>
        <v>11394.486111111111</v>
      </c>
      <c r="K188" s="8" t="e">
        <f>Table1[[#This Row],[Population]]/Table1[[#This Row],[Deaths]]</f>
        <v>#DIV/0!</v>
      </c>
      <c r="L188" s="9">
        <f>Table1[[#This Row],[Deaths]]+Table1[[#This Row],[Active]]*Table1[[#This Row],[Death Rate]]</f>
        <v>0</v>
      </c>
      <c r="M188" s="10">
        <f>Table1[[#This Row],[Deaths]]/Table1[[#This Row],[Cases]]</f>
        <v>0</v>
      </c>
      <c r="N188" s="11" t="e">
        <f>Table1[[#This Row],[Cases]]/Table1[[#This Row],[Deaths]]</f>
        <v>#DIV/0!</v>
      </c>
      <c r="O188" s="12">
        <f>Table1[[#This Row],[Cases]]/Table1[[#This Row],[Population]]</f>
        <v>8.7761746361239538E-5</v>
      </c>
      <c r="P188" s="12">
        <f>Table1[[#This Row],[Deaths]]/Table1[[#This Row],[Population]]</f>
        <v>0</v>
      </c>
      <c r="Q188" s="13" t="e">
        <f>1-Table1[[#This Row],[Deaths]]/Table1[[#This Row],[Ex(Deaths)]]</f>
        <v>#DIV/0!</v>
      </c>
      <c r="R188" s="14">
        <f>Table1[[#This Row],[Active]]/Table1[[#This Row],[Cases]]</f>
        <v>0.24305555555555555</v>
      </c>
      <c r="S188" s="12">
        <f>Table1[[#This Row],[Percent Infected]]*Table1[[#This Row],[% Active]]</f>
        <v>2.1330980018356832E-5</v>
      </c>
      <c r="T188" s="8">
        <f>1/Table1[[#This Row],[Percent Actively Infected]]</f>
        <v>46880.171428571426</v>
      </c>
    </row>
    <row r="189" spans="1:1017" ht="16.5" thickBot="1" x14ac:dyDescent="0.3">
      <c r="A189" s="1">
        <v>188</v>
      </c>
      <c r="B189" s="53">
        <v>201</v>
      </c>
      <c r="C189" s="42" t="s">
        <v>181</v>
      </c>
      <c r="D189" s="50">
        <v>22</v>
      </c>
      <c r="E189" s="50"/>
      <c r="F189" s="50">
        <v>22</v>
      </c>
      <c r="G189" s="50">
        <v>0</v>
      </c>
      <c r="H189" s="50"/>
      <c r="I189" s="42">
        <v>285680</v>
      </c>
      <c r="J189" s="8">
        <f>Table1[[#This Row],[Population]]/Table1[[#This Row],[Cases]]</f>
        <v>12985.454545454546</v>
      </c>
      <c r="K189" s="8" t="e">
        <f>Table1[[#This Row],[Population]]/Table1[[#This Row],[Deaths]]</f>
        <v>#DIV/0!</v>
      </c>
      <c r="L189" s="9">
        <f>Table1[[#This Row],[Deaths]]+Table1[[#This Row],[Active]]*Table1[[#This Row],[Death Rate]]</f>
        <v>0</v>
      </c>
      <c r="M189" s="10">
        <f>Table1[[#This Row],[Deaths]]/Table1[[#This Row],[Cases]]</f>
        <v>0</v>
      </c>
      <c r="N189" s="11" t="e">
        <f>Table1[[#This Row],[Cases]]/Table1[[#This Row],[Deaths]]</f>
        <v>#DIV/0!</v>
      </c>
      <c r="O189" s="12">
        <f>Table1[[#This Row],[Cases]]/Table1[[#This Row],[Population]]</f>
        <v>7.7009241108933065E-5</v>
      </c>
      <c r="P189" s="12">
        <f>Table1[[#This Row],[Deaths]]/Table1[[#This Row],[Population]]</f>
        <v>0</v>
      </c>
      <c r="Q189" s="13" t="e">
        <f>1-Table1[[#This Row],[Deaths]]/Table1[[#This Row],[Ex(Deaths)]]</f>
        <v>#DIV/0!</v>
      </c>
      <c r="R189" s="14">
        <f>Table1[[#This Row],[Active]]/Table1[[#This Row],[Cases]]</f>
        <v>0</v>
      </c>
      <c r="S189" s="12">
        <f>Table1[[#This Row],[Percent Infected]]*Table1[[#This Row],[% Active]]</f>
        <v>0</v>
      </c>
      <c r="T189" s="8" t="e">
        <f>1/Table1[[#This Row],[Percent Actively Infected]]</f>
        <v>#DIV/0!</v>
      </c>
    </row>
    <row r="190" spans="1:1017" ht="16.5" thickBot="1" x14ac:dyDescent="0.3">
      <c r="A190" s="1">
        <v>189</v>
      </c>
      <c r="B190" s="51">
        <v>172</v>
      </c>
      <c r="C190" s="42" t="s">
        <v>212</v>
      </c>
      <c r="D190" s="48">
        <v>263</v>
      </c>
      <c r="E190" s="48"/>
      <c r="F190" s="48">
        <v>189</v>
      </c>
      <c r="G190" s="48">
        <v>74</v>
      </c>
      <c r="H190" s="48"/>
      <c r="I190" s="42">
        <v>3549565</v>
      </c>
      <c r="J190" s="15">
        <f>Table1[[#This Row],[Population]]/Table1[[#This Row],[Cases]]</f>
        <v>13496.444866920152</v>
      </c>
      <c r="K190" s="8" t="e">
        <f>Table1[[#This Row],[Population]]/Table1[[#This Row],[Deaths]]</f>
        <v>#DIV/0!</v>
      </c>
      <c r="L190" s="9">
        <f>Table1[[#This Row],[Deaths]]+Table1[[#This Row],[Active]]*Table1[[#This Row],[Death Rate]]</f>
        <v>0</v>
      </c>
      <c r="M190" s="10">
        <f>Table1[[#This Row],[Deaths]]/Table1[[#This Row],[Cases]]</f>
        <v>0</v>
      </c>
      <c r="N190" s="15" t="e">
        <f>Table1[[#This Row],[Cases]]/Table1[[#This Row],[Deaths]]</f>
        <v>#DIV/0!</v>
      </c>
      <c r="O190" s="12">
        <f>Table1[[#This Row],[Cases]]/Table1[[#This Row],[Population]]</f>
        <v>7.4093586115481761E-5</v>
      </c>
      <c r="P190" s="12">
        <f>Table1[[#This Row],[Deaths]]/Table1[[#This Row],[Population]]</f>
        <v>0</v>
      </c>
      <c r="Q190" s="13" t="e">
        <f>1-Table1[[#This Row],[Deaths]]/Table1[[#This Row],[Ex(Deaths)]]</f>
        <v>#DIV/0!</v>
      </c>
      <c r="R190" s="14">
        <f>Table1[[#This Row],[Active]]/Table1[[#This Row],[Cases]]</f>
        <v>0.28136882129277568</v>
      </c>
      <c r="S190" s="12">
        <f>Table1[[#This Row],[Percent Infected]]*Table1[[#This Row],[% Active]]</f>
        <v>2.0847624990667874E-5</v>
      </c>
      <c r="T190" s="8">
        <f>1/Table1[[#This Row],[Percent Actively Infected]]</f>
        <v>47967.094594594586</v>
      </c>
    </row>
    <row r="191" spans="1:1017" ht="16.5" thickBot="1" x14ac:dyDescent="0.3">
      <c r="A191" s="1">
        <v>190</v>
      </c>
      <c r="B191" s="53">
        <v>195</v>
      </c>
      <c r="C191" s="42" t="s">
        <v>180</v>
      </c>
      <c r="D191" s="50">
        <v>46</v>
      </c>
      <c r="E191" s="50"/>
      <c r="F191" s="50">
        <v>46</v>
      </c>
      <c r="G191" s="50">
        <v>0</v>
      </c>
      <c r="H191" s="50"/>
      <c r="I191" s="42">
        <v>649903</v>
      </c>
      <c r="J191" s="15">
        <f>Table1[[#This Row],[Population]]/Table1[[#This Row],[Cases]]</f>
        <v>14128.326086956522</v>
      </c>
      <c r="K191" s="8" t="e">
        <f>Table1[[#This Row],[Population]]/Table1[[#This Row],[Deaths]]</f>
        <v>#DIV/0!</v>
      </c>
      <c r="L191" s="9">
        <f>Table1[[#This Row],[Deaths]]+Table1[[#This Row],[Active]]*Table1[[#This Row],[Death Rate]]</f>
        <v>0</v>
      </c>
      <c r="M191" s="10">
        <f>Table1[[#This Row],[Deaths]]/Table1[[#This Row],[Cases]]</f>
        <v>0</v>
      </c>
      <c r="N191" s="15" t="e">
        <f>Table1[[#This Row],[Cases]]/Table1[[#This Row],[Deaths]]</f>
        <v>#DIV/0!</v>
      </c>
      <c r="O191" s="12">
        <f>Table1[[#This Row],[Cases]]/Table1[[#This Row],[Population]]</f>
        <v>7.0779793292229765E-5</v>
      </c>
      <c r="P191" s="12">
        <f>Table1[[#This Row],[Deaths]]/Table1[[#This Row],[Population]]</f>
        <v>0</v>
      </c>
      <c r="Q191" s="13" t="e">
        <f>1-Table1[[#This Row],[Deaths]]/Table1[[#This Row],[Ex(Deaths)]]</f>
        <v>#DIV/0!</v>
      </c>
      <c r="R191" s="14">
        <f>Table1[[#This Row],[Active]]/Table1[[#This Row],[Cases]]</f>
        <v>0</v>
      </c>
      <c r="S191" s="12">
        <f>Table1[[#This Row],[Percent Infected]]*Table1[[#This Row],[% Active]]</f>
        <v>0</v>
      </c>
      <c r="T191" s="8" t="e">
        <f>1/Table1[[#This Row],[Percent Actively Infected]]</f>
        <v>#DIV/0!</v>
      </c>
    </row>
    <row r="192" spans="1:1017" ht="16.5" thickBot="1" x14ac:dyDescent="0.3">
      <c r="A192" s="1">
        <v>191</v>
      </c>
      <c r="B192" s="51">
        <v>26</v>
      </c>
      <c r="C192" s="42" t="s">
        <v>183</v>
      </c>
      <c r="D192" s="47">
        <v>83830</v>
      </c>
      <c r="E192" s="47">
        <v>4634</v>
      </c>
      <c r="F192" s="47">
        <v>78908</v>
      </c>
      <c r="G192" s="48">
        <v>288</v>
      </c>
      <c r="H192" s="48">
        <v>6</v>
      </c>
      <c r="I192" s="47">
        <v>1439323776</v>
      </c>
      <c r="J192" s="15">
        <f>Table1[[#This Row],[Population]]/Table1[[#This Row],[Cases]]</f>
        <v>17169.55476559704</v>
      </c>
      <c r="K192" s="8">
        <f>Table1[[#This Row],[Population]]/Table1[[#This Row],[Deaths]]</f>
        <v>310600.72852826933</v>
      </c>
      <c r="L192" s="9">
        <f>Table1[[#This Row],[Deaths]]+Table1[[#This Row],[Active]]*Table1[[#This Row],[Death Rate]]</f>
        <v>4649.9202194918289</v>
      </c>
      <c r="M192" s="10">
        <f>Table1[[#This Row],[Deaths]]/Table1[[#This Row],[Cases]]</f>
        <v>5.527853990218299E-2</v>
      </c>
      <c r="N192" s="15">
        <f>Table1[[#This Row],[Cases]]/Table1[[#This Row],[Deaths]]</f>
        <v>18.090202848511005</v>
      </c>
      <c r="O192" s="12">
        <f>Table1[[#This Row],[Cases]]/Table1[[#This Row],[Population]]</f>
        <v>5.8242628516128949E-5</v>
      </c>
      <c r="P192" s="12">
        <f>Table1[[#This Row],[Deaths]]/Table1[[#This Row],[Population]]</f>
        <v>3.2195674644368549E-6</v>
      </c>
      <c r="Q192" s="13">
        <f>1-Table1[[#This Row],[Deaths]]/Table1[[#This Row],[Ex(Deaths)]]</f>
        <v>3.4237618583419227E-3</v>
      </c>
      <c r="R192" s="14">
        <f>Table1[[#This Row],[Active]]/Table1[[#This Row],[Cases]]</f>
        <v>3.4355242753190984E-3</v>
      </c>
      <c r="S192" s="12">
        <f>Table1[[#This Row],[Percent Infected]]*Table1[[#This Row],[% Active]]</f>
        <v>2.0009396412555336E-7</v>
      </c>
      <c r="T192" s="8">
        <f>1/Table1[[#This Row],[Percent Actively Infected]]</f>
        <v>4997652</v>
      </c>
    </row>
    <row r="193" spans="1:20" ht="16.5" thickBot="1" x14ac:dyDescent="0.3">
      <c r="A193" s="1">
        <v>192</v>
      </c>
      <c r="B193" s="51">
        <v>131</v>
      </c>
      <c r="C193" s="42" t="s">
        <v>217</v>
      </c>
      <c r="D193" s="47">
        <v>1674</v>
      </c>
      <c r="E193" s="48">
        <v>474</v>
      </c>
      <c r="F193" s="48">
        <v>780</v>
      </c>
      <c r="G193" s="48">
        <v>420</v>
      </c>
      <c r="H193" s="48"/>
      <c r="I193" s="42">
        <v>29865309</v>
      </c>
      <c r="J193" s="15">
        <f>Table1[[#This Row],[Population]]/Table1[[#This Row],[Cases]]</f>
        <v>17840.686379928316</v>
      </c>
      <c r="K193" s="8">
        <f>Table1[[#This Row],[Population]]/Table1[[#This Row],[Deaths]]</f>
        <v>63006.981012658231</v>
      </c>
      <c r="L193" s="9">
        <f>Table1[[#This Row],[Deaths]]+Table1[[#This Row],[Active]]*Table1[[#This Row],[Death Rate]]</f>
        <v>592.92473118279565</v>
      </c>
      <c r="M193" s="10">
        <f>Table1[[#This Row],[Deaths]]/Table1[[#This Row],[Cases]]</f>
        <v>0.28315412186379929</v>
      </c>
      <c r="N193" s="15">
        <f>Table1[[#This Row],[Cases]]/Table1[[#This Row],[Deaths]]</f>
        <v>3.5316455696202533</v>
      </c>
      <c r="O193" s="12">
        <f>Table1[[#This Row],[Cases]]/Table1[[#This Row],[Population]]</f>
        <v>5.6051655115974187E-5</v>
      </c>
      <c r="P193" s="12">
        <f>Table1[[#This Row],[Deaths]]/Table1[[#This Row],[Population]]</f>
        <v>1.5871257183376203E-5</v>
      </c>
      <c r="Q193" s="13">
        <f>1-Table1[[#This Row],[Deaths]]/Table1[[#This Row],[Ex(Deaths)]]</f>
        <v>0.20057306590257873</v>
      </c>
      <c r="R193" s="14">
        <f>Table1[[#This Row],[Active]]/Table1[[#This Row],[Cases]]</f>
        <v>0.25089605734767023</v>
      </c>
      <c r="S193" s="12">
        <f>Table1[[#This Row],[Percent Infected]]*Table1[[#This Row],[% Active]]</f>
        <v>1.4063139276409293E-5</v>
      </c>
      <c r="T193" s="8">
        <f>1/Table1[[#This Row],[Percent Actively Infected]]</f>
        <v>71107.878571428577</v>
      </c>
    </row>
    <row r="194" spans="1:20" ht="16.5" thickBot="1" x14ac:dyDescent="0.3">
      <c r="A194" s="1">
        <v>193</v>
      </c>
      <c r="B194" s="51">
        <v>146</v>
      </c>
      <c r="C194" s="42" t="s">
        <v>194</v>
      </c>
      <c r="D194" s="48">
        <v>915</v>
      </c>
      <c r="E194" s="48">
        <v>75</v>
      </c>
      <c r="F194" s="48">
        <v>810</v>
      </c>
      <c r="G194" s="48">
        <v>30</v>
      </c>
      <c r="H194" s="48"/>
      <c r="I194" s="42">
        <v>16452449</v>
      </c>
      <c r="J194" s="15">
        <f>Table1[[#This Row],[Population]]/Table1[[#This Row],[Cases]]</f>
        <v>17980.818579234972</v>
      </c>
      <c r="K194" s="8">
        <f>Table1[[#This Row],[Population]]/Table1[[#This Row],[Deaths]]</f>
        <v>219365.98666666666</v>
      </c>
      <c r="L194" s="9">
        <f>Table1[[#This Row],[Deaths]]+Table1[[#This Row],[Active]]*Table1[[#This Row],[Death Rate]]</f>
        <v>77.459016393442624</v>
      </c>
      <c r="M194" s="10">
        <f>Table1[[#This Row],[Deaths]]/Table1[[#This Row],[Cases]]</f>
        <v>8.1967213114754092E-2</v>
      </c>
      <c r="N194" s="15">
        <f>Table1[[#This Row],[Cases]]/Table1[[#This Row],[Deaths]]</f>
        <v>12.2</v>
      </c>
      <c r="O194" s="12">
        <f>Table1[[#This Row],[Cases]]/Table1[[#This Row],[Population]]</f>
        <v>5.5614820626400363E-5</v>
      </c>
      <c r="P194" s="12">
        <f>Table1[[#This Row],[Deaths]]/Table1[[#This Row],[Population]]</f>
        <v>4.5585918546229802E-6</v>
      </c>
      <c r="Q194" s="13">
        <f>1-Table1[[#This Row],[Deaths]]/Table1[[#This Row],[Ex(Deaths)]]</f>
        <v>3.1746031746031744E-2</v>
      </c>
      <c r="R194" s="14">
        <f>Table1[[#This Row],[Active]]/Table1[[#This Row],[Cases]]</f>
        <v>3.2786885245901641E-2</v>
      </c>
      <c r="S194" s="12">
        <f>Table1[[#This Row],[Percent Infected]]*Table1[[#This Row],[% Active]]</f>
        <v>1.8234367418491924E-6</v>
      </c>
      <c r="T194" s="8">
        <f>1/Table1[[#This Row],[Percent Actively Infected]]</f>
        <v>548414.96666666656</v>
      </c>
    </row>
    <row r="195" spans="1:20" ht="16.5" thickBot="1" x14ac:dyDescent="0.3">
      <c r="A195" s="1">
        <v>194</v>
      </c>
      <c r="B195" s="51">
        <v>143</v>
      </c>
      <c r="C195" s="42" t="s">
        <v>197</v>
      </c>
      <c r="D195" s="47">
        <v>1086</v>
      </c>
      <c r="E195" s="48">
        <v>53</v>
      </c>
      <c r="F195" s="48">
        <v>920</v>
      </c>
      <c r="G195" s="48">
        <v>113</v>
      </c>
      <c r="H195" s="48"/>
      <c r="I195" s="42">
        <v>20935989</v>
      </c>
      <c r="J195" s="15">
        <f>Table1[[#This Row],[Population]]/Table1[[#This Row],[Cases]]</f>
        <v>19278.074585635361</v>
      </c>
      <c r="K195" s="8">
        <f>Table1[[#This Row],[Population]]/Table1[[#This Row],[Deaths]]</f>
        <v>395018.66037735849</v>
      </c>
      <c r="L195" s="9">
        <f>Table1[[#This Row],[Deaths]]+Table1[[#This Row],[Active]]*Table1[[#This Row],[Death Rate]]</f>
        <v>58.514732965009209</v>
      </c>
      <c r="M195" s="10">
        <f>Table1[[#This Row],[Deaths]]/Table1[[#This Row],[Cases]]</f>
        <v>4.8802946593001842E-2</v>
      </c>
      <c r="N195" s="15">
        <f>Table1[[#This Row],[Cases]]/Table1[[#This Row],[Deaths]]</f>
        <v>20.490566037735849</v>
      </c>
      <c r="O195" s="12">
        <f>Table1[[#This Row],[Cases]]/Table1[[#This Row],[Population]]</f>
        <v>5.187240020043954E-5</v>
      </c>
      <c r="P195" s="12">
        <f>Table1[[#This Row],[Deaths]]/Table1[[#This Row],[Population]]</f>
        <v>2.5315259766328687E-6</v>
      </c>
      <c r="Q195" s="13">
        <f>1-Table1[[#This Row],[Deaths]]/Table1[[#This Row],[Ex(Deaths)]]</f>
        <v>9.4245204336947497E-2</v>
      </c>
      <c r="R195" s="14">
        <f>Table1[[#This Row],[Active]]/Table1[[#This Row],[Cases]]</f>
        <v>0.10405156537753223</v>
      </c>
      <c r="S195" s="12">
        <f>Table1[[#This Row],[Percent Infected]]*Table1[[#This Row],[% Active]]</f>
        <v>5.397404440745551E-6</v>
      </c>
      <c r="T195" s="8">
        <f>1/Table1[[#This Row],[Percent Actively Infected]]</f>
        <v>185274.23893805308</v>
      </c>
    </row>
    <row r="196" spans="1:20" ht="16.5" thickBot="1" x14ac:dyDescent="0.3">
      <c r="A196" s="1">
        <v>195</v>
      </c>
      <c r="B196" s="51">
        <v>132</v>
      </c>
      <c r="C196" s="42" t="s">
        <v>219</v>
      </c>
      <c r="D196" s="47">
        <v>1616</v>
      </c>
      <c r="E196" s="48">
        <v>11</v>
      </c>
      <c r="F196" s="48">
        <v>543</v>
      </c>
      <c r="G196" s="47">
        <v>1062</v>
      </c>
      <c r="H196" s="48"/>
      <c r="I196" s="42">
        <v>31305140</v>
      </c>
      <c r="J196" s="15">
        <f>Table1[[#This Row],[Population]]/Table1[[#This Row],[Cases]]</f>
        <v>19371.992574257427</v>
      </c>
      <c r="K196" s="8">
        <f>Table1[[#This Row],[Population]]/Table1[[#This Row],[Deaths]]</f>
        <v>2845921.8181818184</v>
      </c>
      <c r="L196" s="9">
        <f>Table1[[#This Row],[Deaths]]+Table1[[#This Row],[Active]]*Table1[[#This Row],[Death Rate]]</f>
        <v>18.228960396039604</v>
      </c>
      <c r="M196" s="10">
        <f>Table1[[#This Row],[Deaths]]/Table1[[#This Row],[Cases]]</f>
        <v>6.8069306930693069E-3</v>
      </c>
      <c r="N196" s="15">
        <f>Table1[[#This Row],[Cases]]/Table1[[#This Row],[Deaths]]</f>
        <v>146.90909090909091</v>
      </c>
      <c r="O196" s="12">
        <f>Table1[[#This Row],[Cases]]/Table1[[#This Row],[Population]]</f>
        <v>5.1620915926266422E-5</v>
      </c>
      <c r="P196" s="12">
        <f>Table1[[#This Row],[Deaths]]/Table1[[#This Row],[Population]]</f>
        <v>3.5137999702285311E-7</v>
      </c>
      <c r="Q196" s="13">
        <f>1-Table1[[#This Row],[Deaths]]/Table1[[#This Row],[Ex(Deaths)]]</f>
        <v>0.39656460044809561</v>
      </c>
      <c r="R196" s="14">
        <f>Table1[[#This Row],[Active]]/Table1[[#This Row],[Cases]]</f>
        <v>0.65717821782178221</v>
      </c>
      <c r="S196" s="12">
        <f>Table1[[#This Row],[Percent Infected]]*Table1[[#This Row],[% Active]]</f>
        <v>3.3924141530751822E-5</v>
      </c>
      <c r="T196" s="8">
        <f>1/Table1[[#This Row],[Percent Actively Infected]]</f>
        <v>29477.532956685496</v>
      </c>
    </row>
    <row r="197" spans="1:20" ht="16.5" thickBot="1" x14ac:dyDescent="0.3">
      <c r="A197" s="1">
        <v>196</v>
      </c>
      <c r="B197" s="51">
        <v>105</v>
      </c>
      <c r="C197" s="42" t="s">
        <v>191</v>
      </c>
      <c r="D197" s="47">
        <v>3291</v>
      </c>
      <c r="E197" s="48">
        <v>58</v>
      </c>
      <c r="F197" s="47">
        <v>3109</v>
      </c>
      <c r="G197" s="48">
        <v>124</v>
      </c>
      <c r="H197" s="48">
        <v>1</v>
      </c>
      <c r="I197" s="42">
        <v>69812168</v>
      </c>
      <c r="J197" s="15">
        <f>Table1[[#This Row],[Population]]/Table1[[#This Row],[Cases]]</f>
        <v>21213.056213916741</v>
      </c>
      <c r="K197" s="8">
        <f>Table1[[#This Row],[Population]]/Table1[[#This Row],[Deaths]]</f>
        <v>1203658.0689655172</v>
      </c>
      <c r="L197" s="9">
        <f>Table1[[#This Row],[Deaths]]+Table1[[#This Row],[Active]]*Table1[[#This Row],[Death Rate]]</f>
        <v>60.18535399574597</v>
      </c>
      <c r="M197" s="10">
        <f>Table1[[#This Row],[Deaths]]/Table1[[#This Row],[Cases]]</f>
        <v>1.76238225463385E-2</v>
      </c>
      <c r="N197" s="15">
        <f>Table1[[#This Row],[Cases]]/Table1[[#This Row],[Deaths]]</f>
        <v>56.741379310344826</v>
      </c>
      <c r="O197" s="12">
        <f>Table1[[#This Row],[Cases]]/Table1[[#This Row],[Population]]</f>
        <v>4.7140779240661885E-5</v>
      </c>
      <c r="P197" s="12">
        <f>Table1[[#This Row],[Deaths]]/Table1[[#This Row],[Population]]</f>
        <v>8.3080072803354276E-7</v>
      </c>
      <c r="Q197" s="13">
        <f>1-Table1[[#This Row],[Deaths]]/Table1[[#This Row],[Ex(Deaths)]]</f>
        <v>3.6310395314787636E-2</v>
      </c>
      <c r="R197" s="14">
        <f>Table1[[#This Row],[Active]]/Table1[[#This Row],[Cases]]</f>
        <v>3.7678517168034033E-2</v>
      </c>
      <c r="S197" s="12">
        <f>Table1[[#This Row],[Percent Infected]]*Table1[[#This Row],[% Active]]</f>
        <v>1.7761946599337812E-6</v>
      </c>
      <c r="T197" s="8">
        <f>1/Table1[[#This Row],[Percent Actively Infected]]</f>
        <v>563001.3548387097</v>
      </c>
    </row>
    <row r="198" spans="1:20" ht="16.5" thickBot="1" x14ac:dyDescent="0.3">
      <c r="A198" s="1">
        <v>197</v>
      </c>
      <c r="B198" s="51">
        <v>141</v>
      </c>
      <c r="C198" s="42" t="s">
        <v>196</v>
      </c>
      <c r="D198" s="47">
        <v>1124</v>
      </c>
      <c r="E198" s="48">
        <v>69</v>
      </c>
      <c r="F198" s="47">
        <v>1025</v>
      </c>
      <c r="G198" s="48">
        <v>30</v>
      </c>
      <c r="H198" s="48"/>
      <c r="I198" s="42">
        <v>24252528</v>
      </c>
      <c r="J198" s="15">
        <f>Table1[[#This Row],[Population]]/Table1[[#This Row],[Cases]]</f>
        <v>21576.982206405693</v>
      </c>
      <c r="K198" s="8">
        <f>Table1[[#This Row],[Population]]/Table1[[#This Row],[Deaths]]</f>
        <v>351485.91304347827</v>
      </c>
      <c r="L198" s="9">
        <f>Table1[[#This Row],[Deaths]]+Table1[[#This Row],[Active]]*Table1[[#This Row],[Death Rate]]</f>
        <v>70.841637010676152</v>
      </c>
      <c r="M198" s="10">
        <f>Table1[[#This Row],[Deaths]]/Table1[[#This Row],[Cases]]</f>
        <v>6.1387900355871883E-2</v>
      </c>
      <c r="N198" s="15">
        <f>Table1[[#This Row],[Cases]]/Table1[[#This Row],[Deaths]]</f>
        <v>16.289855072463769</v>
      </c>
      <c r="O198" s="12">
        <f>Table1[[#This Row],[Cases]]/Table1[[#This Row],[Population]]</f>
        <v>4.634568404580339E-5</v>
      </c>
      <c r="P198" s="12">
        <f>Table1[[#This Row],[Deaths]]/Table1[[#This Row],[Population]]</f>
        <v>2.8450642341285001E-6</v>
      </c>
      <c r="Q198" s="13">
        <f>1-Table1[[#This Row],[Deaths]]/Table1[[#This Row],[Ex(Deaths)]]</f>
        <v>2.5996533795493826E-2</v>
      </c>
      <c r="R198" s="14">
        <f>Table1[[#This Row],[Active]]/Table1[[#This Row],[Cases]]</f>
        <v>2.6690391459074734E-2</v>
      </c>
      <c r="S198" s="12">
        <f>Table1[[#This Row],[Percent Infected]]*Table1[[#This Row],[% Active]]</f>
        <v>1.2369844496210869E-6</v>
      </c>
      <c r="T198" s="8">
        <f>1/Table1[[#This Row],[Percent Actively Infected]]</f>
        <v>808417.6</v>
      </c>
    </row>
    <row r="199" spans="1:20" ht="16.5" thickBot="1" x14ac:dyDescent="0.3">
      <c r="A199" s="1">
        <v>198</v>
      </c>
      <c r="B199" s="51">
        <v>156</v>
      </c>
      <c r="C199" s="42" t="s">
        <v>220</v>
      </c>
      <c r="D199" s="48">
        <v>650</v>
      </c>
      <c r="E199" s="48">
        <v>38</v>
      </c>
      <c r="F199" s="48">
        <v>200</v>
      </c>
      <c r="G199" s="48">
        <v>412</v>
      </c>
      <c r="H199" s="48"/>
      <c r="I199" s="42">
        <v>17525621</v>
      </c>
      <c r="J199" s="15">
        <f>Table1[[#This Row],[Population]]/Table1[[#This Row],[Cases]]</f>
        <v>26962.493846153848</v>
      </c>
      <c r="K199" s="8">
        <f>Table1[[#This Row],[Population]]/Table1[[#This Row],[Deaths]]</f>
        <v>461200.55263157893</v>
      </c>
      <c r="L199" s="9">
        <f>Table1[[#This Row],[Deaths]]+Table1[[#This Row],[Active]]*Table1[[#This Row],[Death Rate]]</f>
        <v>62.086153846153849</v>
      </c>
      <c r="M199" s="10">
        <f>Table1[[#This Row],[Deaths]]/Table1[[#This Row],[Cases]]</f>
        <v>5.8461538461538461E-2</v>
      </c>
      <c r="N199" s="15">
        <f>Table1[[#This Row],[Cases]]/Table1[[#This Row],[Deaths]]</f>
        <v>17.105263157894736</v>
      </c>
      <c r="O199" s="12">
        <f>Table1[[#This Row],[Cases]]/Table1[[#This Row],[Population]]</f>
        <v>3.7088557375513258E-5</v>
      </c>
      <c r="P199" s="12">
        <f>Table1[[#This Row],[Deaths]]/Table1[[#This Row],[Population]]</f>
        <v>2.168254123491544E-6</v>
      </c>
      <c r="Q199" s="13">
        <f>1-Table1[[#This Row],[Deaths]]/Table1[[#This Row],[Ex(Deaths)]]</f>
        <v>0.38794726930320156</v>
      </c>
      <c r="R199" s="14">
        <f>Table1[[#This Row],[Active]]/Table1[[#This Row],[Cases]]</f>
        <v>0.63384615384615384</v>
      </c>
      <c r="S199" s="12">
        <f>Table1[[#This Row],[Percent Infected]]*Table1[[#This Row],[% Active]]</f>
        <v>2.3508439444171481E-5</v>
      </c>
      <c r="T199" s="8">
        <f>1/Table1[[#This Row],[Percent Actively Infected]]</f>
        <v>42537.915048543684</v>
      </c>
    </row>
    <row r="200" spans="1:20" ht="16.5" thickBot="1" x14ac:dyDescent="0.3">
      <c r="A200" s="1">
        <v>199</v>
      </c>
      <c r="B200" s="51">
        <v>162</v>
      </c>
      <c r="C200" s="42" t="s">
        <v>226</v>
      </c>
      <c r="D200" s="48">
        <v>361</v>
      </c>
      <c r="E200" s="48">
        <v>1</v>
      </c>
      <c r="F200" s="48">
        <v>279</v>
      </c>
      <c r="G200" s="48">
        <v>81</v>
      </c>
      <c r="H200" s="48"/>
      <c r="I200" s="42">
        <v>11910554</v>
      </c>
      <c r="J200" s="15">
        <f>Table1[[#This Row],[Population]]/Table1[[#This Row],[Cases]]</f>
        <v>32993.224376731305</v>
      </c>
      <c r="K200" s="8">
        <f>Table1[[#This Row],[Population]]/Table1[[#This Row],[Deaths]]</f>
        <v>11910554</v>
      </c>
      <c r="L200" s="9">
        <f>Table1[[#This Row],[Deaths]]+Table1[[#This Row],[Active]]*Table1[[#This Row],[Death Rate]]</f>
        <v>1.2243767313019391</v>
      </c>
      <c r="M200" s="10">
        <f>Table1[[#This Row],[Deaths]]/Table1[[#This Row],[Cases]]</f>
        <v>2.7700831024930748E-3</v>
      </c>
      <c r="N200" s="15">
        <f>Table1[[#This Row],[Cases]]/Table1[[#This Row],[Deaths]]</f>
        <v>361</v>
      </c>
      <c r="O200" s="12">
        <f>Table1[[#This Row],[Cases]]/Table1[[#This Row],[Population]]</f>
        <v>3.0309253457060015E-5</v>
      </c>
      <c r="P200" s="12">
        <f>Table1[[#This Row],[Deaths]]/Table1[[#This Row],[Population]]</f>
        <v>8.3959150850581756E-8</v>
      </c>
      <c r="Q200" s="13">
        <f>1-Table1[[#This Row],[Deaths]]/Table1[[#This Row],[Ex(Deaths)]]</f>
        <v>0.18325791855203621</v>
      </c>
      <c r="R200" s="14">
        <f>Table1[[#This Row],[Active]]/Table1[[#This Row],[Cases]]</f>
        <v>0.22437673130193905</v>
      </c>
      <c r="S200" s="12">
        <f>Table1[[#This Row],[Percent Infected]]*Table1[[#This Row],[% Active]]</f>
        <v>6.8006912188971223E-6</v>
      </c>
      <c r="T200" s="8">
        <f>1/Table1[[#This Row],[Percent Actively Infected]]</f>
        <v>147043.87654320989</v>
      </c>
    </row>
    <row r="201" spans="1:20" ht="16.5" thickBot="1" x14ac:dyDescent="0.3">
      <c r="A201" s="1">
        <v>200</v>
      </c>
      <c r="B201" s="51">
        <v>197</v>
      </c>
      <c r="C201" s="42" t="s">
        <v>204</v>
      </c>
      <c r="D201" s="48">
        <v>27</v>
      </c>
      <c r="E201" s="48"/>
      <c r="F201" s="48">
        <v>18</v>
      </c>
      <c r="G201" s="48">
        <v>9</v>
      </c>
      <c r="H201" s="48"/>
      <c r="I201" s="42">
        <v>896882</v>
      </c>
      <c r="J201" s="15">
        <f>Table1[[#This Row],[Population]]/Table1[[#This Row],[Cases]]</f>
        <v>33217.851851851854</v>
      </c>
      <c r="K201" s="8" t="e">
        <f>Table1[[#This Row],[Population]]/Table1[[#This Row],[Deaths]]</f>
        <v>#DIV/0!</v>
      </c>
      <c r="L201" s="9">
        <f>Table1[[#This Row],[Deaths]]+Table1[[#This Row],[Active]]*Table1[[#This Row],[Death Rate]]</f>
        <v>0</v>
      </c>
      <c r="M201" s="10">
        <f>Table1[[#This Row],[Deaths]]/Table1[[#This Row],[Cases]]</f>
        <v>0</v>
      </c>
      <c r="N201" s="15" t="e">
        <f>Table1[[#This Row],[Cases]]/Table1[[#This Row],[Deaths]]</f>
        <v>#DIV/0!</v>
      </c>
      <c r="O201" s="12">
        <f>Table1[[#This Row],[Cases]]/Table1[[#This Row],[Population]]</f>
        <v>3.0104294656376201E-5</v>
      </c>
      <c r="P201" s="12">
        <f>Table1[[#This Row],[Deaths]]/Table1[[#This Row],[Population]]</f>
        <v>0</v>
      </c>
      <c r="Q201" s="13" t="e">
        <f>1-Table1[[#This Row],[Deaths]]/Table1[[#This Row],[Ex(Deaths)]]</f>
        <v>#DIV/0!</v>
      </c>
      <c r="R201" s="14">
        <f>Table1[[#This Row],[Active]]/Table1[[#This Row],[Cases]]</f>
        <v>0.33333333333333331</v>
      </c>
      <c r="S201" s="12">
        <f>Table1[[#This Row],[Percent Infected]]*Table1[[#This Row],[% Active]]</f>
        <v>1.0034764885458733E-5</v>
      </c>
      <c r="T201" s="8">
        <f>1/Table1[[#This Row],[Percent Actively Infected]]</f>
        <v>99653.555555555562</v>
      </c>
    </row>
    <row r="202" spans="1:20" ht="16.5" thickBot="1" x14ac:dyDescent="0.3">
      <c r="A202" s="1">
        <v>201</v>
      </c>
      <c r="B202" s="51">
        <v>145</v>
      </c>
      <c r="C202" s="42" t="s">
        <v>229</v>
      </c>
      <c r="D202" s="48">
        <v>916</v>
      </c>
      <c r="E202" s="48">
        <v>39</v>
      </c>
      <c r="F202" s="48">
        <v>242</v>
      </c>
      <c r="G202" s="48">
        <v>635</v>
      </c>
      <c r="H202" s="48">
        <v>15</v>
      </c>
      <c r="I202" s="42">
        <v>32922623</v>
      </c>
      <c r="J202" s="15">
        <f>Table1[[#This Row],[Population]]/Table1[[#This Row],[Cases]]</f>
        <v>35941.728165938868</v>
      </c>
      <c r="K202" s="8">
        <f>Table1[[#This Row],[Population]]/Table1[[#This Row],[Deaths]]</f>
        <v>844169.8205128205</v>
      </c>
      <c r="L202" s="9">
        <f>Table1[[#This Row],[Deaths]]+Table1[[#This Row],[Active]]*Table1[[#This Row],[Death Rate]]</f>
        <v>66.036026200873366</v>
      </c>
      <c r="M202" s="10">
        <f>Table1[[#This Row],[Deaths]]/Table1[[#This Row],[Cases]]</f>
        <v>4.2576419213973801E-2</v>
      </c>
      <c r="N202" s="15">
        <f>Table1[[#This Row],[Cases]]/Table1[[#This Row],[Deaths]]</f>
        <v>23.487179487179485</v>
      </c>
      <c r="O202" s="12">
        <f>Table1[[#This Row],[Cases]]/Table1[[#This Row],[Population]]</f>
        <v>2.7822813510333E-5</v>
      </c>
      <c r="P202" s="12">
        <f>Table1[[#This Row],[Deaths]]/Table1[[#This Row],[Population]]</f>
        <v>1.1845957717281517E-6</v>
      </c>
      <c r="Q202" s="13">
        <f>1-Table1[[#This Row],[Deaths]]/Table1[[#This Row],[Ex(Deaths)]]</f>
        <v>0.40941328175370728</v>
      </c>
      <c r="R202" s="14">
        <f>Table1[[#This Row],[Active]]/Table1[[#This Row],[Cases]]</f>
        <v>0.69323144104803491</v>
      </c>
      <c r="S202" s="12">
        <f>Table1[[#This Row],[Percent Infected]]*Table1[[#This Row],[% Active]]</f>
        <v>1.9287649103778879E-5</v>
      </c>
      <c r="T202" s="8">
        <f>1/Table1[[#This Row],[Percent Actively Infected]]</f>
        <v>51846.650393700795</v>
      </c>
    </row>
    <row r="203" spans="1:20" ht="16.5" thickBot="1" x14ac:dyDescent="0.3">
      <c r="A203" s="1">
        <v>202</v>
      </c>
      <c r="B203" s="51">
        <v>142</v>
      </c>
      <c r="C203" s="42" t="s">
        <v>222</v>
      </c>
      <c r="D203" s="47">
        <v>1103</v>
      </c>
      <c r="E203" s="48">
        <v>2</v>
      </c>
      <c r="F203" s="48">
        <v>982</v>
      </c>
      <c r="G203" s="48">
        <v>119</v>
      </c>
      <c r="H203" s="48"/>
      <c r="I203" s="42">
        <v>45820261</v>
      </c>
      <c r="J203" s="15">
        <f>Table1[[#This Row],[Population]]/Table1[[#This Row],[Cases]]</f>
        <v>41541.487760652766</v>
      </c>
      <c r="K203" s="8">
        <f>Table1[[#This Row],[Population]]/Table1[[#This Row],[Deaths]]</f>
        <v>22910130.5</v>
      </c>
      <c r="L203" s="9">
        <f>Table1[[#This Row],[Deaths]]+Table1[[#This Row],[Active]]*Table1[[#This Row],[Death Rate]]</f>
        <v>2.2157751586582051</v>
      </c>
      <c r="M203" s="10">
        <f>Table1[[#This Row],[Deaths]]/Table1[[#This Row],[Cases]]</f>
        <v>1.8132366273798731E-3</v>
      </c>
      <c r="N203" s="15">
        <f>Table1[[#This Row],[Cases]]/Table1[[#This Row],[Deaths]]</f>
        <v>551.5</v>
      </c>
      <c r="O203" s="12">
        <f>Table1[[#This Row],[Cases]]/Table1[[#This Row],[Population]]</f>
        <v>2.4072320321353036E-5</v>
      </c>
      <c r="P203" s="12">
        <f>Table1[[#This Row],[Deaths]]/Table1[[#This Row],[Population]]</f>
        <v>4.364881291269816E-8</v>
      </c>
      <c r="Q203" s="16">
        <f>1-Table1[[#This Row],[Deaths]]/Table1[[#This Row],[Ex(Deaths)]]</f>
        <v>9.7381342062193177E-2</v>
      </c>
      <c r="R203" s="14">
        <f>Table1[[#This Row],[Active]]/Table1[[#This Row],[Cases]]</f>
        <v>0.10788757932910245</v>
      </c>
      <c r="S203" s="12">
        <f>Table1[[#This Row],[Percent Infected]]*Table1[[#This Row],[% Active]]</f>
        <v>2.5971043683055407E-6</v>
      </c>
      <c r="T203" s="8">
        <f>1/Table1[[#This Row],[Percent Actively Infected]]</f>
        <v>385044.21008403361</v>
      </c>
    </row>
    <row r="204" spans="1:20" ht="16.5" thickBot="1" x14ac:dyDescent="0.3">
      <c r="A204" s="1">
        <v>203</v>
      </c>
      <c r="B204" s="51">
        <v>160</v>
      </c>
      <c r="C204" s="42" t="s">
        <v>207</v>
      </c>
      <c r="D204" s="48">
        <v>458</v>
      </c>
      <c r="E204" s="48">
        <v>7</v>
      </c>
      <c r="F204" s="48">
        <v>440</v>
      </c>
      <c r="G204" s="48">
        <v>11</v>
      </c>
      <c r="H204" s="48"/>
      <c r="I204" s="42">
        <v>23819790</v>
      </c>
      <c r="J204" s="15">
        <f>Table1[[#This Row],[Population]]/Table1[[#This Row],[Cases]]</f>
        <v>52008.275109170303</v>
      </c>
      <c r="K204" s="8">
        <f>Table1[[#This Row],[Population]]/Table1[[#This Row],[Deaths]]</f>
        <v>3402827.1428571427</v>
      </c>
      <c r="L204" s="9">
        <f>Table1[[#This Row],[Deaths]]+Table1[[#This Row],[Active]]*Table1[[#This Row],[Death Rate]]</f>
        <v>7.1681222707423577</v>
      </c>
      <c r="M204" s="10">
        <f>Table1[[#This Row],[Deaths]]/Table1[[#This Row],[Cases]]</f>
        <v>1.5283842794759825E-2</v>
      </c>
      <c r="N204" s="15">
        <f>Table1[[#This Row],[Cases]]/Table1[[#This Row],[Deaths]]</f>
        <v>65.428571428571431</v>
      </c>
      <c r="O204" s="12">
        <f>Table1[[#This Row],[Cases]]/Table1[[#This Row],[Population]]</f>
        <v>1.9227709396262518E-5</v>
      </c>
      <c r="P204" s="12">
        <f>Table1[[#This Row],[Deaths]]/Table1[[#This Row],[Population]]</f>
        <v>2.938732877158027E-7</v>
      </c>
      <c r="Q204" s="13">
        <f>1-Table1[[#This Row],[Deaths]]/Table1[[#This Row],[Ex(Deaths)]]</f>
        <v>2.3454157782515916E-2</v>
      </c>
      <c r="R204" s="14">
        <f>Table1[[#This Row],[Active]]/Table1[[#This Row],[Cases]]</f>
        <v>2.4017467248908297E-2</v>
      </c>
      <c r="S204" s="12">
        <f>Table1[[#This Row],[Percent Infected]]*Table1[[#This Row],[% Active]]</f>
        <v>4.6180088069626138E-7</v>
      </c>
      <c r="T204" s="8">
        <f>1/Table1[[#This Row],[Percent Actively Infected]]</f>
        <v>2165435.4545454546</v>
      </c>
    </row>
    <row r="205" spans="1:20" ht="16.5" thickBot="1" x14ac:dyDescent="0.3">
      <c r="A205" s="1">
        <v>204</v>
      </c>
      <c r="B205" s="53">
        <v>199</v>
      </c>
      <c r="C205" s="42" t="s">
        <v>208</v>
      </c>
      <c r="D205" s="50">
        <v>24</v>
      </c>
      <c r="E205" s="50"/>
      <c r="F205" s="50">
        <v>24</v>
      </c>
      <c r="G205" s="50">
        <v>0</v>
      </c>
      <c r="H205" s="50"/>
      <c r="I205" s="42">
        <v>1319988</v>
      </c>
      <c r="J205" s="15">
        <f>Table1[[#This Row],[Population]]/Table1[[#This Row],[Cases]]</f>
        <v>54999.5</v>
      </c>
      <c r="K205" s="8" t="e">
        <f>Table1[[#This Row],[Population]]/Table1[[#This Row],[Deaths]]</f>
        <v>#DIV/0!</v>
      </c>
      <c r="L205" s="9">
        <f>Table1[[#This Row],[Deaths]]+Table1[[#This Row],[Active]]*Table1[[#This Row],[Death Rate]]</f>
        <v>0</v>
      </c>
      <c r="M205" s="10">
        <f>Table1[[#This Row],[Deaths]]/Table1[[#This Row],[Cases]]</f>
        <v>0</v>
      </c>
      <c r="N205" s="15" t="e">
        <f>Table1[[#This Row],[Cases]]/Table1[[#This Row],[Deaths]]</f>
        <v>#DIV/0!</v>
      </c>
      <c r="O205" s="12">
        <f>Table1[[#This Row],[Cases]]/Table1[[#This Row],[Population]]</f>
        <v>1.8181983472577025E-5</v>
      </c>
      <c r="P205" s="12">
        <f>Table1[[#This Row],[Deaths]]/Table1[[#This Row],[Population]]</f>
        <v>0</v>
      </c>
      <c r="Q205" s="13" t="e">
        <f>1-Table1[[#This Row],[Deaths]]/Table1[[#This Row],[Ex(Deaths)]]</f>
        <v>#DIV/0!</v>
      </c>
      <c r="R205" s="14">
        <f>Table1[[#This Row],[Active]]/Table1[[#This Row],[Cases]]</f>
        <v>0</v>
      </c>
      <c r="S205" s="12">
        <f>Table1[[#This Row],[Percent Infected]]*Table1[[#This Row],[% Active]]</f>
        <v>0</v>
      </c>
      <c r="T205" s="8" t="e">
        <f>1/Table1[[#This Row],[Percent Actively Infected]]</f>
        <v>#DIV/0!</v>
      </c>
    </row>
    <row r="206" spans="1:20" ht="16.5" thickBot="1" x14ac:dyDescent="0.3">
      <c r="A206" s="1">
        <v>205</v>
      </c>
      <c r="B206" s="51">
        <v>210</v>
      </c>
      <c r="C206" s="42" t="s">
        <v>210</v>
      </c>
      <c r="D206" s="48">
        <v>10</v>
      </c>
      <c r="E206" s="48">
        <v>1</v>
      </c>
      <c r="F206" s="48">
        <v>8</v>
      </c>
      <c r="G206" s="48">
        <v>1</v>
      </c>
      <c r="H206" s="48"/>
      <c r="I206" s="42">
        <v>598199</v>
      </c>
      <c r="J206" s="15">
        <f>Table1[[#This Row],[Population]]/Table1[[#This Row],[Cases]]</f>
        <v>59819.9</v>
      </c>
      <c r="K206" s="8">
        <f>Table1[[#This Row],[Population]]/Table1[[#This Row],[Deaths]]</f>
        <v>598199</v>
      </c>
      <c r="L206" s="9">
        <f>Table1[[#This Row],[Deaths]]+Table1[[#This Row],[Active]]*Table1[[#This Row],[Death Rate]]</f>
        <v>1.1000000000000001</v>
      </c>
      <c r="M206" s="10">
        <f>Table1[[#This Row],[Deaths]]/Table1[[#This Row],[Cases]]</f>
        <v>0.1</v>
      </c>
      <c r="N206" s="15">
        <f>Table1[[#This Row],[Cases]]/Table1[[#This Row],[Deaths]]</f>
        <v>10</v>
      </c>
      <c r="O206" s="12">
        <f>Table1[[#This Row],[Cases]]/Table1[[#This Row],[Population]]</f>
        <v>1.67168450632649E-5</v>
      </c>
      <c r="P206" s="12">
        <f>Table1[[#This Row],[Deaths]]/Table1[[#This Row],[Population]]</f>
        <v>1.6716845063264901E-6</v>
      </c>
      <c r="Q206" s="13">
        <f>1-Table1[[#This Row],[Deaths]]/Table1[[#This Row],[Ex(Deaths)]]</f>
        <v>9.0909090909090939E-2</v>
      </c>
      <c r="R206" s="14">
        <f>Table1[[#This Row],[Active]]/Table1[[#This Row],[Cases]]</f>
        <v>0.1</v>
      </c>
      <c r="S206" s="12">
        <f>Table1[[#This Row],[Percent Infected]]*Table1[[#This Row],[% Active]]</f>
        <v>1.6716845063264901E-6</v>
      </c>
      <c r="T206" s="8">
        <f>1/Table1[[#This Row],[Percent Actively Infected]]</f>
        <v>598199</v>
      </c>
    </row>
    <row r="207" spans="1:20" ht="16.5" thickBot="1" x14ac:dyDescent="0.3">
      <c r="A207" s="1">
        <v>206</v>
      </c>
      <c r="B207" s="51">
        <v>173</v>
      </c>
      <c r="C207" s="42" t="s">
        <v>218</v>
      </c>
      <c r="D207" s="48">
        <v>225</v>
      </c>
      <c r="E207" s="48"/>
      <c r="F207" s="48">
        <v>143</v>
      </c>
      <c r="G207" s="48">
        <v>82</v>
      </c>
      <c r="H207" s="48">
        <v>1</v>
      </c>
      <c r="I207" s="42">
        <v>16733787</v>
      </c>
      <c r="J207" s="15">
        <f>Table1[[#This Row],[Population]]/Table1[[#This Row],[Cases]]</f>
        <v>74372.386666666673</v>
      </c>
      <c r="K207" s="8" t="e">
        <f>Table1[[#This Row],[Population]]/Table1[[#This Row],[Deaths]]</f>
        <v>#DIV/0!</v>
      </c>
      <c r="L207" s="9">
        <f>Table1[[#This Row],[Deaths]]+Table1[[#This Row],[Active]]*Table1[[#This Row],[Death Rate]]</f>
        <v>0</v>
      </c>
      <c r="M207" s="10">
        <f>Table1[[#This Row],[Deaths]]/Table1[[#This Row],[Cases]]</f>
        <v>0</v>
      </c>
      <c r="N207" s="15" t="e">
        <f>Table1[[#This Row],[Cases]]/Table1[[#This Row],[Deaths]]</f>
        <v>#DIV/0!</v>
      </c>
      <c r="O207" s="12">
        <f>Table1[[#This Row],[Cases]]/Table1[[#This Row],[Population]]</f>
        <v>1.3445850601540464E-5</v>
      </c>
      <c r="P207" s="12">
        <f>Table1[[#This Row],[Deaths]]/Table1[[#This Row],[Population]]</f>
        <v>0</v>
      </c>
      <c r="Q207" s="13" t="e">
        <f>1-Table1[[#This Row],[Deaths]]/Table1[[#This Row],[Ex(Deaths)]]</f>
        <v>#DIV/0!</v>
      </c>
      <c r="R207" s="14">
        <f>Table1[[#This Row],[Active]]/Table1[[#This Row],[Cases]]</f>
        <v>0.36444444444444446</v>
      </c>
      <c r="S207" s="12">
        <f>Table1[[#This Row],[Percent Infected]]*Table1[[#This Row],[% Active]]</f>
        <v>4.9002655525614133E-6</v>
      </c>
      <c r="T207" s="8">
        <f>1/Table1[[#This Row],[Percent Actively Infected]]</f>
        <v>204070.57317073172</v>
      </c>
    </row>
    <row r="208" spans="1:20" ht="16.5" thickBot="1" x14ac:dyDescent="0.3">
      <c r="A208" s="1">
        <v>207</v>
      </c>
      <c r="B208" s="51">
        <v>158</v>
      </c>
      <c r="C208" s="42" t="s">
        <v>215</v>
      </c>
      <c r="D208" s="48">
        <v>509</v>
      </c>
      <c r="E208" s="48">
        <v>21</v>
      </c>
      <c r="F208" s="48">
        <v>183</v>
      </c>
      <c r="G208" s="48">
        <v>305</v>
      </c>
      <c r="H208" s="48">
        <v>7</v>
      </c>
      <c r="I208" s="42">
        <v>59830376</v>
      </c>
      <c r="J208" s="15">
        <f>Table1[[#This Row],[Population]]/Table1[[#This Row],[Cases]]</f>
        <v>117544.94302554027</v>
      </c>
      <c r="K208" s="8">
        <f>Table1[[#This Row],[Population]]/Table1[[#This Row],[Deaths]]</f>
        <v>2849065.5238095238</v>
      </c>
      <c r="L208" s="9">
        <f>Table1[[#This Row],[Deaths]]+Table1[[#This Row],[Active]]*Table1[[#This Row],[Death Rate]]</f>
        <v>33.583497053045186</v>
      </c>
      <c r="M208" s="10">
        <f>Table1[[#This Row],[Deaths]]/Table1[[#This Row],[Cases]]</f>
        <v>4.1257367387033402E-2</v>
      </c>
      <c r="N208" s="15">
        <f>Table1[[#This Row],[Cases]]/Table1[[#This Row],[Deaths]]</f>
        <v>24.238095238095237</v>
      </c>
      <c r="O208" s="12">
        <f>Table1[[#This Row],[Cases]]/Table1[[#This Row],[Population]]</f>
        <v>8.5073842758400846E-6</v>
      </c>
      <c r="P208" s="12">
        <f>Table1[[#This Row],[Deaths]]/Table1[[#This Row],[Population]]</f>
        <v>3.5099227857100545E-7</v>
      </c>
      <c r="Q208" s="13">
        <f>1-Table1[[#This Row],[Deaths]]/Table1[[#This Row],[Ex(Deaths)]]</f>
        <v>0.37469287469287471</v>
      </c>
      <c r="R208" s="14">
        <f>Table1[[#This Row],[Active]]/Table1[[#This Row],[Cases]]</f>
        <v>0.59921414538310414</v>
      </c>
      <c r="S208" s="12">
        <f>Table1[[#This Row],[Percent Infected]]*Table1[[#This Row],[% Active]]</f>
        <v>5.0977449982931745E-6</v>
      </c>
      <c r="T208" s="8">
        <f>1/Table1[[#This Row],[Percent Actively Infected]]</f>
        <v>196165.16721311476</v>
      </c>
    </row>
    <row r="209" spans="1:20" ht="16.5" thickBot="1" x14ac:dyDescent="0.3">
      <c r="A209" s="1">
        <v>208</v>
      </c>
      <c r="B209" s="51">
        <v>190</v>
      </c>
      <c r="C209" s="42" t="s">
        <v>230</v>
      </c>
      <c r="D209" s="48">
        <v>62</v>
      </c>
      <c r="E209" s="48"/>
      <c r="F209" s="48">
        <v>11</v>
      </c>
      <c r="G209" s="48">
        <v>51</v>
      </c>
      <c r="H209" s="48"/>
      <c r="I209" s="42">
        <v>8957444</v>
      </c>
      <c r="J209" s="15">
        <f>Table1[[#This Row],[Population]]/Table1[[#This Row],[Cases]]</f>
        <v>144474.90322580645</v>
      </c>
      <c r="K209" s="8" t="e">
        <f>Table1[[#This Row],[Population]]/Table1[[#This Row],[Deaths]]</f>
        <v>#DIV/0!</v>
      </c>
      <c r="L209" s="9">
        <f>Table1[[#This Row],[Deaths]]+Table1[[#This Row],[Active]]*Table1[[#This Row],[Death Rate]]</f>
        <v>0</v>
      </c>
      <c r="M209" s="10">
        <f>Table1[[#This Row],[Deaths]]/Table1[[#This Row],[Cases]]</f>
        <v>0</v>
      </c>
      <c r="N209" s="15" t="e">
        <f>Table1[[#This Row],[Cases]]/Table1[[#This Row],[Deaths]]</f>
        <v>#DIV/0!</v>
      </c>
      <c r="O209" s="12">
        <f>Table1[[#This Row],[Cases]]/Table1[[#This Row],[Population]]</f>
        <v>6.9216173720985581E-6</v>
      </c>
      <c r="P209" s="12">
        <f>Table1[[#This Row],[Deaths]]/Table1[[#This Row],[Population]]</f>
        <v>0</v>
      </c>
      <c r="Q209" s="13" t="e">
        <f>1-Table1[[#This Row],[Deaths]]/Table1[[#This Row],[Ex(Deaths)]]</f>
        <v>#DIV/0!</v>
      </c>
      <c r="R209" s="14">
        <f>Table1[[#This Row],[Active]]/Table1[[#This Row],[Cases]]</f>
        <v>0.82258064516129037</v>
      </c>
      <c r="S209" s="12">
        <f>Table1[[#This Row],[Percent Infected]]*Table1[[#This Row],[% Active]]</f>
        <v>5.6935884835004269E-6</v>
      </c>
      <c r="T209" s="8">
        <f>1/Table1[[#This Row],[Percent Actively Infected]]</f>
        <v>175636.15686274509</v>
      </c>
    </row>
    <row r="210" spans="1:20" ht="16.5" thickBot="1" x14ac:dyDescent="0.3">
      <c r="A210" s="1">
        <v>209</v>
      </c>
      <c r="B210" s="51">
        <v>165</v>
      </c>
      <c r="C210" s="42" t="s">
        <v>225</v>
      </c>
      <c r="D210" s="48">
        <v>349</v>
      </c>
      <c r="E210" s="48">
        <v>6</v>
      </c>
      <c r="F210" s="48">
        <v>288</v>
      </c>
      <c r="G210" s="48">
        <v>55</v>
      </c>
      <c r="H210" s="48"/>
      <c r="I210" s="42">
        <v>54434449</v>
      </c>
      <c r="J210" s="15">
        <f>Table1[[#This Row],[Population]]/Table1[[#This Row],[Cases]]</f>
        <v>155972.63323782236</v>
      </c>
      <c r="K210" s="8">
        <f>Table1[[#This Row],[Population]]/Table1[[#This Row],[Deaths]]</f>
        <v>9072408.166666666</v>
      </c>
      <c r="L210" s="9">
        <f>Table1[[#This Row],[Deaths]]+Table1[[#This Row],[Active]]*Table1[[#This Row],[Death Rate]]</f>
        <v>6.9455587392550147</v>
      </c>
      <c r="M210" s="10">
        <f>Table1[[#This Row],[Deaths]]/Table1[[#This Row],[Cases]]</f>
        <v>1.7191977077363897E-2</v>
      </c>
      <c r="N210" s="15">
        <f>Table1[[#This Row],[Cases]]/Table1[[#This Row],[Deaths]]</f>
        <v>58.166666666666664</v>
      </c>
      <c r="O210" s="12">
        <f>Table1[[#This Row],[Cases]]/Table1[[#This Row],[Population]]</f>
        <v>6.4113811457887637E-6</v>
      </c>
      <c r="P210" s="12">
        <f>Table1[[#This Row],[Deaths]]/Table1[[#This Row],[Population]]</f>
        <v>1.1022431769264349E-7</v>
      </c>
      <c r="Q210" s="13">
        <f>1-Table1[[#This Row],[Deaths]]/Table1[[#This Row],[Ex(Deaths)]]</f>
        <v>0.13613861386138615</v>
      </c>
      <c r="R210" s="14">
        <f>Table1[[#This Row],[Active]]/Table1[[#This Row],[Cases]]</f>
        <v>0.15759312320916904</v>
      </c>
      <c r="S210" s="12">
        <f>Table1[[#This Row],[Percent Infected]]*Table1[[#This Row],[% Active]]</f>
        <v>1.010389578849232E-6</v>
      </c>
      <c r="T210" s="8">
        <f>1/Table1[[#This Row],[Percent Actively Infected]]</f>
        <v>989717.25454545452</v>
      </c>
    </row>
    <row r="211" spans="1:20" ht="16.5" thickBot="1" x14ac:dyDescent="0.3">
      <c r="A211" s="1">
        <v>210</v>
      </c>
      <c r="B211" s="51">
        <v>161</v>
      </c>
      <c r="C211" s="42" t="s">
        <v>227</v>
      </c>
      <c r="D211" s="48">
        <v>420</v>
      </c>
      <c r="E211" s="48"/>
      <c r="F211" s="48">
        <v>365</v>
      </c>
      <c r="G211" s="48">
        <v>55</v>
      </c>
      <c r="H211" s="48"/>
      <c r="I211" s="42">
        <v>97396784</v>
      </c>
      <c r="J211" s="15">
        <f>Table1[[#This Row],[Population]]/Table1[[#This Row],[Cases]]</f>
        <v>231897.10476190477</v>
      </c>
      <c r="K211" s="8" t="e">
        <f>Table1[[#This Row],[Population]]/Table1[[#This Row],[Deaths]]</f>
        <v>#DIV/0!</v>
      </c>
      <c r="L211" s="9">
        <f>Table1[[#This Row],[Deaths]]+Table1[[#This Row],[Active]]*Table1[[#This Row],[Death Rate]]</f>
        <v>0</v>
      </c>
      <c r="M211" s="10">
        <f>Table1[[#This Row],[Deaths]]/Table1[[#This Row],[Cases]]</f>
        <v>0</v>
      </c>
      <c r="N211" s="15" t="e">
        <f>Table1[[#This Row],[Cases]]/Table1[[#This Row],[Deaths]]</f>
        <v>#DIV/0!</v>
      </c>
      <c r="O211" s="12">
        <f>Table1[[#This Row],[Cases]]/Table1[[#This Row],[Population]]</f>
        <v>4.3122573739190405E-6</v>
      </c>
      <c r="P211" s="12">
        <f>Table1[[#This Row],[Deaths]]/Table1[[#This Row],[Population]]</f>
        <v>0</v>
      </c>
      <c r="Q211" s="13" t="e">
        <f>1-Table1[[#This Row],[Deaths]]/Table1[[#This Row],[Ex(Deaths)]]</f>
        <v>#DIV/0!</v>
      </c>
      <c r="R211" s="14">
        <f>Table1[[#This Row],[Active]]/Table1[[#This Row],[Cases]]</f>
        <v>0.13095238095238096</v>
      </c>
      <c r="S211" s="12">
        <f>Table1[[#This Row],[Percent Infected]]*Table1[[#This Row],[% Active]]</f>
        <v>5.6470037039416015E-7</v>
      </c>
      <c r="T211" s="8">
        <f>1/Table1[[#This Row],[Percent Actively Infected]]</f>
        <v>1770850.6181818179</v>
      </c>
    </row>
    <row r="212" spans="1:20" ht="16.5" thickBot="1" x14ac:dyDescent="0.3">
      <c r="A212" s="1">
        <v>211</v>
      </c>
      <c r="B212" s="51">
        <v>202</v>
      </c>
      <c r="C212" s="42" t="s">
        <v>228</v>
      </c>
      <c r="D212" s="48">
        <v>20</v>
      </c>
      <c r="E212" s="48"/>
      <c r="F212" s="48">
        <v>19</v>
      </c>
      <c r="G212" s="48">
        <v>1</v>
      </c>
      <c r="H212" s="48"/>
      <c r="I212" s="42">
        <v>7282288</v>
      </c>
      <c r="J212" s="15">
        <f>Table1[[#This Row],[Population]]/Table1[[#This Row],[Cases]]</f>
        <v>364114.4</v>
      </c>
      <c r="K212" s="8" t="e">
        <f>Table1[[#This Row],[Population]]/Table1[[#This Row],[Deaths]]</f>
        <v>#DIV/0!</v>
      </c>
      <c r="L212" s="9">
        <f>Table1[[#This Row],[Deaths]]+Table1[[#This Row],[Active]]*Table1[[#This Row],[Death Rate]]</f>
        <v>0</v>
      </c>
      <c r="M212" s="10">
        <f>Table1[[#This Row],[Deaths]]/Table1[[#This Row],[Cases]]</f>
        <v>0</v>
      </c>
      <c r="N212" s="15" t="e">
        <f>Table1[[#This Row],[Cases]]/Table1[[#This Row],[Deaths]]</f>
        <v>#DIV/0!</v>
      </c>
      <c r="O212" s="12">
        <f>Table1[[#This Row],[Cases]]/Table1[[#This Row],[Population]]</f>
        <v>2.7463895962367872E-6</v>
      </c>
      <c r="P212" s="12">
        <f>Table1[[#This Row],[Deaths]]/Table1[[#This Row],[Population]]</f>
        <v>0</v>
      </c>
      <c r="Q212" s="13" t="e">
        <f>1-Table1[[#This Row],[Deaths]]/Table1[[#This Row],[Ex(Deaths)]]</f>
        <v>#DIV/0!</v>
      </c>
      <c r="R212" s="14">
        <f>Table1[[#This Row],[Active]]/Table1[[#This Row],[Cases]]</f>
        <v>0.05</v>
      </c>
      <c r="S212" s="12">
        <f>Table1[[#This Row],[Percent Infected]]*Table1[[#This Row],[% Active]]</f>
        <v>1.3731947981183937E-7</v>
      </c>
      <c r="T212" s="8">
        <f>1/Table1[[#This Row],[Percent Actively Infected]]</f>
        <v>7282287.9999999991</v>
      </c>
    </row>
    <row r="213" spans="1:20" ht="16.5" thickBot="1" x14ac:dyDescent="0.3">
      <c r="A213" s="1">
        <v>212</v>
      </c>
      <c r="B213" s="51">
        <v>214</v>
      </c>
      <c r="C213" s="42" t="s">
        <v>235</v>
      </c>
      <c r="D213" s="48">
        <v>4</v>
      </c>
      <c r="E213" s="48"/>
      <c r="F213" s="48">
        <v>1</v>
      </c>
      <c r="G213" s="48">
        <v>3</v>
      </c>
      <c r="H213" s="48"/>
      <c r="I213" s="42">
        <v>5792</v>
      </c>
      <c r="J213" s="15">
        <f>Table1[[#This Row],[Population]]/Table1[[#This Row],[Cases]]</f>
        <v>1448</v>
      </c>
      <c r="K213" s="8" t="e">
        <f>Table1[[#This Row],[Population]]/Table1[[#This Row],[Deaths]]</f>
        <v>#DIV/0!</v>
      </c>
      <c r="L213" s="9">
        <f>Table1[[#This Row],[Deaths]]+Table1[[#This Row],[Active]]*Table1[[#This Row],[Death Rate]]</f>
        <v>0</v>
      </c>
      <c r="M213" s="10">
        <f>Table1[[#This Row],[Deaths]]/Table1[[#This Row],[Cases]]</f>
        <v>0</v>
      </c>
      <c r="N213" s="15" t="e">
        <f>Table1[[#This Row],[Cases]]/Table1[[#This Row],[Deaths]]</f>
        <v>#DIV/0!</v>
      </c>
      <c r="O213" s="12">
        <f>Table1[[#This Row],[Cases]]/Table1[[#This Row],[Population]]</f>
        <v>6.9060773480662981E-4</v>
      </c>
      <c r="P213" s="12">
        <f>Table1[[#This Row],[Deaths]]/Table1[[#This Row],[Population]]</f>
        <v>0</v>
      </c>
      <c r="Q213" s="13" t="e">
        <f>1-Table1[[#This Row],[Deaths]]/Table1[[#This Row],[Ex(Deaths)]]</f>
        <v>#DIV/0!</v>
      </c>
      <c r="R213" s="14">
        <f>Table1[[#This Row],[Active]]/Table1[[#This Row],[Cases]]</f>
        <v>0.75</v>
      </c>
      <c r="S213" s="12">
        <f>Table1[[#This Row],[Percent Infected]]*Table1[[#This Row],[% Active]]</f>
        <v>5.1795580110497235E-4</v>
      </c>
      <c r="T213" s="8">
        <f>1/Table1[[#This Row],[Percent Actively Infected]]</f>
        <v>1930.6666666666667</v>
      </c>
    </row>
    <row r="214" spans="1:20" ht="16.5" thickBot="1" x14ac:dyDescent="0.3">
      <c r="A214" s="1">
        <v>213</v>
      </c>
      <c r="B214" s="73">
        <v>215</v>
      </c>
      <c r="C214" s="43" t="s">
        <v>234</v>
      </c>
      <c r="D214" s="74">
        <v>3</v>
      </c>
      <c r="E214" s="74"/>
      <c r="F214" s="74">
        <v>3</v>
      </c>
      <c r="G214" s="74">
        <v>0</v>
      </c>
      <c r="H214" s="74"/>
      <c r="I214" s="43">
        <v>15012</v>
      </c>
      <c r="J214" s="15">
        <f>Table1[[#This Row],[Population]]/Table1[[#This Row],[Cases]]</f>
        <v>5004</v>
      </c>
      <c r="K214" s="8" t="e">
        <f>Table1[[#This Row],[Population]]/Table1[[#This Row],[Deaths]]</f>
        <v>#DIV/0!</v>
      </c>
      <c r="L214" s="9">
        <f>Table1[[#This Row],[Deaths]]+Table1[[#This Row],[Active]]*Table1[[#This Row],[Death Rate]]</f>
        <v>0</v>
      </c>
      <c r="M214" s="10">
        <f>Table1[[#This Row],[Deaths]]/Table1[[#This Row],[Cases]]</f>
        <v>0</v>
      </c>
      <c r="N214" s="15" t="e">
        <f>Table1[[#This Row],[Cases]]/Table1[[#This Row],[Deaths]]</f>
        <v>#DIV/0!</v>
      </c>
      <c r="O214" s="12">
        <f>Table1[[#This Row],[Cases]]/Table1[[#This Row],[Population]]</f>
        <v>1.9984012789768185E-4</v>
      </c>
      <c r="P214" s="12">
        <f>Table1[[#This Row],[Deaths]]/Table1[[#This Row],[Population]]</f>
        <v>0</v>
      </c>
      <c r="Q214" s="13" t="e">
        <f>1-Table1[[#This Row],[Deaths]]/Table1[[#This Row],[Ex(Deaths)]]</f>
        <v>#DIV/0!</v>
      </c>
      <c r="R214" s="14">
        <f>Table1[[#This Row],[Active]]/Table1[[#This Row],[Cases]]</f>
        <v>0</v>
      </c>
      <c r="S214" s="12">
        <f>Table1[[#This Row],[Percent Infected]]*Table1[[#This Row],[% Active]]</f>
        <v>0</v>
      </c>
      <c r="T214" s="8" t="e">
        <f>1/Table1[[#This Row],[Percent Actively Infected]]</f>
        <v>#DIV/0!</v>
      </c>
    </row>
    <row r="215" spans="1:20" x14ac:dyDescent="0.25">
      <c r="B215" s="1">
        <f>AVERAGE(Table1[Rank])</f>
        <v>107.31455399061034</v>
      </c>
      <c r="C215" s="1" t="e">
        <f>AVERAGE(Table1[Country])</f>
        <v>#DIV/0!</v>
      </c>
      <c r="D215" s="1">
        <f>AVERAGE(Table1[Cases])</f>
        <v>76474.478873239437</v>
      </c>
      <c r="E215" s="1">
        <f>AVERAGE(Table1[Deaths])</f>
        <v>3494.016129032258</v>
      </c>
      <c r="F215" s="1">
        <f>AVERAGE(Table1[Recovered])</f>
        <v>46681.794258373207</v>
      </c>
      <c r="G215" s="1">
        <f>AVERAGE(Table1[Active])</f>
        <v>24970.224880382775</v>
      </c>
      <c r="H215" s="1">
        <f>AVERAGE(Table1[Serious, Critical])</f>
        <v>517.421875</v>
      </c>
      <c r="I215" s="1">
        <f>AVERAGE(Table1[Population])</f>
        <v>36447651.173708923</v>
      </c>
      <c r="J215" s="1">
        <f>AVERAGE(Table1[1/'# ])</f>
        <v>9248.4529159334452</v>
      </c>
      <c r="K215" s="1" t="e">
        <f>AVERAGE(Table1[1/'# Deaths])</f>
        <v>#DIV/0!</v>
      </c>
      <c r="L215" s="1" t="e">
        <f>AVERAGE(Table1[Ex(Deaths)])</f>
        <v>#VALUE!</v>
      </c>
      <c r="M215" s="1">
        <f>AVERAGE(Table1[Death Rate])</f>
        <v>3.0721552684508602E-2</v>
      </c>
      <c r="N215" s="1" t="e">
        <f>AVERAGE(Table1[Cases per Death])</f>
        <v>#DIV/0!</v>
      </c>
      <c r="O215" s="1">
        <f>AVERAGE(Table1[Percent Infected])</f>
        <v>2.7732156928394337E-3</v>
      </c>
      <c r="P215" s="1">
        <f>AVERAGE(Table1[Percent Dead])</f>
        <v>8.0323820289685593E-5</v>
      </c>
      <c r="Q215" s="1" t="e">
        <f>AVERAGE(Table1[Percent Ex(Death)])</f>
        <v>#DIV/0!</v>
      </c>
      <c r="R215" s="1" t="e">
        <f>AVERAGE(Table1[% Active])</f>
        <v>#VALUE!</v>
      </c>
      <c r="S215" s="1" t="e">
        <f>AVERAGE(Table1[Percent Actively Infected])</f>
        <v>#VALUE!</v>
      </c>
      <c r="T215" s="1" t="e">
        <f>AVERAGE(Table1[1/'# Active])</f>
        <v>#DIV/0!</v>
      </c>
    </row>
  </sheetData>
  <phoneticPr fontId="9" type="noConversion"/>
  <conditionalFormatting sqref="N190:N2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89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14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14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14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14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14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14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14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214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214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214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1" r:id="rId1" display="https://www.worldometers.info/coronavirus/country/us/" xr:uid="{39241855-628B-46AD-AF28-7D370E177856}"/>
    <hyperlink ref="I11" r:id="rId2" display="https://www.worldometers.info/world-population/us-population/" xr:uid="{FCFAE105-124F-40E2-9589-9E0CCBF17304}"/>
    <hyperlink ref="C15" r:id="rId3" display="https://www.worldometers.info/coronavirus/country/brazil/" xr:uid="{DFB97E4E-355F-40AE-9FE3-46BA34DCB429}"/>
    <hyperlink ref="I15" r:id="rId4" display="https://www.worldometers.info/world-population/brazil-population/" xr:uid="{996C6FE2-D6CE-4527-ADBB-12C66FF72E99}"/>
    <hyperlink ref="C100" r:id="rId5" display="https://www.worldometers.info/coronavirus/country/india/" xr:uid="{C7C24AFF-3EA9-4220-ABD9-2C55D9CD43CE}"/>
    <hyperlink ref="I100" r:id="rId6" display="https://www.worldometers.info/world-population/india-population/" xr:uid="{775F53F6-2BFF-4158-8D4E-383B1C856A00}"/>
    <hyperlink ref="C31" r:id="rId7" display="https://www.worldometers.info/coronavirus/country/russia/" xr:uid="{B699B161-9E09-400C-907B-1E72F16F9798}"/>
    <hyperlink ref="I31" r:id="rId8" display="https://www.worldometers.info/world-population/russia-population/" xr:uid="{91BB82C4-7878-4C7F-922A-93B09ABADB4D}"/>
    <hyperlink ref="C21" r:id="rId9" display="https://www.worldometers.info/coronavirus/country/south-africa/" xr:uid="{A2B5D962-638C-4F72-AFAA-FD4D21C95EA1}"/>
    <hyperlink ref="I21" r:id="rId10" display="https://www.worldometers.info/world-population/south-africa-population/" xr:uid="{EFB8F815-C330-4217-9177-386E8000AC08}"/>
    <hyperlink ref="C59" r:id="rId11" display="https://www.worldometers.info/coronavirus/country/mexico/" xr:uid="{DA75453D-1088-4BC0-AACD-777F7F5F487B}"/>
    <hyperlink ref="I59" r:id="rId12" display="https://www.worldometers.info/world-population/mexico-population/" xr:uid="{C3FD991D-2471-4BE6-ABA2-8AD15B11F9C8}"/>
    <hyperlink ref="C14" r:id="rId13" display="https://www.worldometers.info/coronavirus/country/peru/" xr:uid="{5207435A-8EB0-4787-AC87-29E210BECFEB}"/>
    <hyperlink ref="I14" r:id="rId14" display="https://www.worldometers.info/world-population/peru-population/" xr:uid="{0B5FE05B-4983-40AC-AE05-4D99A5BDD5B3}"/>
    <hyperlink ref="C6" r:id="rId15" display="https://www.worldometers.info/coronavirus/country/chile/" xr:uid="{63F1C1BC-83D1-421B-A7D2-73E36FD1684E}"/>
    <hyperlink ref="I6" r:id="rId16" display="https://www.worldometers.info/world-population/chile-population/" xr:uid="{632EE3ED-2DFE-493F-BEE6-12AEB291C5F7}"/>
    <hyperlink ref="C23" r:id="rId17" display="https://www.worldometers.info/coronavirus/country/spain/" xr:uid="{D17C9C09-261E-48C4-97D2-DD1D81A5C0A7}"/>
    <hyperlink ref="I23" r:id="rId18" display="https://www.worldometers.info/world-population/spain-population/" xr:uid="{A7DA07F5-F81B-4E5B-B3B4-3CBC8C192878}"/>
    <hyperlink ref="C41" r:id="rId19" display="https://www.worldometers.info/coronavirus/country/uk/" xr:uid="{1ADEC90C-364B-4CC2-998A-E2DBCC6BAFCE}"/>
    <hyperlink ref="I41" r:id="rId20" display="https://www.worldometers.info/world-population/uk-population/" xr:uid="{E27A3BD5-61EC-4D3C-93F9-764EBF3E7A89}"/>
    <hyperlink ref="C53" r:id="rId21" display="https://www.worldometers.info/coronavirus/country/iran/" xr:uid="{CA0C0C7C-8E3A-494B-88BA-587D9EFCD5EC}"/>
    <hyperlink ref="I53" r:id="rId22" display="https://www.worldometers.info/world-population/iran-population/" xr:uid="{1AAA32E0-5866-439C-8E23-4E386528A281}"/>
    <hyperlink ref="C94" r:id="rId23" display="https://www.worldometers.info/coronavirus/country/pakistan/" xr:uid="{EAEE5478-293C-4BA2-944D-77AF1A14B051}"/>
    <hyperlink ref="I94" r:id="rId24" display="https://www.worldometers.info/world-population/pakistan-population/" xr:uid="{C3B58FD5-F96C-4522-9D9D-C05AAD87E2A6}"/>
    <hyperlink ref="C20" r:id="rId25" display="https://www.worldometers.info/coronavirus/country/saudi-arabia/" xr:uid="{12654DCC-1A1A-4884-BED4-EC6042A3517B}"/>
    <hyperlink ref="I20" r:id="rId26" display="https://www.worldometers.info/world-population/saudi-arabia-population/" xr:uid="{78C3FDA8-C9C7-44BA-9252-EB77DF4F4477}"/>
    <hyperlink ref="C45" r:id="rId27" display="https://www.worldometers.info/coronavirus/country/italy/" xr:uid="{BCA39379-0A7E-4C1C-82C2-1589041A1D45}"/>
    <hyperlink ref="I45" r:id="rId28" display="https://www.worldometers.info/world-population/italy-population/" xr:uid="{D5DA1CEC-E277-459F-A7C9-56D60A835F64}"/>
    <hyperlink ref="C39" r:id="rId29" display="https://www.worldometers.info/coronavirus/country/colombia/" xr:uid="{FBA5B931-DCE2-465C-AC65-A52025FE0BBE}"/>
    <hyperlink ref="I39" r:id="rId30" display="https://www.worldometers.info/world-population/colombia-population/" xr:uid="{09E89B10-07F9-41FE-9005-3A1C7B017BAE}"/>
    <hyperlink ref="C67" r:id="rId31" display="https://www.worldometers.info/coronavirus/country/turkey/" xr:uid="{9F535330-7B49-41E8-8A6D-D4C28CFC6A6E}"/>
    <hyperlink ref="I67" r:id="rId32" display="https://www.worldometers.info/world-population/turkey-population/" xr:uid="{AC606F51-2C6E-4EA9-9F4B-C36B943692A7}"/>
    <hyperlink ref="C90" r:id="rId33" display="https://www.worldometers.info/coronavirus/country/bangladesh/" xr:uid="{015265B9-398E-4E23-8EBF-4D114AC3A491}"/>
    <hyperlink ref="I90" r:id="rId34" display="https://www.worldometers.info/world-population/bangladesh-population/" xr:uid="{94DF7734-5BC7-4A15-A0E8-1FEA03BB4260}"/>
    <hyperlink ref="C70" r:id="rId35" display="https://www.worldometers.info/coronavirus/country/germany/" xr:uid="{1001CB4D-3BFC-43D1-A439-98669A7EA22F}"/>
    <hyperlink ref="I70" r:id="rId36" display="https://www.worldometers.info/world-population/germany-population/" xr:uid="{CC39A4EF-5C64-46E7-AE76-C2C7D4670335}"/>
    <hyperlink ref="C64" r:id="rId37" display="https://www.worldometers.info/coronavirus/country/france/" xr:uid="{5628DFF0-3518-4D59-887D-EA6B93A8E8F4}"/>
    <hyperlink ref="I64" r:id="rId38" display="https://www.worldometers.info/world-population/france-population/" xr:uid="{59C72919-5635-4EA2-B00A-74E0BCAED513}"/>
    <hyperlink ref="C52" r:id="rId39" display="https://www.worldometers.info/coronavirus/country/argentina/" xr:uid="{751291E2-2478-47E6-B4CA-C88A49992E2F}"/>
    <hyperlink ref="I52" r:id="rId40" display="https://www.worldometers.info/world-population/argentina-population/" xr:uid="{7F3358F2-EDB1-454C-A09E-A21DAFBC3596}"/>
    <hyperlink ref="C58" r:id="rId41" display="https://www.worldometers.info/coronavirus/country/canada/" xr:uid="{931E37A7-BEB6-432C-81BC-D96321F042B6}"/>
    <hyperlink ref="I58" r:id="rId42" display="https://www.worldometers.info/world-population/canada-population/" xr:uid="{65D7C29D-8CB8-42C9-AB79-945F1A35206D}"/>
    <hyperlink ref="C65" r:id="rId43" display="https://www.worldometers.info/coronavirus/country/iraq/" xr:uid="{4868B947-F7EB-4800-9DDD-1C95D097E862}"/>
    <hyperlink ref="I65" r:id="rId44" display="https://www.worldometers.info/world-population/iraq-population/" xr:uid="{EF2B8EA0-9E37-4E0F-8072-F4189ADA4246}"/>
    <hyperlink ref="C2" r:id="rId45" display="https://www.worldometers.info/coronavirus/country/qatar/" xr:uid="{0DEF8ADB-BD49-48FC-A8C5-A19F18A1D4B1}"/>
    <hyperlink ref="C142" r:id="rId46" display="https://www.worldometers.info/coronavirus/country/indonesia/" xr:uid="{0417973E-AB69-436C-B7EA-5E801161E613}"/>
    <hyperlink ref="I142" r:id="rId47" display="https://www.worldometers.info/world-population/indonesia-population/" xr:uid="{857CBDEE-02B9-4F3A-BAE4-088182B6FA79}"/>
    <hyperlink ref="C105" r:id="rId48" display="https://www.worldometers.info/coronavirus/country/egypt/" xr:uid="{7773F6EA-0DB6-4CF0-873B-9FD8E02D94E7}"/>
    <hyperlink ref="I105" r:id="rId49" display="https://www.worldometers.info/world-population/egypt-population/" xr:uid="{36A77A70-3886-47C5-B39B-32B73FC2F12C}"/>
    <hyperlink ref="C192" r:id="rId50" display="https://www.worldometers.info/coronavirus/country/china/" xr:uid="{F9258CDA-715A-46DF-A142-84CA9DA8DC95}"/>
    <hyperlink ref="C44" r:id="rId51" display="https://www.worldometers.info/coronavirus/country/kazakhstan/" xr:uid="{BCA1379C-8572-4E1F-9EDC-66B9862CC643}"/>
    <hyperlink ref="I44" r:id="rId52" display="https://www.worldometers.info/world-population/kazakhstan-population/" xr:uid="{D590EAB1-1DD6-41F4-BE3E-3B52EEE72511}"/>
    <hyperlink ref="C111" r:id="rId53" display="https://www.worldometers.info/coronavirus/country/philippines/" xr:uid="{9F93F664-DBA0-4EE5-9D6C-3F823853DAEA}"/>
    <hyperlink ref="I111" r:id="rId54" display="https://www.worldometers.info/world-population/philippines-population/" xr:uid="{AA31CD4F-6A5C-4F13-99E5-45C277523F7C}"/>
    <hyperlink ref="C40" r:id="rId55" display="https://www.worldometers.info/coronavirus/country/ecuador/" xr:uid="{5B4DAAAD-A0AB-479C-A1C3-98C7647B8A85}"/>
    <hyperlink ref="I40" r:id="rId56" display="https://www.worldometers.info/world-population/ecuador-population/" xr:uid="{9007FD1F-F7FE-4FC2-A1BC-2AA2E068A508}"/>
    <hyperlink ref="C19" r:id="rId57" display="https://www.worldometers.info/coronavirus/country/sweden/" xr:uid="{79093289-FBC8-469A-B65D-52D1E9D9161F}"/>
    <hyperlink ref="I19" r:id="rId58" display="https://www.worldometers.info/world-population/sweden-population/" xr:uid="{E7BAB3CF-9C19-4E9D-BEEE-990E3C2CFFF2}"/>
    <hyperlink ref="C9" r:id="rId59" display="https://www.worldometers.info/coronavirus/country/oman/" xr:uid="{593ADF3B-C3CA-4A13-881D-119B732E53A7}"/>
    <hyperlink ref="I9" r:id="rId60" display="https://www.worldometers.info/world-population/oman-population/" xr:uid="{A55577AC-007C-4383-ACBD-556577E23840}"/>
    <hyperlink ref="C27" r:id="rId61" display="https://www.worldometers.info/coronavirus/country/bolivia/" xr:uid="{5A6783CC-601A-4313-950D-AE91D5307136}"/>
    <hyperlink ref="I27" r:id="rId62" display="https://www.worldometers.info/world-population/bolivia-population/" xr:uid="{E36266BC-C33E-4A81-BE3E-9B426871EC2A}"/>
    <hyperlink ref="C22" r:id="rId63" display="https://www.worldometers.info/coronavirus/country/belarus/" xr:uid="{89335BC0-76F0-43F5-BC6B-AF73856A3BBA}"/>
    <hyperlink ref="I22" r:id="rId64" display="https://www.worldometers.info/world-population/belarus-population/" xr:uid="{DF0977A1-25AB-4A32-AA01-BBEEF17AC5F0}"/>
    <hyperlink ref="C30" r:id="rId65" display="https://www.worldometers.info/coronavirus/country/belgium/" xr:uid="{B5626D8A-38C1-44E7-B6B3-E200BF3D2A03}"/>
    <hyperlink ref="I30" r:id="rId66" display="https://www.worldometers.info/world-population/belgium-population/" xr:uid="{A02A0C69-E3C9-43F8-8227-1E99F10E6685}"/>
    <hyperlink ref="C88" r:id="rId67" display="https://www.worldometers.info/coronavirus/country/ukraine/" xr:uid="{D6046E1D-6631-4AF4-B5A5-4608F0F65065}"/>
    <hyperlink ref="I88" r:id="rId68" display="https://www.worldometers.info/world-population/ukraine-population/" xr:uid="{9FAB909C-B69D-4AF3-91D6-D759BD58A554}"/>
    <hyperlink ref="C8" r:id="rId69" display="https://www.worldometers.info/coronavirus/country/kuwait/" xr:uid="{E7703715-89A8-4ECA-B738-271251A4D4A6}"/>
    <hyperlink ref="I8" r:id="rId70" display="https://www.worldometers.info/world-population/kuwait-population/" xr:uid="{53E52D4A-CE86-436D-AA0A-AC5020CDC474}"/>
    <hyperlink ref="C28" r:id="rId71" display="https://www.worldometers.info/coronavirus/country/dominican-republic/" xr:uid="{0DCA2585-3659-4D1E-AF65-974ED4888BBE}"/>
    <hyperlink ref="I28" r:id="rId72" display="https://www.worldometers.info/world-population/dominican-republic-population/" xr:uid="{0A981F0F-2BC9-44CF-B904-2F3B57B784AD}"/>
    <hyperlink ref="C24" r:id="rId73" display="https://www.worldometers.info/coronavirus/country/israel/" xr:uid="{549D0022-565A-49FC-B759-7CA1566BCE45}"/>
    <hyperlink ref="C26" r:id="rId74" display="https://www.worldometers.info/coronavirus/country/united-arab-emirates/" xr:uid="{0F31F54F-68D0-420B-8B37-50AB1655A06E}"/>
    <hyperlink ref="I26" r:id="rId75" display="https://www.worldometers.info/world-population/united-arab-emirates-population/" xr:uid="{51613C73-A201-41FF-B5F2-843F10D93DF2}"/>
    <hyperlink ref="C10" r:id="rId76" display="https://www.worldometers.info/coronavirus/country/panama/" xr:uid="{9A370829-FABB-4AE8-95CF-D51BC1CBD333}"/>
    <hyperlink ref="I10" r:id="rId77" display="https://www.worldometers.info/world-population/panama-population/" xr:uid="{9CA62291-4CFD-4A74-8ED2-659C921AAD54}"/>
    <hyperlink ref="C57" r:id="rId78" display="https://www.worldometers.info/coronavirus/country/netherlands/" xr:uid="{98C8CEFB-51B0-492B-970F-7A950698CB19}"/>
    <hyperlink ref="I57" r:id="rId79" display="https://www.worldometers.info/world-population/netherlands-population/" xr:uid="{C21F5A9C-DC2A-4518-A99D-749DF7B5B4EC}"/>
    <hyperlink ref="C18" r:id="rId80" display="https://www.worldometers.info/coronavirus/country/singapore/" xr:uid="{351DB751-4226-458A-B0CD-4A53BEBAFAAE}"/>
    <hyperlink ref="I18" r:id="rId81" display="https://www.worldometers.info/world-population/singapore-population/" xr:uid="{5CCE0F29-A17A-49FB-8980-7DBBAA46524C}"/>
    <hyperlink ref="C37" r:id="rId82" display="https://www.worldometers.info/coronavirus/country/portugal/" xr:uid="{1FDE5DE2-F3B5-45C8-9CBC-CBED00438BC6}"/>
    <hyperlink ref="I37" r:id="rId83" display="https://www.worldometers.info/world-population/portugal-population/" xr:uid="{D7152B33-CBD0-45E3-B0FF-70EB5CA150C1}"/>
    <hyperlink ref="C74" r:id="rId84" display="https://www.worldometers.info/coronavirus/country/romania/" xr:uid="{6E2AA822-3473-438C-8904-F347C5C7D5A2}"/>
    <hyperlink ref="I74" r:id="rId85" display="https://www.worldometers.info/world-population/romania-population/" xr:uid="{8B5AA160-EDF2-4C4C-8C1D-B1E172FE6632}"/>
    <hyperlink ref="C69" r:id="rId86" display="https://www.worldometers.info/coronavirus/country/guatemala/" xr:uid="{57B69592-CE0E-4C37-AE61-4D35F8932F91}"/>
    <hyperlink ref="I69" r:id="rId87" display="https://www.worldometers.info/world-population/guatemala-population/" xr:uid="{DA9E1BB1-E641-44B4-A4DA-5B6FAAA0277D}"/>
    <hyperlink ref="C97" r:id="rId88" display="https://www.worldometers.info/coronavirus/country/poland/" xr:uid="{64F2131C-6D5A-48A6-9B21-F6A1A25F9069}"/>
    <hyperlink ref="I97" r:id="rId89" display="https://www.worldometers.info/world-population/poland-population/" xr:uid="{DF2C8B75-FA4B-4FCA-BD26-5F8B3693FE04}"/>
    <hyperlink ref="C170" r:id="rId90" display="https://www.worldometers.info/coronavirus/country/nigeria/" xr:uid="{8590AAF3-2263-4C3B-AC82-8E98DDD9353B}"/>
    <hyperlink ref="I170" r:id="rId91" display="https://www.worldometers.info/world-population/nigeria-population/" xr:uid="{E4771DBF-5A37-4750-8A9C-6D08317F3203}"/>
    <hyperlink ref="C4" r:id="rId92" display="https://www.worldometers.info/coronavirus/country/bahrain/" xr:uid="{B14272AC-30F4-4773-AF3B-4BC38B54CF05}"/>
    <hyperlink ref="I4" r:id="rId93" display="https://www.worldometers.info/world-population/bahrain-population/" xr:uid="{A93C62F6-CCB8-4A64-A723-F307507DB296}"/>
    <hyperlink ref="C50" r:id="rId94" display="https://www.worldometers.info/coronavirus/country/honduras/" xr:uid="{302AF18D-17D8-4B40-B631-6A57DFAC90AE}"/>
    <hyperlink ref="I50" r:id="rId95" display="https://www.worldometers.info/world-population/honduras-population/" xr:uid="{C8C7386E-B619-4760-80F7-5709AE4434B7}"/>
    <hyperlink ref="C12" r:id="rId96" display="https://www.worldometers.info/coronavirus/country/armenia/" xr:uid="{46E5D4DF-3370-456F-B341-16EF659C9C32}"/>
    <hyperlink ref="I12" r:id="rId97" display="https://www.worldometers.info/world-population/armenia-population/" xr:uid="{38DBD59D-1684-45BD-918A-E0B94DF7E3FE}"/>
    <hyperlink ref="C104" r:id="rId98" display="https://www.worldometers.info/coronavirus/country/afghanistan/" xr:uid="{E822182D-D328-420E-B164-5AE4BCC555BB}"/>
    <hyperlink ref="I104" r:id="rId99" display="https://www.worldometers.info/world-population/afghanistan-population/" xr:uid="{7AB61D33-7AE4-4403-AB62-BCA9D1F40E54}"/>
    <hyperlink ref="C47" r:id="rId100" display="https://www.worldometers.info/coronavirus/country/switzerland/" xr:uid="{97651665-9263-45BE-9255-087421F7034A}"/>
    <hyperlink ref="I47" r:id="rId101" display="https://www.worldometers.info/world-population/switzerland-population/" xr:uid="{9EC9360D-C486-4231-AC02-88D3666B3FAF}"/>
    <hyperlink ref="C36" r:id="rId102" display="https://www.worldometers.info/coronavirus/country/kyrgyzstan/" xr:uid="{3BF5D7A7-9850-4C43-8019-D802F5E65BA8}"/>
    <hyperlink ref="I36" r:id="rId103" display="https://www.worldometers.info/world-population/kyrgyzstan-population/" xr:uid="{544BAE4E-58C1-4B22-A2D2-F76D1335A7C2}"/>
    <hyperlink ref="C99" r:id="rId104" display="https://www.worldometers.info/coronavirus/country/ghana/" xr:uid="{7625348C-7161-41EA-91F8-B3D4D6AC5453}"/>
    <hyperlink ref="I99" r:id="rId105" display="https://www.worldometers.info/world-population/ghana-population/" xr:uid="{43454605-B41D-4DA7-97C2-A5A93858301D}"/>
    <hyperlink ref="C61" r:id="rId106" display="https://www.worldometers.info/coronavirus/country/azerbaijan/" xr:uid="{9E8F0C70-06FD-4823-9CAE-CD89850EFAC2}"/>
    <hyperlink ref="I61" r:id="rId107" display="https://www.worldometers.info/world-population/azerbaijan-population/" xr:uid="{7919FD7D-17F4-47C0-A115-17F487F8CD4C}"/>
    <hyperlink ref="C163" r:id="rId108" display="https://www.worldometers.info/coronavirus/country/japan/" xr:uid="{C640ADE5-6805-4C09-BBA2-16A04849ACBB}"/>
    <hyperlink ref="I163" r:id="rId109" display="https://www.worldometers.info/world-population/japan-population/" xr:uid="{2BD6513A-6B99-49EB-B846-394B70DB4455}"/>
    <hyperlink ref="C120" r:id="rId110" display="https://www.worldometers.info/coronavirus/country/algeria/" xr:uid="{6F30A3D1-6B29-4A37-BC5B-7A8BA2569620}"/>
    <hyperlink ref="I120" r:id="rId111" display="https://www.worldometers.info/world-population/algeria-population/" xr:uid="{87ABE6B1-6663-4D59-B216-87C4F838A695}"/>
    <hyperlink ref="C34" r:id="rId112" display="https://www.worldometers.info/coronavirus/country/ireland/" xr:uid="{FF42B368-C1AC-4F18-9CA3-C3D2CC2D2C30}"/>
    <hyperlink ref="I34" r:id="rId113" display="https://www.worldometers.info/world-population/ireland-population/" xr:uid="{5FCEA87B-CBBB-4B9F-AEBE-9E5459ACE6F4}"/>
    <hyperlink ref="C66" r:id="rId114" display="https://www.worldometers.info/coronavirus/country/serbia/" xr:uid="{3D47FE81-A50F-4D94-9F6E-40D58AAF222F}"/>
    <hyperlink ref="I66" r:id="rId115" display="https://www.worldometers.info/world-population/serbia-population/" xr:uid="{FB4A6153-521A-4373-A1C3-9179AC962081}"/>
    <hyperlink ref="C29" r:id="rId116" display="https://www.worldometers.info/coronavirus/country/moldova/" xr:uid="{257E48E7-CEED-4DCA-AC44-C6C0C875A688}"/>
    <hyperlink ref="I29" r:id="rId117" display="https://www.worldometers.info/world-population/moldova-population/" xr:uid="{EF282772-FAE5-416E-9171-31DF8C86E15E}"/>
    <hyperlink ref="C76" r:id="rId118" display="https://www.worldometers.info/coronavirus/country/austria/" xr:uid="{AA43654C-0D13-454D-86F3-44B993A62003}"/>
    <hyperlink ref="I76" r:id="rId119" display="https://www.worldometers.info/world-population/austria-population/" xr:uid="{1F994C67-746B-43AE-A48A-F3D44B568788}"/>
    <hyperlink ref="C122" r:id="rId120" display="https://www.worldometers.info/coronavirus/country/uzbekistan/" xr:uid="{59988A54-EE85-4852-A7CD-0EDD8BB32A3E}"/>
    <hyperlink ref="I122" r:id="rId121" display="https://www.worldometers.info/world-population/uzbekistan-population/" xr:uid="{40F5C05B-F37F-474C-9517-6992028E4FF5}"/>
    <hyperlink ref="C127" r:id="rId122" display="https://www.worldometers.info/coronavirus/country/morocco/" xr:uid="{226635C2-4581-4E33-9273-39F47F498EF4}"/>
    <hyperlink ref="I127" r:id="rId123" display="https://www.worldometers.info/world-population/morocco-population/" xr:uid="{15B419CA-178A-4D31-9628-F4B830AAA4DB}"/>
    <hyperlink ref="C118" r:id="rId124" display="https://www.worldometers.info/coronavirus/country/nepal/" xr:uid="{B77E7F00-5470-4312-9347-55E0F8E32992}"/>
    <hyperlink ref="I118" r:id="rId125" display="https://www.worldometers.info/world-population/nepal-population/" xr:uid="{7322A7CF-B3A0-4C3A-921B-40C0BA5A3747}"/>
    <hyperlink ref="C119" r:id="rId126" display="https://www.worldometers.info/coronavirus/country/cameroon/" xr:uid="{854D1FAD-DE5C-466D-9E23-66C190742D04}"/>
    <hyperlink ref="I119" r:id="rId127" display="https://www.worldometers.info/world-population/cameroon-population/" xr:uid="{0B20E9B8-5486-4C48-A484-518B134A4834}"/>
    <hyperlink ref="C149" r:id="rId128" display="https://www.worldometers.info/coronavirus/country/kenya/" xr:uid="{069D6F06-87EC-4209-A7F8-BBA979A1B1A2}"/>
    <hyperlink ref="I149" r:id="rId129" display="https://www.worldometers.info/world-population/kenya-population/" xr:uid="{0ECBEB8F-D27C-497B-AFEC-25491D4F659D}"/>
    <hyperlink ref="C123" r:id="rId130" display="https://www.worldometers.info/coronavirus/country/cote-d-ivoire/" xr:uid="{A261C976-6C9D-45F6-B5AB-48A2D9ABEC56}"/>
    <hyperlink ref="I123" r:id="rId131" display="https://www.worldometers.info/world-population/cote-d-ivoire-population/" xr:uid="{10A07816-76B3-4A19-9AF8-419FA1A8D264}"/>
    <hyperlink ref="C89" r:id="rId132" display="https://www.worldometers.info/coronavirus/country/czech-republic/" xr:uid="{1D42B0C8-B4E3-4689-B698-B620413B22D3}"/>
    <hyperlink ref="I89" r:id="rId133" display="https://www.worldometers.info/world-population/czech-republic-population/" xr:uid="{526E16CA-056A-46AF-800D-9B9ED408DDCF}"/>
    <hyperlink ref="C129" r:id="rId134" display="https://www.worldometers.info/coronavirus/country/venezuela/" xr:uid="{137D549B-2904-4743-8D0F-CD4E66ECA711}"/>
    <hyperlink ref="I129" r:id="rId135" display="https://www.worldometers.info/world-population/venezuela-population/" xr:uid="{CBE7DB00-B7AD-499D-A31D-2E7ED2871145}"/>
    <hyperlink ref="C78" r:id="rId136" display="https://www.worldometers.info/coronavirus/country/el-salvador/" xr:uid="{32F32D67-618A-4927-AF07-75D60223D3FB}"/>
    <hyperlink ref="I78" r:id="rId137" display="https://www.worldometers.info/world-population/el-salvador-population/" xr:uid="{F28448F2-781B-47DF-B654-22CEA8266D1E}"/>
    <hyperlink ref="C63" r:id="rId138" display="https://www.worldometers.info/coronavirus/country/costa-rica/" xr:uid="{0890F771-12C1-4D66-B593-F8E97FCAD83A}"/>
    <hyperlink ref="I63" r:id="rId139" display="https://www.worldometers.info/world-population/costa-rica-population/" xr:uid="{20C748F5-97AC-4BD3-9711-A9FED44F108D}"/>
    <hyperlink ref="C125" r:id="rId140" display="https://www.worldometers.info/coronavirus/country/australia/" xr:uid="{0ACF0FA8-008B-479D-86EE-5EFB85BAB4D4}"/>
    <hyperlink ref="I125" r:id="rId141" display="https://www.worldometers.info/world-population/australia-population/" xr:uid="{8759A613-932C-43B2-8781-1D48D3DFAC5F}"/>
    <hyperlink ref="C153" r:id="rId142" display="https://www.worldometers.info/coronavirus/country/south-korea/" xr:uid="{BCB1A2F6-43A6-47D7-86CC-BBDEDD3D1E92}"/>
    <hyperlink ref="I153" r:id="rId143" display="https://www.worldometers.info/world-population/south-korea-population/" xr:uid="{397F4AD5-5EF9-40C6-A9E6-22ABFCE5E985}"/>
    <hyperlink ref="C75" r:id="rId144" display="https://www.worldometers.info/coronavirus/country/denmark/" xr:uid="{B6C3E5FD-CB91-46A2-B21C-12BA574554AF}"/>
    <hyperlink ref="I75" r:id="rId145" display="https://www.worldometers.info/world-population/denmark-population/" xr:uid="{ABCCC9F4-E31D-4726-9F2E-2E993396DD59}"/>
    <hyperlink ref="C182" r:id="rId146" display="https://www.worldometers.info/coronavirus/country/ethiopia/" xr:uid="{FBD8F19D-E535-40F0-A6A7-E83D4AC792EF}"/>
    <hyperlink ref="I182" r:id="rId147" display="https://www.worldometers.info/world-population/ethiopia-population/" xr:uid="{BC617A86-81C7-405E-9470-8FB9E811E602}"/>
    <hyperlink ref="C157" r:id="rId148" display="https://www.worldometers.info/coronavirus/country/sudan/" xr:uid="{F9D82634-BFF8-471F-91A6-31B7A9C09D7B}"/>
    <hyperlink ref="I157" r:id="rId149" display="https://www.worldometers.info/world-population/sudan-population/" xr:uid="{164DD7D2-534B-4C7F-8389-7879D31F3DDC}"/>
    <hyperlink ref="C81" r:id="rId150" display="https://www.worldometers.info/coronavirus/country/state-of-palestine/" xr:uid="{4CE24377-D3A7-45FD-B828-128B0321953A}"/>
    <hyperlink ref="I81" r:id="rId151" display="https://www.worldometers.info/world-population/state-of-palestine-population/" xr:uid="{807D5924-758C-4A7B-90A3-DF834462CD85}"/>
    <hyperlink ref="C87" r:id="rId152" display="https://www.worldometers.info/coronavirus/country/bulgaria/" xr:uid="{81FB6C6D-1D61-4BD9-B9EB-E3D7B73468A0}"/>
    <hyperlink ref="I87" r:id="rId153" display="https://www.worldometers.info/world-population/bulgaria-population/" xr:uid="{C6C68140-4B57-41D0-8A04-436E9B820C39}"/>
    <hyperlink ref="C38" r:id="rId154" display="https://www.worldometers.info/coronavirus/country/macedonia/" xr:uid="{6A3C93C6-5D35-4B43-AB54-CE66704F1A63}"/>
    <hyperlink ref="I38" r:id="rId155" display="https://www.worldometers.info/world-population/macedonia-population/" xr:uid="{C5B06945-A432-4646-A47F-E58961F894BF}"/>
    <hyperlink ref="C60" r:id="rId156" display="https://www.worldometers.info/coronavirus/country/bosnia-and-herzegovina/" xr:uid="{B2EB1873-28AB-4FCE-967F-5239DE457635}"/>
    <hyperlink ref="I60" r:id="rId157" display="https://www.worldometers.info/world-population/bosnia-and-herzegovina-population/" xr:uid="{211F0CCF-456C-48D8-A7C4-703FD07EFA85}"/>
    <hyperlink ref="C124" r:id="rId158" display="https://www.worldometers.info/coronavirus/country/senegal/" xr:uid="{CF5C9E1F-E541-4830-B513-A7A4D2FEDCDC}"/>
    <hyperlink ref="I124" r:id="rId159" display="https://www.worldometers.info/world-population/senegal-population/" xr:uid="{99942532-8D47-4AC9-AB4E-82B8196090E8}"/>
    <hyperlink ref="C145" r:id="rId160" display="https://www.worldometers.info/coronavirus/country/madagascar/" xr:uid="{992195C0-8D3F-4B8B-8C0C-38245116A406}"/>
    <hyperlink ref="I145" r:id="rId161" display="https://www.worldometers.info/world-population/madagascar-population/" xr:uid="{18338632-2323-4596-AF3E-0790B2130C18}"/>
    <hyperlink ref="C83" r:id="rId162" display="https://www.worldometers.info/coronavirus/country/norway/" xr:uid="{A741338E-8B5C-485F-A9AE-A9A2D9483AAB}"/>
    <hyperlink ref="I83" r:id="rId163" display="https://www.worldometers.info/world-population/norway-population/" xr:uid="{E4D36DA3-37C0-486B-BBE4-1C43A05CB40A}"/>
    <hyperlink ref="C154" r:id="rId164" display="https://www.worldometers.info/coronavirus/country/malaysia/" xr:uid="{3BE65195-2EB2-454B-8576-0BF40DA546AA}"/>
    <hyperlink ref="I154" r:id="rId165" display="https://www.worldometers.info/world-population/malaysia-population/" xr:uid="{BC46FFCC-EC55-4DDD-8751-916B0ECF4058}"/>
    <hyperlink ref="C187" r:id="rId166" display="https://www.worldometers.info/coronavirus/country/democratic-republic-of-the-congo/" xr:uid="{AA92E315-EF3D-4C89-91B4-3D0D98BB8087}"/>
    <hyperlink ref="I187" r:id="rId167" display="https://www.worldometers.info/world-population/democratic-republic-of-the-congo-population/" xr:uid="{E7D81C4E-1161-4E6A-80E9-22287F2BB276}"/>
    <hyperlink ref="C91" r:id="rId168" display="https://www.worldometers.info/coronavirus/country/finland/" xr:uid="{593A590C-6932-4C8D-85E7-6183EC35B557}"/>
    <hyperlink ref="I91" r:id="rId169" display="https://www.worldometers.info/world-population/finland-population/" xr:uid="{FA3F976A-9C60-4BE9-A84E-BB14B7F08F1E}"/>
    <hyperlink ref="C3" r:id="rId170" display="https://www.worldometers.info/coronavirus/country/french-guiana/" xr:uid="{B6796B1F-1248-4D35-8256-40C4E815526F}"/>
    <hyperlink ref="I3" r:id="rId171" display="https://www.worldometers.info/world-population/french-guiana-population/" xr:uid="{EB2A2119-070F-4145-A27F-0AD1150A2B44}"/>
    <hyperlink ref="C117" r:id="rId172" display="https://www.worldometers.info/coronavirus/country/haiti/" xr:uid="{5A02A336-2CB5-4032-826E-50E35DEBCE21}"/>
    <hyperlink ref="I117" r:id="rId173" display="https://www.worldometers.info/world-population/haiti-population/" xr:uid="{AEE34294-6CA7-442B-B84C-8C68B6A170B7}"/>
    <hyperlink ref="C109" r:id="rId174" display="https://www.worldometers.info/coronavirus/country/tajikistan/" xr:uid="{4FEF2EEE-89CD-449F-B9A5-732B4EA455C0}"/>
    <hyperlink ref="I109" r:id="rId175" display="https://www.worldometers.info/world-population/tajikistan-population/" xr:uid="{31B68E72-B3C3-4941-AA42-E7E86E4DE779}"/>
    <hyperlink ref="C55" r:id="rId176" display="https://www.worldometers.info/coronavirus/country/gabon/" xr:uid="{6FDA888C-CF30-42B8-9E5A-6D48497F3326}"/>
    <hyperlink ref="I55" r:id="rId177" display="https://www.worldometers.info/world-population/gabon-population/" xr:uid="{B776162D-71C8-4724-B764-2B20A957400A}"/>
    <hyperlink ref="C128" r:id="rId178" display="https://www.worldometers.info/coronavirus/country/guinea/" xr:uid="{565812D9-C32B-4F3A-AC8E-FEEBD84A85E0}"/>
    <hyperlink ref="I128" r:id="rId179" display="https://www.worldometers.info/world-population/guinea-population/" xr:uid="{7F1C418A-4B1F-4539-9FC8-445BFAB4E7AE}"/>
    <hyperlink ref="C17" r:id="rId180" display="https://www.worldometers.info/coronavirus/country/luxembourg/" xr:uid="{416EEFB5-DFAB-4F2D-82A2-9E4F1D66EB5A}"/>
    <hyperlink ref="I17" r:id="rId181" display="https://www.worldometers.info/world-population/luxembourg-population/" xr:uid="{6233CB7E-9390-4678-B6AA-D552B24E5208}"/>
    <hyperlink ref="C92" r:id="rId182" display="https://www.worldometers.info/coronavirus/country/mauritania/" xr:uid="{ADF2CCE0-396F-4B36-848A-BC7AC606C4A6}"/>
    <hyperlink ref="I92" r:id="rId183" display="https://www.worldometers.info/world-population/mauritania-population/" xr:uid="{6B15D94C-C75F-4C84-A92E-64788D5C26C2}"/>
    <hyperlink ref="C35" r:id="rId184" display="https://www.worldometers.info/coronavirus/country/djibouti/" xr:uid="{DBB0D4E3-92E9-47A6-AB26-E4815F77231C}"/>
    <hyperlink ref="I35" r:id="rId185" display="https://www.worldometers.info/world-population/djibouti-population/" xr:uid="{A86A88E8-FB8A-4B47-80B0-1D733F248932}"/>
    <hyperlink ref="C95" r:id="rId186" display="https://www.worldometers.info/coronavirus/country/croatia/" xr:uid="{BA625F2E-A26A-42F1-92ED-2AF009C8D083}"/>
    <hyperlink ref="I95" r:id="rId187" display="https://www.worldometers.info/world-population/croatia-population/" xr:uid="{40866F8A-5534-4F34-9325-67A7E3379E87}"/>
    <hyperlink ref="C84" r:id="rId188" display="https://www.worldometers.info/coronavirus/country/albania/" xr:uid="{7C876677-F4EE-482C-9EA9-39A68F20DE98}"/>
    <hyperlink ref="I84" r:id="rId189" display="https://www.worldometers.info/world-population/albania-population/" xr:uid="{80D7E54B-0ECF-4A7E-A5EE-E14B8CCC26B4}"/>
    <hyperlink ref="C103" r:id="rId190" display="https://www.worldometers.info/coronavirus/country/central-african-republic/" xr:uid="{154F2B42-FA61-493E-A488-16BEEF574573}"/>
    <hyperlink ref="I103" r:id="rId191" display="https://www.worldometers.info/world-population/central-african-republic-population/" xr:uid="{F5A216F2-1988-462B-BE21-5F6963A759AF}"/>
    <hyperlink ref="C134" r:id="rId192" display="https://www.worldometers.info/coronavirus/country/hungary/" xr:uid="{C5627BCC-E015-4A73-B5C6-9E0E665F8E4F}"/>
    <hyperlink ref="I134" r:id="rId193" display="https://www.worldometers.info/world-population/hungary-population/" xr:uid="{ACFABCB4-8761-4AF7-B2A2-DE343913920E}"/>
    <hyperlink ref="C160" r:id="rId194" display="https://www.worldometers.info/coronavirus/country/zambia/" xr:uid="{416FCE58-3B6E-4CDF-976D-D3985A151D0E}"/>
    <hyperlink ref="I160" r:id="rId195" display="https://www.worldometers.info/world-population/zambia-population/" xr:uid="{55063EAE-B31F-4F2A-A47A-230608D0C446}"/>
    <hyperlink ref="C121" r:id="rId196" display="https://www.worldometers.info/coronavirus/country/paraguay/" xr:uid="{BBD7417F-F7CA-4345-88AC-C203AFF019E6}"/>
    <hyperlink ref="I121" r:id="rId197" display="https://www.worldometers.info/world-population/paraguay-population/" xr:uid="{6EFD5BF2-7CFA-4A5F-BDD6-6E680B46FF30}"/>
    <hyperlink ref="C138" r:id="rId198" display="https://www.worldometers.info/coronavirus/country/greece/" xr:uid="{2B5356AC-4ECD-47A5-839E-71D63D38DBC5}"/>
    <hyperlink ref="I138" r:id="rId199" display="https://www.worldometers.info/world-population/greece-population/" xr:uid="{B429F0BE-4DF3-4E31-BE7A-AEA1D2C7422E}"/>
    <hyperlink ref="C130" r:id="rId200" display="https://www.worldometers.info/coronavirus/country/lebanon/" xr:uid="{10D8A198-387F-44F5-AD1C-1856E4DAB70E}"/>
    <hyperlink ref="I130" r:id="rId201" display="https://www.worldometers.info/world-population/lebanon-population/" xr:uid="{CEC652ED-92AF-4883-BDEF-EC85A47C1212}"/>
    <hyperlink ref="C171" r:id="rId202" display="https://www.worldometers.info/coronavirus/country/malawi/" xr:uid="{B5D2AA61-16AF-4EB7-8BFE-659531E2B8B6}"/>
    <hyperlink ref="I171" r:id="rId203" display="https://www.worldometers.info/world-population/malawi-population/" xr:uid="{5F15A0B7-290A-4DA4-81D5-B7E978B84A4A}"/>
    <hyperlink ref="C131" r:id="rId204" display="https://www.worldometers.info/coronavirus/country/nicaragua/" xr:uid="{A2CD3C8F-E227-46CE-B580-6C075D70B3CA}"/>
    <hyperlink ref="I131" r:id="rId205" display="https://www.worldometers.info/world-population/nicaragua-population/" xr:uid="{F531DFF1-0622-4F32-9ACD-A392B0E7D203}"/>
    <hyperlink ref="C197" r:id="rId206" display="https://www.worldometers.info/coronavirus/country/thailand/" xr:uid="{02822FF7-881F-48F0-866D-5D46D3D50220}"/>
    <hyperlink ref="I197" r:id="rId207" display="https://www.worldometers.info/world-population/thailand-population/" xr:uid="{18B7AAA2-B93D-49E4-929B-C235F5182340}"/>
    <hyperlink ref="C25" r:id="rId208" display="https://www.worldometers.info/coronavirus/country/maldives/" xr:uid="{02F4C40E-962F-49D3-9303-6A4F8D63F0ED}"/>
    <hyperlink ref="I25" r:id="rId209" display="https://www.worldometers.info/world-population/maldives-population/" xr:uid="{27E8700F-29A8-4321-83DF-DFC828F8B146}"/>
    <hyperlink ref="C169" r:id="rId210" display="https://www.worldometers.info/coronavirus/country/somalia/" xr:uid="{461246AF-5E07-4733-A323-061203F3556A}"/>
    <hyperlink ref="I169" r:id="rId211" display="https://www.worldometers.info/world-population/somalia-population/" xr:uid="{D97749FB-FDBC-47B4-82FB-11F18FE75026}"/>
    <hyperlink ref="C79" r:id="rId212" display="https://www.worldometers.info/coronavirus/country/equatorial-guinea/" xr:uid="{82203FBA-0D64-4B64-BAA8-31384D72F76A}"/>
    <hyperlink ref="I79" r:id="rId213" display="https://www.worldometers.info/world-population/equatorial-guinea-population/" xr:uid="{3AAE336C-7698-43CB-8C36-D1F481FCD5CA}"/>
    <hyperlink ref="C126" r:id="rId214" display="https://www.worldometers.info/coronavirus/country/congo/" xr:uid="{5F332B4B-B42E-412A-95A7-6503B67619E3}"/>
    <hyperlink ref="I126" r:id="rId215" display="https://www.worldometers.info/world-population/congo-population/" xr:uid="{18ABA415-2164-4C13-8D6D-06B36D59BD15}"/>
    <hyperlink ref="C16" r:id="rId216" display="https://www.worldometers.info/coronavirus/country/mayotte/" xr:uid="{4A4D3951-3024-46A5-9652-F384B5102D03}"/>
    <hyperlink ref="I16" r:id="rId217" display="https://www.worldometers.info/world-population/mayotte-population/" xr:uid="{8A92F983-98B0-4881-BA9A-91A52ABBC948}"/>
    <hyperlink ref="C177" r:id="rId218" display="https://www.worldometers.info/coronavirus/country/sri-lanka/" xr:uid="{3F983471-D650-4473-90EA-C723258B0A5F}"/>
    <hyperlink ref="I177" r:id="rId219" display="https://www.worldometers.info/world-population/sri-lanka-population/" xr:uid="{2661DE6E-CD35-4AF3-8917-0A73B3AB645D}"/>
    <hyperlink ref="C43" r:id="rId220" display="https://www.worldometers.info/coronavirus/country/montenegro/" xr:uid="{603F5C20-9083-4C3B-A992-41DD88CB5238}"/>
    <hyperlink ref="I43" r:id="rId221" display="https://www.worldometers.info/world-population/montenegro-population/" xr:uid="{995A6E1F-E14E-4024-B89B-5B0EDD153502}"/>
    <hyperlink ref="C143" r:id="rId222" display="https://www.worldometers.info/coronavirus/country/china-hong-kong-sar/" xr:uid="{D186B799-5F31-4BB1-9E62-9DEBC1A8C208}"/>
    <hyperlink ref="I143" r:id="rId223" display="https://www.worldometers.info/world-population/china-hong-kong-sar-population/" xr:uid="{2B04D769-FF02-412D-882A-F2262EC4C372}"/>
    <hyperlink ref="C141" r:id="rId224" display="https://www.worldometers.info/coronavirus/country/libya/" xr:uid="{E9E4D6AB-2ED9-470A-9D66-C98E60DBB803}"/>
    <hyperlink ref="I141" r:id="rId225" display="https://www.worldometers.info/world-population/libya-population/" xr:uid="{83FA8139-4B12-4A69-A9A3-948ADEDEBC3C}"/>
    <hyperlink ref="C178" r:id="rId226" display="https://www.worldometers.info/coronavirus/country/mali/" xr:uid="{19B10C42-FBFF-48D5-963E-658A8756ED07}"/>
    <hyperlink ref="I178" r:id="rId227" display="https://www.worldometers.info/world-population/mali-population/" xr:uid="{BDCFAA9B-DC42-42EB-B270-B2A78E6D3BA4}"/>
    <hyperlink ref="C166" r:id="rId228" display="https://www.worldometers.info/coronavirus/country/cuba/" xr:uid="{D5B291B3-C462-4B85-90C6-D51D201FB9F9}"/>
    <hyperlink ref="I166" r:id="rId229" display="https://www.worldometers.info/world-population/cuba-population/" xr:uid="{9241C82B-E993-4E6E-A4C8-C9D3E8004F61}"/>
    <hyperlink ref="C173" r:id="rId230" display="https://www.worldometers.info/coronavirus/country/zimbabwe/" xr:uid="{DB09F6F7-104D-4EF5-9F8E-40EB477F3C52}"/>
    <hyperlink ref="I173" r:id="rId231" display="https://www.worldometers.info/world-population/zimbabwe-population/" xr:uid="{EE538B87-537B-4C7A-A759-3F011B52AE47}"/>
    <hyperlink ref="C168" r:id="rId232" display="https://www.worldometers.info/coronavirus/country/south-sudan/" xr:uid="{771F8E81-E144-40EC-9208-4F5A49CA2098}"/>
    <hyperlink ref="I168" r:id="rId233" display="https://www.worldometers.info/world-population/south-sudan-population/" xr:uid="{CA9C6492-3A97-4C73-8751-2894F16DA1D5}"/>
    <hyperlink ref="C46" r:id="rId234" display="https://www.worldometers.info/coronavirus/country/cabo-verde/" xr:uid="{2FB0CDA6-9932-4C65-8F9E-856CA76E989E}"/>
    <hyperlink ref="I46" r:id="rId235" display="https://www.worldometers.info/world-population/cabo-verde-population/" xr:uid="{16299BDB-5AC1-4E66-A42A-4FC6E0A737F0}"/>
    <hyperlink ref="C139" r:id="rId236" display="https://www.worldometers.info/coronavirus/country/slovakia/" xr:uid="{90421192-A3FD-4091-AF3C-F5555FC89FB6}"/>
    <hyperlink ref="I139" r:id="rId237" display="https://www.worldometers.info/world-population/slovakia-population/" xr:uid="{999755EA-4342-43BA-BDF7-8D2BF5A4C4CB}"/>
    <hyperlink ref="C82" r:id="rId238" display="https://www.worldometers.info/coronavirus/country/swaziland/" xr:uid="{8A786474-FAF7-43E5-BF71-CB7ACC58CEA0}"/>
    <hyperlink ref="I82" r:id="rId239" display="https://www.worldometers.info/world-population/swaziland-population/" xr:uid="{20C27806-F244-4076-A09C-92F114F321DC}"/>
    <hyperlink ref="C101" r:id="rId240" display="https://www.worldometers.info/coronavirus/country/slovenia/" xr:uid="{6292059F-1648-428B-B852-CA3E1858E0A0}"/>
    <hyperlink ref="I101" r:id="rId241" display="https://www.worldometers.info/world-population/slovenia-population/" xr:uid="{B0CACF34-8247-4F97-86E2-F9548ED69E3F}"/>
    <hyperlink ref="C86" r:id="rId242" display="https://www.worldometers.info/coronavirus/country/estonia/" xr:uid="{240EEA0F-77BB-440E-B20F-833CD7DC5692}"/>
    <hyperlink ref="I86" r:id="rId243" display="https://www.worldometers.info/world-population/estonia-population/" xr:uid="{DDF496B0-D923-4F28-9871-11BEBD896528}"/>
    <hyperlink ref="C110" r:id="rId244" display="https://www.worldometers.info/coronavirus/country/lithuania/" xr:uid="{8CC39680-0196-497D-9BA7-CE73967C4AF0}"/>
    <hyperlink ref="I110" r:id="rId245" display="https://www.worldometers.info/world-population/lithuania-population/" xr:uid="{0E7631FA-61A5-4B94-B729-A63D232B271D}"/>
    <hyperlink ref="C102" r:id="rId246" display="https://www.worldometers.info/coronavirus/country/guinea-bissau/" xr:uid="{04C6F967-38F1-4897-A0D3-7AA4AF84B2C9}"/>
    <hyperlink ref="I102" r:id="rId247" display="https://www.worldometers.info/world-population/guinea-bissau-population/" xr:uid="{B5E15C27-0E92-45DD-9743-769FA5159C21}"/>
    <hyperlink ref="C33" r:id="rId248" display="https://www.worldometers.info/coronavirus/country/iceland/" xr:uid="{D5C4BE31-6146-4BD7-AFC4-F18561D0E0A5}"/>
    <hyperlink ref="I33" r:id="rId249" display="https://www.worldometers.info/world-population/iceland-population/" xr:uid="{10C2C5A6-A51E-4FA0-839C-5AF806BF7698}"/>
    <hyperlink ref="C115" r:id="rId250" display="https://www.worldometers.info/coronavirus/country/namibia/" xr:uid="{1B2A908C-CF00-43D4-9132-CFB7BE6B95BC}"/>
    <hyperlink ref="I115" r:id="rId251" display="https://www.worldometers.info/world-population/namibia-population/" xr:uid="{99C4B1D7-C502-4A88-925C-059306B396BE}"/>
    <hyperlink ref="C174" r:id="rId252" display="https://www.worldometers.info/coronavirus/country/benin/" xr:uid="{F600B403-44B8-4F7C-BFE9-F9AA51EAA2C5}"/>
    <hyperlink ref="I174" r:id="rId253" display="https://www.worldometers.info/world-population/benin-population/" xr:uid="{C7F4AAB7-E835-47B6-91B8-B63B02AFF4B5}"/>
    <hyperlink ref="C164" r:id="rId254" display="https://www.worldometers.info/coronavirus/country/sierra-leone/" xr:uid="{DD2AFC8A-81CC-4317-9202-3275B2E3A41F}"/>
    <hyperlink ref="I164" r:id="rId255" display="https://www.worldometers.info/world-population/sierra-leone-population/" xr:uid="{CA9F892B-949A-4159-AD2D-7FE8852E1716}"/>
    <hyperlink ref="C175" r:id="rId256" display="https://www.worldometers.info/coronavirus/country/rwanda/" xr:uid="{1306D324-A5BE-4B96-9BCF-AF8285DD51E6}"/>
    <hyperlink ref="I175" r:id="rId257" display="https://www.worldometers.info/world-population/rwanda-population/" xr:uid="{0A83363A-D878-41C3-826F-CCC0C4CD283E}"/>
    <hyperlink ref="C193" r:id="rId258" display="https://www.worldometers.info/coronavirus/country/yemen/" xr:uid="{FCAC03A3-4D02-4A81-8F04-F2D606754920}"/>
    <hyperlink ref="I193" r:id="rId259" display="https://www.worldometers.info/world-population/yemen-population/" xr:uid="{FAE5F249-AC83-44F7-9753-1F18ED25D89D}"/>
    <hyperlink ref="C196" r:id="rId260" display="https://www.worldometers.info/coronavirus/country/mozambique/" xr:uid="{0C1DF27D-A80B-4EB5-BBEA-9FA69D2AE785}"/>
    <hyperlink ref="I196" r:id="rId261" display="https://www.worldometers.info/world-population/mozambique-population/" xr:uid="{F0AEF2BF-7F0E-4E26-9947-E08ED00C8492}"/>
    <hyperlink ref="C148" r:id="rId262" display="https://www.worldometers.info/coronavirus/country/new-zealand/" xr:uid="{04F910AC-62B2-4E5D-9426-F2703AC279A7}"/>
    <hyperlink ref="C179" r:id="rId263" display="https://www.worldometers.info/coronavirus/country/tunisia/" xr:uid="{2B58D785-8DDB-43B4-9457-D7001D66BEF1}"/>
    <hyperlink ref="I179" r:id="rId264" display="https://www.worldometers.info/world-population/tunisia-population/" xr:uid="{DC6BBE7B-DFA0-4B6E-A4C8-721C98AD54BB}"/>
    <hyperlink ref="C73" r:id="rId265" display="https://www.worldometers.info/coronavirus/country/suriname/" xr:uid="{94ECED77-F3E5-4BDA-8B06-FAAC26F9CAA7}"/>
    <hyperlink ref="I73" r:id="rId266" display="https://www.worldometers.info/world-population/suriname-population/" xr:uid="{F3AE4B37-08F0-4D4F-82C7-A3E497494BF7}"/>
    <hyperlink ref="C116" r:id="rId267" display="https://www.worldometers.info/coronavirus/country/latvia/" xr:uid="{3E691F1C-DE7C-41AA-B6E2-69B436D4977D}"/>
    <hyperlink ref="I116" r:id="rId268" display="https://www.worldometers.info/world-population/latvia-population/" xr:uid="{4ADC6C71-EA6C-4DB4-91C7-199CB00B29B7}"/>
    <hyperlink ref="C144" r:id="rId269" display="https://www.worldometers.info/coronavirus/country/uruguay/" xr:uid="{60BCE266-3C10-4B78-ADC0-7A0E6C9931D7}"/>
    <hyperlink ref="I144" r:id="rId270" display="https://www.worldometers.info/world-population/uruguay-population/" xr:uid="{346EBDF2-3C7A-43B9-AF29-881CB7121AE9}"/>
    <hyperlink ref="C184" r:id="rId271" display="https://www.worldometers.info/coronavirus/country/jordan/" xr:uid="{D1235ABA-C00E-456A-BADD-CB9442AF3BC5}"/>
    <hyperlink ref="I184" r:id="rId272" display="https://www.worldometers.info/world-population/jordan-population/" xr:uid="{D449BD8D-78D7-47AA-9007-9CF35BCEFF0C}"/>
    <hyperlink ref="C161" r:id="rId273" display="https://www.worldometers.info/coronavirus/country/liberia/" xr:uid="{743B6238-201B-4C22-A14B-CF40B645BAE7}"/>
    <hyperlink ref="I161" r:id="rId274" display="https://www.worldometers.info/world-population/liberia-population/" xr:uid="{3FD731A5-4F43-4829-B804-A67FE88CE499}"/>
    <hyperlink ref="C151" r:id="rId275" display="https://www.worldometers.info/coronavirus/country/georgia/" xr:uid="{47268F43-9EB3-45F6-8B29-54142DD2FEED}"/>
    <hyperlink ref="I151" r:id="rId276" display="https://www.worldometers.info/world-population/georgia-population/" xr:uid="{9F43BFC9-0FBB-4ABC-98E8-AA458C111A73}"/>
    <hyperlink ref="C198" r:id="rId277" display="https://www.worldometers.info/coronavirus/country/niger/" xr:uid="{6BE5EFCC-D0DA-4505-8AE7-933596309FC8}"/>
    <hyperlink ref="I198" r:id="rId278" display="https://www.worldometers.info/world-population/niger-population/" xr:uid="{30C056B4-5EE3-4E75-B0DC-78153925B6E1}"/>
    <hyperlink ref="C203" r:id="rId279" display="https://www.worldometers.info/coronavirus/country/uganda/" xr:uid="{DEF1EA4F-FB9A-422F-AE52-869DC24A7B79}"/>
    <hyperlink ref="I203" r:id="rId280" display="https://www.worldometers.info/world-population/uganda-population/" xr:uid="{FB51DE0A-517F-46BE-8944-F143FE9279C0}"/>
    <hyperlink ref="C195" r:id="rId281" display="https://www.worldometers.info/coronavirus/country/burkina-faso/" xr:uid="{34389437-3BC1-4FCF-945A-99E348155E78}"/>
    <hyperlink ref="I195" r:id="rId282" display="https://www.worldometers.info/world-population/burkina-faso-population/" xr:uid="{F4583731-009D-4B6B-8C44-E667ECD61B23}"/>
    <hyperlink ref="C106" r:id="rId283" display="https://www.worldometers.info/coronavirus/country/cyprus/" xr:uid="{CE29765A-86F7-4A22-8806-768BD2567123}"/>
    <hyperlink ref="I106" r:id="rId284" display="https://www.worldometers.info/world-population/cyprus-population/" xr:uid="{27B4EFEF-1215-49D2-81C4-3AB6BA551FB1}"/>
    <hyperlink ref="C202" r:id="rId285" display="https://www.worldometers.info/coronavirus/country/angola/" xr:uid="{76A35680-648F-4ECF-8235-05F504F6139A}"/>
    <hyperlink ref="I202" r:id="rId286" display="https://www.worldometers.info/world-population/angola-population/" xr:uid="{2437AD4E-9A50-457F-9D06-E3F121D3A245}"/>
    <hyperlink ref="C194" r:id="rId287" display="https://www.worldometers.info/coronavirus/country/chad/" xr:uid="{B978E292-FC5B-4213-94C7-8F2D8F08BF07}"/>
    <hyperlink ref="I194" r:id="rId288" display="https://www.worldometers.info/world-population/chad-population/" xr:uid="{6A322E5F-B270-41FC-8206-1291BF6FE0AA}"/>
    <hyperlink ref="C13" r:id="rId289" display="https://www.worldometers.info/coronavirus/country/andorra/" xr:uid="{A677A694-7CB2-4F8D-93C0-4384BB764B1C}"/>
    <hyperlink ref="I13" r:id="rId290" display="https://www.worldometers.info/world-population/andorra-population/" xr:uid="{980F9F84-147C-4527-AF69-C6602D5E17CB}"/>
    <hyperlink ref="C49" r:id="rId291" display="https://www.worldometers.info/coronavirus/country/sao-tome-and-principe/" xr:uid="{4B8E679A-FD30-4C5B-BC98-56746A2242C0}"/>
    <hyperlink ref="I49" r:id="rId292" display="https://www.worldometers.info/world-population/sao-tome-and-principe-population/" xr:uid="{288B1890-C135-4BA7-B640-B2F5EC336B11}"/>
    <hyperlink ref="C186" r:id="rId293" display="https://www.worldometers.info/coronavirus/country/togo/" xr:uid="{FC3E5297-20E5-4DEE-AD22-4E68AE2F1085}"/>
    <hyperlink ref="I186" r:id="rId294" display="https://www.worldometers.info/world-population/togo-population/" xr:uid="{36A2DF1A-85B0-43F2-9B41-FB87B8B40DB6}"/>
    <hyperlink ref="C152" r:id="rId295" display="https://www.worldometers.info/coronavirus/country/jamaica/" xr:uid="{63334048-7C7A-4DF1-9106-BC97B26CA144}"/>
    <hyperlink ref="I152" r:id="rId296" display="https://www.worldometers.info/world-population/jamaica-population/" xr:uid="{305C5511-AD65-4942-A726-2968FA08291C}"/>
    <hyperlink ref="C85" r:id="rId297" display="https://www.worldometers.info/coronavirus/country/malta/" xr:uid="{29AC8887-E742-4654-9001-2092C218EA39}"/>
    <hyperlink ref="I85" r:id="rId298" display="https://www.worldometers.info/world-population/malta-population/" xr:uid="{AEAC1335-1205-4C23-81F1-D8F22E9BB516}"/>
    <hyperlink ref="C5" r:id="rId299" display="https://www.worldometers.info/coronavirus/country/san-marino/" xr:uid="{FA207B71-6733-40C2-81C3-620F3261F540}"/>
    <hyperlink ref="I5" r:id="rId300" display="https://www.worldometers.info/world-population/san-marino-population/" xr:uid="{EFF80727-35E4-40A9-9286-838C0355372D}"/>
    <hyperlink ref="C150" r:id="rId301" display="https://www.worldometers.info/coronavirus/country/botswana/" xr:uid="{50DE8236-DE25-4D82-B93A-BEE9CCC1AD9A}"/>
    <hyperlink ref="I150" r:id="rId302" display="https://www.worldometers.info/world-population/botswana-population/" xr:uid="{064B790C-D28A-4253-BAAD-925BA82E7D1E}"/>
    <hyperlink ref="C112" r:id="rId303" display="https://www.worldometers.info/coronavirus/country/reunion/" xr:uid="{FE03262B-C1AB-4C73-8A2C-B1754B6AD7DF}"/>
    <hyperlink ref="I112" r:id="rId304" display="https://www.worldometers.info/world-population/reunion-population/" xr:uid="{33FCABB6-0A7A-4138-A21B-0436561489E2}"/>
    <hyperlink ref="C199" r:id="rId305" display="https://www.worldometers.info/coronavirus/country/syria/" xr:uid="{3570D3FA-2764-411F-9266-B22E6DCCF8EC}"/>
    <hyperlink ref="I199" r:id="rId306" display="https://www.worldometers.info/world-population/syria-population/" xr:uid="{CB69CEC2-FC80-41F7-9817-B6003F8078AE}"/>
    <hyperlink ref="C54" r:id="rId307" display="https://www.worldometers.info/coronavirus/country/channel-islands/" xr:uid="{48B5046D-EF98-40ED-920C-4C0582C60700}"/>
    <hyperlink ref="I54" r:id="rId308" display="https://www.worldometers.info/world-population/channel-islands-population/" xr:uid="{26218EBD-A70D-4473-9ACC-B02BBC8641E1}"/>
    <hyperlink ref="C208" r:id="rId309" display="https://www.worldometers.info/coronavirus/country/tanzania/" xr:uid="{341F165D-78B6-4ACF-933B-1E50253FF674}"/>
    <hyperlink ref="I208" r:id="rId310" display="https://www.worldometers.info/world-population/tanzania-population/" xr:uid="{6C7E8368-1692-4A7F-B50D-0FFE7EAC4CE0}"/>
    <hyperlink ref="C159" r:id="rId311" display="https://www.worldometers.info/coronavirus/country/lesotho/" xr:uid="{E7AB8516-5188-475C-94E9-4EE31A5F684C}"/>
    <hyperlink ref="I159" r:id="rId312" display="https://www.worldometers.info/world-population/lesotho-population/" xr:uid="{66782F4D-5943-4524-9DA3-4506B1187002}"/>
    <hyperlink ref="C204" r:id="rId313" display="https://www.worldometers.info/coronavirus/country/taiwan/" xr:uid="{D270ED80-245C-4BA7-8B54-82C37BBF4302}"/>
    <hyperlink ref="I204" r:id="rId314" display="https://www.worldometers.info/world-population/taiwan-population/" xr:uid="{3F31BBB3-6FA0-46A6-9A3F-F80128C0E00E}"/>
    <hyperlink ref="C211" r:id="rId315" display="https://www.worldometers.info/coronavirus/country/viet-nam/" xr:uid="{9C501FF9-8657-494E-B168-AE47911BC2D1}"/>
    <hyperlink ref="I211" r:id="rId316" display="https://www.worldometers.info/world-population/viet-nam-population/" xr:uid="{CF93C887-DA85-41D8-A1C9-D30124E5A4FF}"/>
    <hyperlink ref="C200" r:id="rId317" display="https://www.worldometers.info/coronavirus/country/burundi/" xr:uid="{324F5F17-01CE-45A9-BA4E-F1F943EACFA1}"/>
    <hyperlink ref="I200" r:id="rId318" display="https://www.worldometers.info/world-population/burundi-population/" xr:uid="{17A5A691-9DAD-4844-B5F2-598FC0AF1D6B}"/>
    <hyperlink ref="C135" r:id="rId319" display="https://www.worldometers.info/coronavirus/country/guyana/" xr:uid="{6C859BA9-67BC-461C-B3C0-1C7F4388DFC5}"/>
    <hyperlink ref="I135" r:id="rId320" display="https://www.worldometers.info/world-population/guyana-population/" xr:uid="{55D5AB97-7525-4F4A-940C-F41DF2DD946C}"/>
    <hyperlink ref="C137" r:id="rId321" display="https://www.worldometers.info/coronavirus/country/comoros/" xr:uid="{14FEC971-41BE-4F64-BD49-38082DFC754F}"/>
    <hyperlink ref="I137" r:id="rId322" display="https://www.worldometers.info/world-population/comoros-population/" xr:uid="{78D7BB85-60BE-4BEB-84B4-A0F59E721AD6}"/>
    <hyperlink ref="C210" r:id="rId323" display="https://www.worldometers.info/coronavirus/country/myanmar/" xr:uid="{52057DF1-50A2-48D5-BA73-96FBB3BB26DE}"/>
    <hyperlink ref="I210" r:id="rId324" display="https://www.worldometers.info/world-population/myanmar-population/" xr:uid="{34B48037-BDE6-4AE2-9039-4A70915C5188}"/>
    <hyperlink ref="C155" r:id="rId325" display="https://www.worldometers.info/coronavirus/country/mauritius/" xr:uid="{E3019DEB-1AC9-4591-AE9B-63B375D3BFC7}"/>
    <hyperlink ref="I155" r:id="rId326" display="https://www.worldometers.info/world-population/mauritius-population/" xr:uid="{BBD9BC7A-8F4E-443E-AE01-ABFCEBCC9745}"/>
    <hyperlink ref="C48" r:id="rId327" display="https://www.worldometers.info/coronavirus/country/isle-of-man/" xr:uid="{20A56870-6F96-443F-B959-6DC2DB1AB7DA}"/>
    <hyperlink ref="I48" r:id="rId328" display="https://www.worldometers.info/world-population/isle-of-man-population/" xr:uid="{94920842-EC61-4903-BC54-04711F8D9B33}"/>
    <hyperlink ref="C108" r:id="rId329" display="https://www.worldometers.info/coronavirus/country/bahamas/" xr:uid="{67078526-C502-4E8C-884C-5218083200A2}"/>
    <hyperlink ref="I108" r:id="rId330" display="https://www.worldometers.info/world-population/bahamas-population/" xr:uid="{06814391-185E-4C12-912F-9BF225B6F312}"/>
    <hyperlink ref="C188" r:id="rId331" display="https://www.worldometers.info/coronavirus/country/mongolia/" xr:uid="{49570E1D-07A4-4879-9E0D-570EEFB956DD}"/>
    <hyperlink ref="I188" r:id="rId332" display="https://www.worldometers.info/world-population/mongolia-population/" xr:uid="{46CA2BF6-905C-42C6-BC68-B2864F4504DA}"/>
    <hyperlink ref="C183" r:id="rId333" display="https://www.worldometers.info/coronavirus/country/gambia/" xr:uid="{8BEEF970-31F0-4ADE-905C-CC9CEFE6F070}"/>
    <hyperlink ref="I183" r:id="rId334" display="https://www.worldometers.info/world-population/gambia-population/" xr:uid="{012F472D-7511-4119-88B6-F8F03894C079}"/>
    <hyperlink ref="C113" r:id="rId335" display="https://www.worldometers.info/coronavirus/country/martinique/" xr:uid="{6693AF60-FBC9-4B7B-BBF9-AE2E513542C6}"/>
    <hyperlink ref="I113" r:id="rId336" display="https://www.worldometers.info/world-population/martinique-population/" xr:uid="{9183F897-8B9D-4FF1-8C84-5CB034BC88AE}"/>
    <hyperlink ref="C190" r:id="rId337" display="https://www.worldometers.info/coronavirus/country/eritrea/" xr:uid="{40C66915-1CEE-4E22-B558-AE341DE37E1E}"/>
    <hyperlink ref="I190" r:id="rId338" display="https://www.worldometers.info/world-population/eritrea-population/" xr:uid="{E4C3FA49-C374-42F4-8756-BE7722FE45DF}"/>
    <hyperlink ref="C207" r:id="rId339" display="https://www.worldometers.info/coronavirus/country/cambodia/" xr:uid="{F70AF833-F971-4199-A3BB-57D3F5E731B9}"/>
    <hyperlink ref="I207" r:id="rId340" display="https://www.worldometers.info/world-population/cambodia-population/" xr:uid="{6829B3E2-6FFC-402E-9DFA-D3C57E48F326}"/>
    <hyperlink ref="C42" r:id="rId341" display="https://www.worldometers.info/coronavirus/country/faeroe-islands/" xr:uid="{B8F475F6-3DF7-4695-B9EE-9AE0E4EEEF2A}"/>
    <hyperlink ref="I42" r:id="rId342" display="https://www.worldometers.info/world-population/faeroe-islands-population/" xr:uid="{95ABD0D1-AD14-43EC-9D20-7E51D5BB139C}"/>
    <hyperlink ref="C132" r:id="rId343" display="https://www.worldometers.info/coronavirus/country/guadeloupe/" xr:uid="{C73E7F44-AD3F-4364-B86D-4581B1231C05}"/>
    <hyperlink ref="I132" r:id="rId344" display="https://www.worldometers.info/world-population/guadeloupe-population/" xr:uid="{5A343BCD-BD2A-457D-B7E2-B0D14E8F7C05}"/>
    <hyperlink ref="C56" r:id="rId345" display="https://www.worldometers.info/coronavirus/country/cayman-islands/" xr:uid="{3BA623D4-4900-4576-BE9A-6957EB1C6D45}"/>
    <hyperlink ref="I56" r:id="rId346" display="https://www.worldometers.info/world-population/cayman-islands-population/" xr:uid="{4B3F44CC-B48F-44E8-89A3-3FA5261B97E5}"/>
    <hyperlink ref="C32" r:id="rId347" display="https://www.worldometers.info/coronavirus/country/gibraltar/" xr:uid="{8E0D4D5A-8B5D-494B-BCCD-CF628EA6C9F3}"/>
    <hyperlink ref="I32" r:id="rId348" display="https://www.worldometers.info/world-population/gibraltar-population/" xr:uid="{425651AC-EF2F-4261-8BD8-6D214DF05D46}"/>
    <hyperlink ref="C71" r:id="rId349" display="https://www.worldometers.info/coronavirus/country/bermuda/" xr:uid="{26A033FC-14F1-4071-A9BC-E193157B91C7}"/>
    <hyperlink ref="I71" r:id="rId350" display="https://www.worldometers.info/world-population/bermuda-population/" xr:uid="{EE0F8860-4180-47D8-AD52-01C34B32FC83}"/>
    <hyperlink ref="C185" r:id="rId351" display="https://www.worldometers.info/coronavirus/country/trinidad-and-tobago/" xr:uid="{19450EEF-3F17-4B37-800C-9B6A2D10B784}"/>
    <hyperlink ref="I185" r:id="rId352" display="https://www.worldometers.info/world-population/trinidad-and-tobago-population/" xr:uid="{514DFA68-6AC5-4710-8234-66A5342DD6B5}"/>
    <hyperlink ref="C146" r:id="rId353" display="https://www.worldometers.info/coronavirus/country/brunei-darussalam/" xr:uid="{76F08463-AB6F-4256-8810-213A742300B7}"/>
    <hyperlink ref="I146" r:id="rId354" display="https://www.worldometers.info/world-population/brunei-darussalam-population/" xr:uid="{21BA73D0-9255-4365-BD1D-640A9F5C0E55}"/>
    <hyperlink ref="C98" r:id="rId355" display="https://www.worldometers.info/coronavirus/country/aruba/" xr:uid="{4236CA67-9A86-46A6-9043-C8E79DF024A2}"/>
    <hyperlink ref="I98" r:id="rId356" display="https://www.worldometers.info/world-population/aruba-population/" xr:uid="{4D4DF85C-C0F8-4AAA-AEF9-BAD9612BFD24}"/>
    <hyperlink ref="C62" r:id="rId357" display="https://www.worldometers.info/coronavirus/country/monaco/" xr:uid="{22751B57-FCD5-4FD1-8E74-5C83B8633EDB}"/>
    <hyperlink ref="I62" r:id="rId358" display="https://www.worldometers.info/world-population/monaco-population/" xr:uid="{F78A58D5-D9A1-4EF0-9D1C-48419E14C875}"/>
    <hyperlink ref="C96" r:id="rId359" display="https://www.worldometers.info/coronavirus/country/seychelles/" xr:uid="{F68AF6D6-61A0-4593-BB31-446DC23CCBE3}"/>
    <hyperlink ref="I96" r:id="rId360" display="https://www.worldometers.info/world-population/seychelles-population/" xr:uid="{858DA3EE-E5C0-4CD9-B968-91165B60D8C8}"/>
    <hyperlink ref="C140" r:id="rId361" display="https://www.worldometers.info/coronavirus/country/barbados/" xr:uid="{FC4465EF-120C-4108-9FD1-334A6EB02DBC}"/>
    <hyperlink ref="I140" r:id="rId362" display="https://www.worldometers.info/world-population/barbados-population/" xr:uid="{2F110706-405C-45B3-A95E-E5E2395A06C0}"/>
    <hyperlink ref="C68" r:id="rId363" display="https://www.worldometers.info/coronavirus/country/turks-and-caicos-islands/" xr:uid="{4BB28B8F-FFB8-4EE6-89BD-EA6EA3496A89}"/>
    <hyperlink ref="I68" r:id="rId364" display="https://www.worldometers.info/world-population/turks-and-caicos-islands-population/" xr:uid="{68BD8CFA-3C46-4F80-B658-A3BC2C38067E}"/>
    <hyperlink ref="C80" r:id="rId365" display="https://www.worldometers.info/coronavirus/country/sint-maarten/" xr:uid="{0B924D52-B11D-4176-9EDB-A7661720864C}"/>
    <hyperlink ref="I80" r:id="rId366" display="https://www.worldometers.info/world-population/sint-maarten-population/" xr:uid="{1F68C8DA-A2A8-4044-BB95-33EEA0734791}"/>
    <hyperlink ref="C181" r:id="rId367" display="https://www.worldometers.info/coronavirus/country/bhutan/" xr:uid="{D22BEE87-C122-4EB8-8219-5A81B8647876}"/>
    <hyperlink ref="I181" r:id="rId368" display="https://www.worldometers.info/world-population/bhutan-population/" xr:uid="{8BA7D1CD-B1AE-41C5-8A7F-6C55160C6F08}"/>
    <hyperlink ref="C77" r:id="rId369" display="https://www.worldometers.info/coronavirus/country/liechtenstein/" xr:uid="{497D3C23-4EB6-4994-AB9E-80E2D41553B6}"/>
    <hyperlink ref="I77" r:id="rId370" display="https://www.worldometers.info/world-population/liechtenstein-population/" xr:uid="{DE6FEEFE-58C7-4BFF-AE91-3A19632F55AD}"/>
    <hyperlink ref="C107" r:id="rId371" display="https://www.worldometers.info/coronavirus/country/antigua-and-barbuda/" xr:uid="{0FEFD004-378E-4E0D-A061-BFD315217C89}"/>
    <hyperlink ref="I107" r:id="rId372" display="https://www.worldometers.info/world-population/antigua-and-barbuda-population/" xr:uid="{383F76F9-E817-4687-B54C-DC5632C65FF5}"/>
    <hyperlink ref="C209" r:id="rId373" display="https://www.worldometers.info/coronavirus/country/papua-new-guinea/" xr:uid="{F1FE19A5-BF10-4275-9EED-74723F53167D}"/>
    <hyperlink ref="I209" r:id="rId374" display="https://www.worldometers.info/world-population/papua-new-guinea-population/" xr:uid="{F06B2874-5902-42A1-B2B8-984BC82A7149}"/>
    <hyperlink ref="C165" r:id="rId375" display="https://www.worldometers.info/coronavirus/country/french-polynesia/" xr:uid="{AE0553C1-A24C-41CF-A664-9619670851AC}"/>
    <hyperlink ref="I165" r:id="rId376" display="https://www.worldometers.info/world-population/french-polynesia-population/" xr:uid="{84509E08-6654-46B3-A668-2A0FFF41382A}"/>
    <hyperlink ref="C133" r:id="rId377" display="https://www.worldometers.info/coronavirus/country/saint-vincent-and-the-grenadines/" xr:uid="{DE093911-F247-42BA-9A8B-D1D89D0D7A7C}"/>
    <hyperlink ref="I133" r:id="rId378" display="https://www.worldometers.info/world-population/saint-vincent-and-the-grenadines-population/" xr:uid="{4B5935F1-E600-4926-AE0D-ED45F2CB0433}"/>
    <hyperlink ref="C93" r:id="rId379" display="https://www.worldometers.info/coronavirus/country/saint-martin/" xr:uid="{656DA637-C395-4F7A-BEE6-F5DDB4DB67AD}"/>
    <hyperlink ref="I93" r:id="rId380" display="https://www.worldometers.info/world-population/saint-martin-population/" xr:uid="{3A906409-48D3-4CD0-B72A-6318023E0992}"/>
    <hyperlink ref="C180" r:id="rId381" display="https://www.worldometers.info/coronavirus/country/belize/" xr:uid="{7AB5C79B-2EB9-47CF-A745-4E07F5808532}"/>
    <hyperlink ref="I180" r:id="rId382" display="https://www.worldometers.info/world-population/belize-population/" xr:uid="{3CAA0DEF-F1FA-4F17-AB24-3B81A82DF6D1}"/>
    <hyperlink ref="C191" r:id="rId383" display="https://www.worldometers.info/coronavirus/country/china-macao-sar/" xr:uid="{B5168BFC-7DB5-480F-B9E6-6A0297CE19E0}"/>
    <hyperlink ref="I191" r:id="rId384" display="https://www.worldometers.info/world-population/china-macao-sar-population/" xr:uid="{E52F55A3-1A26-473D-A9E1-43FFE2959324}"/>
    <hyperlink ref="C172" r:id="rId385" display="https://www.worldometers.info/coronavirus/country/curacao/" xr:uid="{12126052-CBD4-414F-A59A-BE3683291468}"/>
    <hyperlink ref="I172" r:id="rId386" display="https://www.worldometers.info/world-population/curacao-population/" xr:uid="{30DDDCE0-1F47-49E1-B1BC-E85BB0020B3E}"/>
    <hyperlink ref="C201" r:id="rId387" display="https://www.worldometers.info/coronavirus/country/fiji/" xr:uid="{27DA2897-8787-44B8-BA0B-FC3EDD194D42}"/>
    <hyperlink ref="I201" r:id="rId388" display="https://www.worldometers.info/world-population/fiji-population/" xr:uid="{2DBCBB6A-BA67-4441-8CFB-907248D0E4E3}"/>
    <hyperlink ref="C176" r:id="rId389" display="https://www.worldometers.info/coronavirus/country/saint-lucia/" xr:uid="{F6D01CE4-5C0C-4026-A61B-AD185E521F94}"/>
    <hyperlink ref="I176" r:id="rId390" display="https://www.worldometers.info/world-population/saint-lucia-population/" xr:uid="{B4A8D6F6-3331-466A-A286-8260B7DC1C15}"/>
    <hyperlink ref="C205" r:id="rId391" display="https://www.worldometers.info/coronavirus/country/timor-leste/" xr:uid="{BBEA19AB-E5DD-4493-81CC-B865CC4BA61A}"/>
    <hyperlink ref="I205" r:id="rId392" display="https://www.worldometers.info/world-population/timor-leste-population/" xr:uid="{9103CEF3-39F9-476B-9ACC-EDDC843301E5}"/>
    <hyperlink ref="C167" r:id="rId393" display="https://www.worldometers.info/coronavirus/country/grenada/" xr:uid="{93F04943-DF1A-4B09-BF2A-86EDDD8B880B}"/>
    <hyperlink ref="I167" r:id="rId394" display="https://www.worldometers.info/world-population/grenada-population/" xr:uid="{436F1B08-199B-44C3-88C9-B14D48E8CAEA}"/>
    <hyperlink ref="C189" r:id="rId395" display="https://www.worldometers.info/coronavirus/country/new-caledonia/" xr:uid="{82F3CC7C-E15D-4525-846C-E801948D7179}"/>
    <hyperlink ref="I189" r:id="rId396" display="https://www.worldometers.info/world-population/new-caledonia-population/" xr:uid="{3A1F814C-B548-4026-BC84-381B957D2765}"/>
    <hyperlink ref="C212" r:id="rId397" display="https://www.worldometers.info/coronavirus/country/laos/" xr:uid="{326073F4-E54A-4339-908B-6288FEDBF1CF}"/>
    <hyperlink ref="I212" r:id="rId398" display="https://www.worldometers.info/world-population/laos-population/" xr:uid="{321041A0-DA72-49E7-95B2-F9B7EBBF7D99}"/>
    <hyperlink ref="C158" r:id="rId399" display="https://www.worldometers.info/coronavirus/country/dominica/" xr:uid="{C69B248B-5603-4F55-BC0D-B02FBED7189C}"/>
    <hyperlink ref="I158" r:id="rId400" display="https://www.worldometers.info/world-population/dominica-population/" xr:uid="{174FB058-0230-4723-94B1-E51A18E68122}"/>
    <hyperlink ref="C147" r:id="rId401" display="https://www.worldometers.info/coronavirus/country/saint-kitts-and-nevis/" xr:uid="{532F78AF-8D15-466A-8ED9-4CE79F2CA0D4}"/>
    <hyperlink ref="I147" r:id="rId402" display="https://www.worldometers.info/world-population/saint-kitts-and-nevis-population/" xr:uid="{A9091531-3BD2-48D1-AC43-A11E3F644035}"/>
    <hyperlink ref="C51" r:id="rId403" display="https://www.worldometers.info/coronavirus/country/falkland-islands-malvinas/" xr:uid="{16665E75-9ACD-42C7-B1B7-340A7B12C9D6}"/>
    <hyperlink ref="I51" r:id="rId404" display="https://www.worldometers.info/world-population/falkland-islands-malvinas-population/" xr:uid="{A7CD118C-8365-42A2-821B-6B4B9EF5BB54}"/>
    <hyperlink ref="C162" r:id="rId405" display="https://www.worldometers.info/coronavirus/country/greenland/" xr:uid="{8B40A6B0-AED2-4A5B-9181-EAEE06271D82}"/>
    <hyperlink ref="I162" r:id="rId406" display="https://www.worldometers.info/world-population/greenland-population/" xr:uid="{54245C54-25D8-4701-BE04-574F66FB928A}"/>
    <hyperlink ref="C72" r:id="rId407" display="https://www.worldometers.info/coronavirus/country/montserrat/" xr:uid="{F676D971-1437-4434-9635-E72A5101777C}"/>
    <hyperlink ref="I72" r:id="rId408" display="https://www.worldometers.info/world-population/montserrat-population/" xr:uid="{A6ACA752-BDD8-4F0B-A6A1-D7F57C73463A}"/>
    <hyperlink ref="C7" r:id="rId409" display="https://www.worldometers.info/coronavirus/country/holy-see/" xr:uid="{7D6C1A30-2FF3-4637-8E6B-F2CD1B060F00}"/>
    <hyperlink ref="I7" r:id="rId410" display="https://www.worldometers.info/world-population/holy-see-population/" xr:uid="{F42B2983-F259-4643-971C-4C1040E50390}"/>
    <hyperlink ref="C136" r:id="rId411" display="https://www.worldometers.info/coronavirus/country/caribbean-netherlands/" xr:uid="{1C995892-EE8C-4F62-88CF-D3B072FDBA49}"/>
    <hyperlink ref="I136" r:id="rId412" display="https://www.worldometers.info/world-population/caribbean-netherlands-population/" xr:uid="{2126F9FD-79A4-49F2-9C38-AA2A4586FECD}"/>
    <hyperlink ref="C206" r:id="rId413" display="https://www.worldometers.info/coronavirus/country/western-sahara/" xr:uid="{1FFFD37E-3319-4238-B646-F5035E8E9F68}"/>
    <hyperlink ref="I206" r:id="rId414" display="https://www.worldometers.info/world-population/western-sahara-population/" xr:uid="{054134C1-8E48-4EF0-815B-4B99D96C7C72}"/>
    <hyperlink ref="C156" r:id="rId415" display="https://www.worldometers.info/coronavirus/country/british-virgin-islands/" xr:uid="{DDE063B7-57A7-4218-A01A-F60FD2C94A1D}"/>
    <hyperlink ref="I156" r:id="rId416" display="https://www.worldometers.info/world-population/british-virgin-islands-population/" xr:uid="{F31FFD4F-AA7B-4091-A160-76DC41D685F6}"/>
    <hyperlink ref="C114" r:id="rId417" display="https://www.worldometers.info/coronavirus/country/saint-barthelemy/" xr:uid="{BDBBC7E3-2EC5-4044-B615-810A8B66D1FD}"/>
    <hyperlink ref="I114" r:id="rId418" display="https://www.worldometers.info/world-population/saint-barthelemy-population/" xr:uid="{544941FB-F1F2-4937-95E9-5A9147698A67}"/>
    <hyperlink ref="C213" r:id="rId419" display="https://www.worldometers.info/coronavirus/country/saint-pierre-and-miquelon/" xr:uid="{1D6E0204-2517-4F34-B989-72084D87DCC5}"/>
    <hyperlink ref="I213" r:id="rId420" display="https://www.worldometers.info/world-population/saint-pierre-and-miquelon-population/" xr:uid="{51A954EB-32C6-4A02-92A0-15C1094D5110}"/>
    <hyperlink ref="C214" r:id="rId421" display="https://www.worldometers.info/coronavirus/country/anguilla/" xr:uid="{1712C69B-E862-4108-A2EF-6DD5E7F8D759}"/>
    <hyperlink ref="I214" r:id="rId422" display="https://www.worldometers.info/world-population/anguilla-population/" xr:uid="{BC2D2A77-069F-4BDF-9F3C-AD40B520E573}"/>
  </hyperlinks>
  <pageMargins left="0.7" right="0.7" top="0.75" bottom="0.75" header="0.51180555555555496" footer="0.51180555555555496"/>
  <pageSetup firstPageNumber="0" orientation="portrait" horizontalDpi="300" verticalDpi="300" r:id="rId423"/>
  <ignoredErrors>
    <ignoredError sqref="T5" evalError="1"/>
  </ignoredErrors>
  <tableParts count="1">
    <tablePart r:id="rId4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91"/>
  <sheetViews>
    <sheetView zoomScaleNormal="100" workbookViewId="0">
      <pane xSplit="13" ySplit="17" topLeftCell="N59" activePane="bottomRight" state="frozen"/>
      <selection pane="topRight" activeCell="N1" sqref="N1"/>
      <selection pane="bottomLeft" activeCell="A20" sqref="A20"/>
      <selection pane="bottomRight" activeCell="A62" sqref="A62"/>
    </sheetView>
  </sheetViews>
  <sheetFormatPr defaultColWidth="9.140625" defaultRowHeight="15" x14ac:dyDescent="0.25"/>
  <cols>
    <col min="1" max="1" width="27" style="7" customWidth="1"/>
    <col min="2" max="2" width="11.42578125" style="1" customWidth="1"/>
    <col min="3" max="3" width="12.85546875" style="1" hidden="1" customWidth="1"/>
    <col min="4" max="4" width="9.42578125" style="1" customWidth="1"/>
    <col min="5" max="5" width="14" style="1" hidden="1" customWidth="1"/>
    <col min="6" max="6" width="11.42578125" style="1" customWidth="1"/>
    <col min="7" max="7" width="12" style="1" customWidth="1"/>
    <col min="8" max="8" width="13.140625" style="1" customWidth="1"/>
    <col min="9" max="9" width="12.7109375" style="1" customWidth="1"/>
    <col min="10" max="10" width="10.7109375" style="1" customWidth="1"/>
    <col min="11" max="11" width="10.7109375" style="1" hidden="1" customWidth="1"/>
    <col min="12" max="12" width="39.7109375" style="1" hidden="1" customWidth="1"/>
    <col min="13" max="13" width="10.85546875" style="1" customWidth="1"/>
    <col min="14" max="14" width="8.85546875" style="1" customWidth="1"/>
    <col min="15" max="15" width="12.7109375" style="1" customWidth="1"/>
    <col min="16" max="16" width="12.85546875" style="1" customWidth="1"/>
    <col min="17" max="17" width="9.28515625" style="1" customWidth="1"/>
    <col min="18" max="18" width="11.7109375" style="1" customWidth="1"/>
    <col min="19" max="19" width="10.7109375" style="1" customWidth="1"/>
    <col min="20" max="20" width="11.28515625" style="1" customWidth="1"/>
    <col min="21" max="21" width="12" style="1" customWidth="1"/>
    <col min="22" max="22" width="11.7109375" style="1" customWidth="1"/>
    <col min="23" max="23" width="13.28515625" style="1" customWidth="1"/>
    <col min="24" max="24" width="12" style="1" bestFit="1" customWidth="1"/>
    <col min="25" max="53" width="9.140625" style="1"/>
    <col min="54" max="54" width="16.85546875" style="1" bestFit="1" customWidth="1"/>
    <col min="55" max="1023" width="9.140625" style="1"/>
  </cols>
  <sheetData>
    <row r="1" spans="1:54" s="7" customFormat="1" ht="31.5" customHeight="1" thickBot="1" x14ac:dyDescent="0.3">
      <c r="A1" s="17" t="s">
        <v>236</v>
      </c>
      <c r="B1" s="17" t="s">
        <v>2</v>
      </c>
      <c r="C1" s="17" t="s">
        <v>3</v>
      </c>
      <c r="D1" s="17" t="s">
        <v>4</v>
      </c>
      <c r="E1" s="17" t="s">
        <v>5</v>
      </c>
      <c r="F1" s="17" t="s">
        <v>7</v>
      </c>
      <c r="G1" s="18" t="s">
        <v>9</v>
      </c>
      <c r="H1" s="18" t="s">
        <v>10</v>
      </c>
      <c r="I1" s="18" t="s">
        <v>11</v>
      </c>
      <c r="J1" s="18" t="s">
        <v>237</v>
      </c>
      <c r="K1" s="18" t="s">
        <v>238</v>
      </c>
      <c r="L1" s="18" t="s">
        <v>239</v>
      </c>
      <c r="M1" s="18" t="s">
        <v>21</v>
      </c>
      <c r="N1" s="19" t="s">
        <v>13</v>
      </c>
      <c r="O1" s="19" t="s">
        <v>14</v>
      </c>
      <c r="P1" s="19" t="s">
        <v>15</v>
      </c>
      <c r="Q1" s="20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240</v>
      </c>
      <c r="W1" s="7" t="s">
        <v>331</v>
      </c>
      <c r="X1" s="7" t="s">
        <v>329</v>
      </c>
    </row>
    <row r="2" spans="1:54" ht="15.95" customHeight="1" thickBot="1" x14ac:dyDescent="0.3">
      <c r="A2" s="62" t="s">
        <v>344</v>
      </c>
      <c r="B2" s="54">
        <v>4334316</v>
      </c>
      <c r="C2" s="54">
        <v>18607</v>
      </c>
      <c r="D2" s="54">
        <v>149549</v>
      </c>
      <c r="E2" s="55">
        <v>151</v>
      </c>
      <c r="F2" s="54">
        <v>2122888</v>
      </c>
      <c r="G2" s="54">
        <v>13095</v>
      </c>
      <c r="H2" s="55">
        <v>452</v>
      </c>
      <c r="I2" s="54">
        <v>53374084</v>
      </c>
      <c r="J2" s="54">
        <v>161250</v>
      </c>
      <c r="K2" s="60"/>
      <c r="L2" s="61"/>
      <c r="M2" s="10">
        <f>Table2[[#This Row],[Active]]/Table2[[#This Row],[Cases]]</f>
        <v>0.48978616233795597</v>
      </c>
      <c r="N2" s="9">
        <f>1000000/Table2[[#This Row],[Cases/1M]]</f>
        <v>76.36502481863306</v>
      </c>
      <c r="O2" s="9">
        <f>1000000/Table2[[#This Row],[Deaths/1M]]</f>
        <v>2212.3893805309735</v>
      </c>
      <c r="P2" s="9">
        <f>Table2[[#This Row],[Deaths]]+Table2[[#This Row],[Active]]*Table2[[#This Row],[Death Rate]]</f>
        <v>222796.03079147899</v>
      </c>
      <c r="Q2" s="10">
        <f>Table2[[#This Row],[Deaths]]/Table2[[#This Row],[Cases]]</f>
        <v>3.4503483363926397E-2</v>
      </c>
      <c r="R2" s="9">
        <f>Table2[[#This Row],[Cases]]/Table2[[#This Row],[Deaths]]</f>
        <v>28.982580960086661</v>
      </c>
      <c r="S2" s="12">
        <f>Table2[[#This Row],[Cases/1M]]/1000000</f>
        <v>1.3095000000000001E-2</v>
      </c>
      <c r="T2" s="12">
        <f>Table2[[#This Row],[Deaths/1M]]/1000000</f>
        <v>4.5199999999999998E-4</v>
      </c>
      <c r="U2" s="13">
        <f>1-Table2[[#This Row],[Deaths]]/Table2[[#This Row],[Ex(Deaths)]]</f>
        <v>0.32876272764496839</v>
      </c>
      <c r="V2" s="13">
        <f>Table2[[#This Row],[Cases]]/Table2[[#This Row],[Tests]]</f>
        <v>8.1206377237312402E-2</v>
      </c>
      <c r="W2" s="12">
        <f>Table2[[#This Row],[Percent Infected]]*Table2[[#This Row],[% Active]]</f>
        <v>6.413749795815534E-3</v>
      </c>
      <c r="X2" s="9">
        <f>1/Table2[[#This Row],[Percent Active Infected]]</f>
        <v>155.9150312742822</v>
      </c>
    </row>
    <row r="3" spans="1:54" s="22" customFormat="1" ht="15.95" customHeight="1" thickBot="1" x14ac:dyDescent="0.3">
      <c r="A3" s="44" t="s">
        <v>269</v>
      </c>
      <c r="B3" s="47">
        <v>453121</v>
      </c>
      <c r="C3" s="48"/>
      <c r="D3" s="47">
        <v>8429</v>
      </c>
      <c r="E3" s="57">
        <v>2</v>
      </c>
      <c r="F3" s="47">
        <v>305454</v>
      </c>
      <c r="G3" s="47">
        <v>11468</v>
      </c>
      <c r="H3" s="48">
        <v>213</v>
      </c>
      <c r="I3" s="47">
        <v>7047355</v>
      </c>
      <c r="J3" s="47">
        <v>178359</v>
      </c>
      <c r="K3" s="55"/>
      <c r="L3" s="55"/>
      <c r="M3" s="10">
        <f>Table2[[#This Row],[Active]]/Table2[[#This Row],[Cases]]</f>
        <v>0.67411133008622426</v>
      </c>
      <c r="N3" s="9">
        <f>1000000/Table2[[#This Row],[Cases/1M]]</f>
        <v>87.19916288803627</v>
      </c>
      <c r="O3" s="9">
        <f>1000000/Table2[[#This Row],[Deaths/1M]]</f>
        <v>4694.8356807511736</v>
      </c>
      <c r="P3" s="9">
        <f>Table2[[#This Row],[Deaths]]+Table2[[#This Row],[Active]]*Table2[[#This Row],[Death Rate]]</f>
        <v>14111.084401296783</v>
      </c>
      <c r="Q3" s="10">
        <f>Table2[[#This Row],[Deaths]]/Table2[[#This Row],[Cases]]</f>
        <v>1.8602095246082171E-2</v>
      </c>
      <c r="R3" s="9">
        <f>Table2[[#This Row],[Cases]]/Table2[[#This Row],[Deaths]]</f>
        <v>53.757385217700794</v>
      </c>
      <c r="S3" s="12">
        <f>Table2[[#This Row],[Cases/1M]]/1000000</f>
        <v>1.1468000000000001E-2</v>
      </c>
      <c r="T3" s="12">
        <f>Table2[[#This Row],[Deaths/1M]]/1000000</f>
        <v>2.13E-4</v>
      </c>
      <c r="U3" s="13">
        <f>1-Table2[[#This Row],[Deaths]]/Table2[[#This Row],[Ex(Deaths)]]</f>
        <v>0.40266816069604183</v>
      </c>
      <c r="V3" s="13">
        <f>Table2[[#This Row],[Cases]]/Table2[[#This Row],[Tests]]</f>
        <v>6.4296604896446966E-2</v>
      </c>
      <c r="W3" s="12">
        <f>Table2[[#This Row],[Percent Infected]]*Table2[[#This Row],[% Active]]</f>
        <v>7.7307087334288205E-3</v>
      </c>
      <c r="X3" s="9">
        <f>1/Table2[[#This Row],[Percent Active Infected]]</f>
        <v>129.35424609594205</v>
      </c>
      <c r="BB3" s="1"/>
    </row>
    <row r="4" spans="1:54" ht="15.95" customHeight="1" thickBot="1" x14ac:dyDescent="0.3">
      <c r="A4" s="44" t="s">
        <v>241</v>
      </c>
      <c r="B4" s="47">
        <v>439280</v>
      </c>
      <c r="C4" s="48"/>
      <c r="D4" s="47">
        <v>32679</v>
      </c>
      <c r="E4" s="48"/>
      <c r="F4" s="47">
        <v>130821</v>
      </c>
      <c r="G4" s="47">
        <v>22581</v>
      </c>
      <c r="H4" s="47">
        <v>1680</v>
      </c>
      <c r="I4" s="47">
        <v>5516311</v>
      </c>
      <c r="J4" s="47">
        <v>283563</v>
      </c>
      <c r="K4" s="56" t="s">
        <v>334</v>
      </c>
      <c r="L4" s="42" t="s">
        <v>242</v>
      </c>
      <c r="M4" s="24">
        <f>Table2[[#This Row],[Active]]/Table2[[#This Row],[Cases]]</f>
        <v>0.2978077763613185</v>
      </c>
      <c r="N4" s="25">
        <f>1000000/Table2[[#This Row],[Cases/1M]]</f>
        <v>44.285018378282629</v>
      </c>
      <c r="O4" s="25">
        <f>1000000/Table2[[#This Row],[Deaths/1M]]</f>
        <v>595.23809523809518</v>
      </c>
      <c r="P4" s="9">
        <f>Table2[[#This Row],[Deaths]]+Table2[[#This Row],[Active]]*Table2[[#This Row],[Death Rate]]</f>
        <v>42411.060323711528</v>
      </c>
      <c r="Q4" s="24">
        <f>Table2[[#This Row],[Deaths]]/Table2[[#This Row],[Cases]]</f>
        <v>7.4392187215443453E-2</v>
      </c>
      <c r="R4" s="9">
        <f>Table2[[#This Row],[Cases]]/Table2[[#This Row],[Deaths]]</f>
        <v>13.442271795342574</v>
      </c>
      <c r="S4" s="12">
        <f>Table2[[#This Row],[Cases/1M]]/1000000</f>
        <v>2.2581E-2</v>
      </c>
      <c r="T4" s="12">
        <f>Table2[[#This Row],[Deaths/1M]]/1000000</f>
        <v>1.6800000000000001E-3</v>
      </c>
      <c r="U4" s="13">
        <f>1-Table2[[#This Row],[Deaths]]/Table2[[#This Row],[Ex(Deaths)]]</f>
        <v>0.22946986586587292</v>
      </c>
      <c r="V4" s="13">
        <f>Table2[[#This Row],[Cases]]/Table2[[#This Row],[Tests]]</f>
        <v>7.9632928600291031E-2</v>
      </c>
      <c r="W4" s="12">
        <f>Table2[[#This Row],[Percent Infected]]*Table2[[#This Row],[% Active]]</f>
        <v>6.7247973980149329E-3</v>
      </c>
      <c r="X4" s="9">
        <f>1/Table2[[#This Row],[Percent Active Infected]]</f>
        <v>148.70336469841993</v>
      </c>
      <c r="BB4" s="46"/>
    </row>
    <row r="5" spans="1:54" ht="15.95" customHeight="1" thickBot="1" x14ac:dyDescent="0.3">
      <c r="A5" s="44" t="s">
        <v>268</v>
      </c>
      <c r="B5" s="47">
        <v>423855</v>
      </c>
      <c r="C5" s="59">
        <v>9344</v>
      </c>
      <c r="D5" s="47">
        <v>5854</v>
      </c>
      <c r="E5" s="57">
        <v>76</v>
      </c>
      <c r="F5" s="47">
        <v>376746</v>
      </c>
      <c r="G5" s="47">
        <v>19735</v>
      </c>
      <c r="H5" s="48">
        <v>273</v>
      </c>
      <c r="I5" s="47">
        <v>3340929</v>
      </c>
      <c r="J5" s="47">
        <v>155553</v>
      </c>
      <c r="K5" s="56" t="s">
        <v>333</v>
      </c>
      <c r="L5" s="42" t="s">
        <v>242</v>
      </c>
      <c r="M5" s="10">
        <f>Table2[[#This Row],[Active]]/Table2[[#This Row],[Cases]]</f>
        <v>0.88885585872527162</v>
      </c>
      <c r="N5" s="9">
        <f>1000000/Table2[[#This Row],[Cases/1M]]</f>
        <v>50.671395996959717</v>
      </c>
      <c r="O5" s="9">
        <f>1000000/Table2[[#This Row],[Deaths/1M]]</f>
        <v>3663.003663003663</v>
      </c>
      <c r="P5" s="9">
        <f>Table2[[#This Row],[Deaths]]+Table2[[#This Row],[Active]]*Table2[[#This Row],[Death Rate]]</f>
        <v>11057.36219697774</v>
      </c>
      <c r="Q5" s="10">
        <f>Table2[[#This Row],[Deaths]]/Table2[[#This Row],[Cases]]</f>
        <v>1.3811326986823323E-2</v>
      </c>
      <c r="R5" s="9">
        <f>Table2[[#This Row],[Cases]]/Table2[[#This Row],[Deaths]]</f>
        <v>72.404338913563379</v>
      </c>
      <c r="S5" s="12">
        <f>Table2[[#This Row],[Cases/1M]]/1000000</f>
        <v>1.9734999999999999E-2</v>
      </c>
      <c r="T5" s="12">
        <f>Table2[[#This Row],[Deaths/1M]]/1000000</f>
        <v>2.7300000000000002E-4</v>
      </c>
      <c r="U5" s="13">
        <f>1-Table2[[#This Row],[Deaths]]/Table2[[#This Row],[Ex(Deaths)]]</f>
        <v>0.47057897754312072</v>
      </c>
      <c r="V5" s="13">
        <f>Table2[[#This Row],[Cases]]/Table2[[#This Row],[Tests]]</f>
        <v>0.12686740723912421</v>
      </c>
      <c r="W5" s="12">
        <f>Table2[[#This Row],[Percent Infected]]*Table2[[#This Row],[% Active]]</f>
        <v>1.7541570371943236E-2</v>
      </c>
      <c r="X5" s="9">
        <f>1/Table2[[#This Row],[Percent Active Infected]]</f>
        <v>57.007438832240716</v>
      </c>
    </row>
    <row r="6" spans="1:54" ht="15.95" customHeight="1" thickBot="1" x14ac:dyDescent="0.3">
      <c r="A6" s="44" t="s">
        <v>279</v>
      </c>
      <c r="B6" s="47">
        <v>393683</v>
      </c>
      <c r="C6" s="48"/>
      <c r="D6" s="47">
        <v>5069</v>
      </c>
      <c r="E6" s="48"/>
      <c r="F6" s="47">
        <v>167104</v>
      </c>
      <c r="G6" s="47">
        <v>13577</v>
      </c>
      <c r="H6" s="48">
        <v>175</v>
      </c>
      <c r="I6" s="47">
        <v>3604509</v>
      </c>
      <c r="J6" s="47">
        <v>124311</v>
      </c>
      <c r="K6" s="56" t="s">
        <v>335</v>
      </c>
      <c r="L6" s="42" t="s">
        <v>242</v>
      </c>
      <c r="M6" s="10">
        <f>Table2[[#This Row],[Active]]/Table2[[#This Row],[Cases]]</f>
        <v>0.4244633372535771</v>
      </c>
      <c r="N6" s="9">
        <f>1000000/Table2[[#This Row],[Cases/1M]]</f>
        <v>73.653973631877435</v>
      </c>
      <c r="O6" s="9">
        <f>1000000/Table2[[#This Row],[Deaths/1M]]</f>
        <v>5714.2857142857147</v>
      </c>
      <c r="P6" s="9">
        <f>Table2[[#This Row],[Deaths]]+Table2[[#This Row],[Active]]*Table2[[#This Row],[Death Rate]]</f>
        <v>7220.6046565383822</v>
      </c>
      <c r="Q6" s="10">
        <f>Table2[[#This Row],[Deaths]]/Table2[[#This Row],[Cases]]</f>
        <v>1.2875841730529386E-2</v>
      </c>
      <c r="R6" s="9">
        <f>Table2[[#This Row],[Cases]]/Table2[[#This Row],[Deaths]]</f>
        <v>77.664825409350954</v>
      </c>
      <c r="S6" s="12">
        <f>Table2[[#This Row],[Cases/1M]]/1000000</f>
        <v>1.3577000000000001E-2</v>
      </c>
      <c r="T6" s="12">
        <f>Table2[[#This Row],[Deaths/1M]]/1000000</f>
        <v>1.75E-4</v>
      </c>
      <c r="U6" s="13">
        <f>1-Table2[[#This Row],[Deaths]]/Table2[[#This Row],[Ex(Deaths)]]</f>
        <v>0.29798122995005227</v>
      </c>
      <c r="V6" s="13">
        <f>Table2[[#This Row],[Cases]]/Table2[[#This Row],[Tests]]</f>
        <v>0.10921959135072211</v>
      </c>
      <c r="W6" s="12">
        <f>Table2[[#This Row],[Percent Infected]]*Table2[[#This Row],[% Active]]</f>
        <v>5.7629387298918167E-3</v>
      </c>
      <c r="X6" s="9">
        <f>1/Table2[[#This Row],[Percent Active Infected]]</f>
        <v>173.5225805565301</v>
      </c>
    </row>
    <row r="7" spans="1:54" ht="15.95" customHeight="1" thickBot="1" x14ac:dyDescent="0.3">
      <c r="A7" s="44" t="s">
        <v>243</v>
      </c>
      <c r="B7" s="47">
        <v>184787</v>
      </c>
      <c r="C7" s="48"/>
      <c r="D7" s="47">
        <v>15859</v>
      </c>
      <c r="E7" s="48"/>
      <c r="F7" s="47">
        <v>50353</v>
      </c>
      <c r="G7" s="47">
        <v>20804</v>
      </c>
      <c r="H7" s="47">
        <v>1785</v>
      </c>
      <c r="I7" s="47">
        <v>1887644</v>
      </c>
      <c r="J7" s="47">
        <v>212520</v>
      </c>
      <c r="K7" s="56" t="s">
        <v>335</v>
      </c>
      <c r="L7" s="42" t="s">
        <v>242</v>
      </c>
      <c r="M7" s="10">
        <f>Table2[[#This Row],[Active]]/Table2[[#This Row],[Cases]]</f>
        <v>0.27249211254038436</v>
      </c>
      <c r="N7" s="9">
        <f>1000000/Table2[[#This Row],[Cases/1M]]</f>
        <v>48.067679292443763</v>
      </c>
      <c r="O7" s="9">
        <f>1000000/Table2[[#This Row],[Deaths/1M]]</f>
        <v>560.2240896358544</v>
      </c>
      <c r="P7" s="9">
        <f>Table2[[#This Row],[Deaths]]+Table2[[#This Row],[Active]]*Table2[[#This Row],[Death Rate]]</f>
        <v>20180.452412777955</v>
      </c>
      <c r="Q7" s="10">
        <f>Table2[[#This Row],[Deaths]]/Table2[[#This Row],[Cases]]</f>
        <v>8.582313690898169E-2</v>
      </c>
      <c r="R7" s="9">
        <f>Table2[[#This Row],[Cases]]/Table2[[#This Row],[Deaths]]</f>
        <v>11.651869600857557</v>
      </c>
      <c r="S7" s="12">
        <f>Table2[[#This Row],[Cases/1M]]/1000000</f>
        <v>2.0804E-2</v>
      </c>
      <c r="T7" s="12">
        <f>Table2[[#This Row],[Deaths/1M]]/1000000</f>
        <v>1.7849999999999999E-3</v>
      </c>
      <c r="U7" s="13">
        <f>1-Table2[[#This Row],[Deaths]]/Table2[[#This Row],[Ex(Deaths)]]</f>
        <v>0.2141405120353832</v>
      </c>
      <c r="V7" s="13">
        <f>Table2[[#This Row],[Cases]]/Table2[[#This Row],[Tests]]</f>
        <v>9.7892928963300277E-2</v>
      </c>
      <c r="W7" s="12">
        <f>Table2[[#This Row],[Percent Infected]]*Table2[[#This Row],[% Active]]</f>
        <v>5.6689259092901562E-3</v>
      </c>
      <c r="X7" s="9">
        <f>1/Table2[[#This Row],[Percent Active Infected]]</f>
        <v>176.40025923803555</v>
      </c>
    </row>
    <row r="8" spans="1:54" ht="15.95" customHeight="1" thickBot="1" x14ac:dyDescent="0.3">
      <c r="A8" s="44" t="s">
        <v>251</v>
      </c>
      <c r="B8" s="47">
        <v>171125</v>
      </c>
      <c r="C8" s="48"/>
      <c r="D8" s="47">
        <v>7589</v>
      </c>
      <c r="E8" s="48"/>
      <c r="F8" s="47">
        <v>22993</v>
      </c>
      <c r="G8" s="47">
        <v>13504</v>
      </c>
      <c r="H8" s="48">
        <v>599</v>
      </c>
      <c r="I8" s="47">
        <v>2470723</v>
      </c>
      <c r="J8" s="47">
        <v>194978</v>
      </c>
      <c r="K8" s="56" t="s">
        <v>334</v>
      </c>
      <c r="L8" s="42" t="s">
        <v>242</v>
      </c>
      <c r="M8" s="10">
        <f>Table2[[#This Row],[Active]]/Table2[[#This Row],[Cases]]</f>
        <v>0.13436376917457998</v>
      </c>
      <c r="N8" s="9">
        <f>1000000/Table2[[#This Row],[Cases/1M]]</f>
        <v>74.052132701421797</v>
      </c>
      <c r="O8" s="9">
        <f>1000000/Table2[[#This Row],[Deaths/1M]]</f>
        <v>1669.4490818030049</v>
      </c>
      <c r="P8" s="9">
        <f>Table2[[#This Row],[Deaths]]+Table2[[#This Row],[Active]]*Table2[[#This Row],[Death Rate]]</f>
        <v>8608.6866442658884</v>
      </c>
      <c r="Q8" s="10">
        <f>Table2[[#This Row],[Deaths]]/Table2[[#This Row],[Cases]]</f>
        <v>4.4347699050401757E-2</v>
      </c>
      <c r="R8" s="9">
        <f>Table2[[#This Row],[Cases]]/Table2[[#This Row],[Deaths]]</f>
        <v>22.549084200816971</v>
      </c>
      <c r="S8" s="12">
        <f>Table2[[#This Row],[Cases/1M]]/1000000</f>
        <v>1.3504E-2</v>
      </c>
      <c r="T8" s="12">
        <f>Table2[[#This Row],[Deaths/1M]]/1000000</f>
        <v>5.9900000000000003E-4</v>
      </c>
      <c r="U8" s="13">
        <f>1-Table2[[#This Row],[Deaths]]/Table2[[#This Row],[Ex(Deaths)]]</f>
        <v>0.11844857251774699</v>
      </c>
      <c r="V8" s="13">
        <f>Table2[[#This Row],[Cases]]/Table2[[#This Row],[Tests]]</f>
        <v>6.9261102924123824E-2</v>
      </c>
      <c r="W8" s="12">
        <f>Table2[[#This Row],[Percent Infected]]*Table2[[#This Row],[% Active]]</f>
        <v>1.8144483389335281E-3</v>
      </c>
      <c r="X8" s="9">
        <f>1/Table2[[#This Row],[Percent Active Infected]]</f>
        <v>551.13170132348125</v>
      </c>
    </row>
    <row r="9" spans="1:54" ht="15.95" customHeight="1" thickBot="1" x14ac:dyDescent="0.3">
      <c r="A9" s="44" t="s">
        <v>150</v>
      </c>
      <c r="B9" s="47">
        <v>165188</v>
      </c>
      <c r="C9" s="48"/>
      <c r="D9" s="47">
        <v>3495</v>
      </c>
      <c r="E9" s="48"/>
      <c r="F9" s="47">
        <v>134655</v>
      </c>
      <c r="G9" s="47">
        <v>15558</v>
      </c>
      <c r="H9" s="48">
        <v>329</v>
      </c>
      <c r="I9" s="47">
        <v>1619245</v>
      </c>
      <c r="J9" s="47">
        <v>152508</v>
      </c>
      <c r="K9" s="56" t="s">
        <v>336</v>
      </c>
      <c r="L9" s="42" t="s">
        <v>242</v>
      </c>
      <c r="M9" s="10">
        <f>Table2[[#This Row],[Active]]/Table2[[#This Row],[Cases]]</f>
        <v>0.81516211831367891</v>
      </c>
      <c r="N9" s="9">
        <f>1000000/Table2[[#This Row],[Cases/1M]]</f>
        <v>64.2756138321121</v>
      </c>
      <c r="O9" s="9">
        <f>1000000/Table2[[#This Row],[Deaths/1M]]</f>
        <v>3039.5136778115502</v>
      </c>
      <c r="P9" s="9">
        <f>Table2[[#This Row],[Deaths]]+Table2[[#This Row],[Active]]*Table2[[#This Row],[Death Rate]]</f>
        <v>6343.9916035063079</v>
      </c>
      <c r="Q9" s="10">
        <f>Table2[[#This Row],[Deaths]]/Table2[[#This Row],[Cases]]</f>
        <v>2.1157711213889627E-2</v>
      </c>
      <c r="R9" s="9">
        <f>Table2[[#This Row],[Cases]]/Table2[[#This Row],[Deaths]]</f>
        <v>47.264091559370527</v>
      </c>
      <c r="S9" s="12">
        <f>Table2[[#This Row],[Cases/1M]]/1000000</f>
        <v>1.5558000000000001E-2</v>
      </c>
      <c r="T9" s="12">
        <f>Table2[[#This Row],[Deaths/1M]]/1000000</f>
        <v>3.2899999999999997E-4</v>
      </c>
      <c r="U9" s="13">
        <f>1-Table2[[#This Row],[Deaths]]/Table2[[#This Row],[Ex(Deaths)]]</f>
        <v>0.44908502116107429</v>
      </c>
      <c r="V9" s="13">
        <f>Table2[[#This Row],[Cases]]/Table2[[#This Row],[Tests]]</f>
        <v>0.10201544546995668</v>
      </c>
      <c r="W9" s="12">
        <f>Table2[[#This Row],[Percent Infected]]*Table2[[#This Row],[% Active]]</f>
        <v>1.2682292236724216E-2</v>
      </c>
      <c r="X9" s="9">
        <f>1/Table2[[#This Row],[Percent Active Infected]]</f>
        <v>78.850099125163823</v>
      </c>
    </row>
    <row r="10" spans="1:54" ht="15.95" customHeight="1" thickBot="1" x14ac:dyDescent="0.3">
      <c r="A10" s="44" t="s">
        <v>267</v>
      </c>
      <c r="B10" s="47">
        <v>162014</v>
      </c>
      <c r="C10" s="59">
        <v>1973</v>
      </c>
      <c r="D10" s="47">
        <v>3305</v>
      </c>
      <c r="E10" s="57">
        <v>19</v>
      </c>
      <c r="F10" s="47">
        <v>138143</v>
      </c>
      <c r="G10" s="47">
        <v>22259</v>
      </c>
      <c r="H10" s="48">
        <v>454</v>
      </c>
      <c r="I10" s="47">
        <v>1076168</v>
      </c>
      <c r="J10" s="47">
        <v>147851</v>
      </c>
      <c r="K10" s="42" t="s">
        <v>330</v>
      </c>
      <c r="L10" s="42" t="s">
        <v>242</v>
      </c>
      <c r="M10" s="23">
        <f>Table2[[#This Row],[Active]]/Table2[[#This Row],[Cases]]</f>
        <v>0.85266088115841843</v>
      </c>
      <c r="N10" s="9">
        <f>1000000/Table2[[#This Row],[Cases/1M]]</f>
        <v>44.925648052473157</v>
      </c>
      <c r="O10" s="9">
        <f>1000000/Table2[[#This Row],[Deaths/1M]]</f>
        <v>2202.6431718061672</v>
      </c>
      <c r="P10" s="9">
        <f>Table2[[#This Row],[Deaths]]+Table2[[#This Row],[Active]]*Table2[[#This Row],[Death Rate]]</f>
        <v>6123.0442122285731</v>
      </c>
      <c r="Q10" s="10">
        <f>Table2[[#This Row],[Deaths]]/Table2[[#This Row],[Cases]]</f>
        <v>2.0399471650598095E-2</v>
      </c>
      <c r="R10" s="9">
        <f>Table2[[#This Row],[Cases]]/Table2[[#This Row],[Deaths]]</f>
        <v>49.02087745839637</v>
      </c>
      <c r="S10" s="12">
        <f>Table2[[#This Row],[Cases/1M]]/1000000</f>
        <v>2.2259000000000001E-2</v>
      </c>
      <c r="T10" s="12">
        <f>Table2[[#This Row],[Deaths/1M]]/1000000</f>
        <v>4.5399999999999998E-4</v>
      </c>
      <c r="U10" s="13">
        <f>1-Table2[[#This Row],[Deaths]]/Table2[[#This Row],[Ex(Deaths)]]</f>
        <v>0.46023580992613866</v>
      </c>
      <c r="V10" s="13">
        <f>Table2[[#This Row],[Cases]]/Table2[[#This Row],[Tests]]</f>
        <v>0.15054712647095991</v>
      </c>
      <c r="W10" s="12">
        <f>Table2[[#This Row],[Percent Infected]]*Table2[[#This Row],[% Active]]</f>
        <v>1.8979378553705236E-2</v>
      </c>
      <c r="X10" s="9">
        <f>1/Table2[[#This Row],[Percent Active Infected]]</f>
        <v>52.688764132626233</v>
      </c>
    </row>
    <row r="11" spans="1:54" ht="15.95" customHeight="1" thickBot="1" x14ac:dyDescent="0.3">
      <c r="A11" s="44" t="s">
        <v>245</v>
      </c>
      <c r="B11" s="47">
        <v>115268</v>
      </c>
      <c r="C11" s="48"/>
      <c r="D11" s="47">
        <v>8510</v>
      </c>
      <c r="E11" s="48"/>
      <c r="F11" s="47">
        <v>10306</v>
      </c>
      <c r="G11" s="47">
        <v>16724</v>
      </c>
      <c r="H11" s="47">
        <v>1235</v>
      </c>
      <c r="I11" s="47">
        <v>1195478</v>
      </c>
      <c r="J11" s="47">
        <v>173446</v>
      </c>
      <c r="K11" s="42" t="s">
        <v>330</v>
      </c>
      <c r="L11" s="42" t="s">
        <v>242</v>
      </c>
      <c r="M11" s="10">
        <f>Table2[[#This Row],[Active]]/Table2[[#This Row],[Cases]]</f>
        <v>8.9409029392372552E-2</v>
      </c>
      <c r="N11" s="9">
        <f>1000000/Table2[[#This Row],[Cases/1M]]</f>
        <v>59.794307581918204</v>
      </c>
      <c r="O11" s="9">
        <f>1000000/Table2[[#This Row],[Deaths/1M]]</f>
        <v>809.71659919028343</v>
      </c>
      <c r="P11" s="9">
        <f>Table2[[#This Row],[Deaths]]+Table2[[#This Row],[Active]]*Table2[[#This Row],[Death Rate]]</f>
        <v>9270.8708401290896</v>
      </c>
      <c r="Q11" s="10">
        <f>Table2[[#This Row],[Deaths]]/Table2[[#This Row],[Cases]]</f>
        <v>7.3827948780233896E-2</v>
      </c>
      <c r="R11" s="9">
        <f>Table2[[#This Row],[Cases]]/Table2[[#This Row],[Deaths]]</f>
        <v>13.545005875440658</v>
      </c>
      <c r="S11" s="12">
        <f>Table2[[#This Row],[Cases/1M]]/1000000</f>
        <v>1.6723999999999999E-2</v>
      </c>
      <c r="T11" s="12">
        <f>Table2[[#This Row],[Deaths/1M]]/1000000</f>
        <v>1.235E-3</v>
      </c>
      <c r="U11" s="13">
        <f>1-Table2[[#This Row],[Deaths]]/Table2[[#This Row],[Ex(Deaths)]]</f>
        <v>8.2071129373914919E-2</v>
      </c>
      <c r="V11" s="13">
        <f>Table2[[#This Row],[Cases]]/Table2[[#This Row],[Tests]]</f>
        <v>9.6420009402096898E-2</v>
      </c>
      <c r="W11" s="12">
        <f>Table2[[#This Row],[Percent Infected]]*Table2[[#This Row],[% Active]]</f>
        <v>1.4952766075580384E-3</v>
      </c>
      <c r="X11" s="9">
        <f>1/Table2[[#This Row],[Percent Active Infected]]</f>
        <v>668.77258357777498</v>
      </c>
    </row>
    <row r="12" spans="1:54" ht="15.95" customHeight="1" thickBot="1" x14ac:dyDescent="0.3">
      <c r="A12" s="44" t="s">
        <v>275</v>
      </c>
      <c r="B12" s="47">
        <v>112713</v>
      </c>
      <c r="C12" s="59">
        <v>1414</v>
      </c>
      <c r="D12" s="47">
        <v>1803</v>
      </c>
      <c r="E12" s="48"/>
      <c r="F12" s="47">
        <v>32203</v>
      </c>
      <c r="G12" s="47">
        <v>10747</v>
      </c>
      <c r="H12" s="48">
        <v>172</v>
      </c>
      <c r="I12" s="47">
        <v>1579042</v>
      </c>
      <c r="J12" s="47">
        <v>150556</v>
      </c>
      <c r="K12" s="42" t="s">
        <v>330</v>
      </c>
      <c r="L12" s="42" t="s">
        <v>242</v>
      </c>
      <c r="M12" s="10">
        <f>Table2[[#This Row],[Active]]/Table2[[#This Row],[Cases]]</f>
        <v>0.28570794850638348</v>
      </c>
      <c r="N12" s="9">
        <f>1000000/Table2[[#This Row],[Cases/1M]]</f>
        <v>93.04922303898762</v>
      </c>
      <c r="O12" s="9">
        <f>1000000/Table2[[#This Row],[Deaths/1M]]</f>
        <v>5813.9534883720926</v>
      </c>
      <c r="P12" s="9">
        <f>Table2[[#This Row],[Deaths]]+Table2[[#This Row],[Active]]*Table2[[#This Row],[Death Rate]]</f>
        <v>2318.1314311570095</v>
      </c>
      <c r="Q12" s="10">
        <f>Table2[[#This Row],[Deaths]]/Table2[[#This Row],[Cases]]</f>
        <v>1.5996380186846237E-2</v>
      </c>
      <c r="R12" s="9">
        <f>Table2[[#This Row],[Cases]]/Table2[[#This Row],[Deaths]]</f>
        <v>62.514143094841927</v>
      </c>
      <c r="S12" s="12">
        <f>Table2[[#This Row],[Cases/1M]]/1000000</f>
        <v>1.0747E-2</v>
      </c>
      <c r="T12" s="12">
        <f>Table2[[#This Row],[Deaths/1M]]/1000000</f>
        <v>1.7200000000000001E-4</v>
      </c>
      <c r="U12" s="13">
        <f>1-Table2[[#This Row],[Deaths]]/Table2[[#This Row],[Ex(Deaths)]]</f>
        <v>0.22221838858373133</v>
      </c>
      <c r="V12" s="13">
        <f>Table2[[#This Row],[Cases]]/Table2[[#This Row],[Tests]]</f>
        <v>7.1380621921392842E-2</v>
      </c>
      <c r="W12" s="12">
        <f>Table2[[#This Row],[Percent Infected]]*Table2[[#This Row],[% Active]]</f>
        <v>3.0705033225981032E-3</v>
      </c>
      <c r="X12" s="9">
        <f>1/Table2[[#This Row],[Percent Active Infected]]</f>
        <v>325.67950428200515</v>
      </c>
    </row>
    <row r="13" spans="1:54" ht="15.95" customHeight="1" thickBot="1" x14ac:dyDescent="0.3">
      <c r="A13" s="44" t="s">
        <v>250</v>
      </c>
      <c r="B13" s="47">
        <v>111121</v>
      </c>
      <c r="C13" s="48"/>
      <c r="D13" s="47">
        <v>7187</v>
      </c>
      <c r="E13" s="48"/>
      <c r="F13" s="47">
        <v>23966</v>
      </c>
      <c r="G13" s="47">
        <v>8680</v>
      </c>
      <c r="H13" s="48">
        <v>561</v>
      </c>
      <c r="I13" s="47">
        <v>1120337</v>
      </c>
      <c r="J13" s="47">
        <v>87513</v>
      </c>
      <c r="K13" s="56" t="s">
        <v>338</v>
      </c>
      <c r="L13" s="42" t="s">
        <v>242</v>
      </c>
      <c r="M13" s="10">
        <f>Table2[[#This Row],[Active]]/Table2[[#This Row],[Cases]]</f>
        <v>0.21567480494236013</v>
      </c>
      <c r="N13" s="9">
        <f>1000000/Table2[[#This Row],[Cases/1M]]</f>
        <v>115.2073732718894</v>
      </c>
      <c r="O13" s="9">
        <f>1000000/Table2[[#This Row],[Deaths/1M]]</f>
        <v>1782.5311942959001</v>
      </c>
      <c r="P13" s="9">
        <f>Table2[[#This Row],[Deaths]]+Table2[[#This Row],[Active]]*Table2[[#This Row],[Death Rate]]</f>
        <v>8737.0548231207431</v>
      </c>
      <c r="Q13" s="10">
        <f>Table2[[#This Row],[Deaths]]/Table2[[#This Row],[Cases]]</f>
        <v>6.4677243725308448E-2</v>
      </c>
      <c r="R13" s="9">
        <f>Table2[[#This Row],[Cases]]/Table2[[#This Row],[Deaths]]</f>
        <v>15.461388618338667</v>
      </c>
      <c r="S13" s="12">
        <f>Table2[[#This Row],[Cases/1M]]/1000000</f>
        <v>8.6800000000000002E-3</v>
      </c>
      <c r="T13" s="12">
        <f>Table2[[#This Row],[Deaths/1M]]/1000000</f>
        <v>5.6099999999999998E-4</v>
      </c>
      <c r="U13" s="13">
        <f>1-Table2[[#This Row],[Deaths]]/Table2[[#This Row],[Ex(Deaths)]]</f>
        <v>0.17741159400978634</v>
      </c>
      <c r="V13" s="13">
        <f>Table2[[#This Row],[Cases]]/Table2[[#This Row],[Tests]]</f>
        <v>9.9185334412770443E-2</v>
      </c>
      <c r="W13" s="12">
        <f>Table2[[#This Row],[Percent Infected]]*Table2[[#This Row],[% Active]]</f>
        <v>1.8720573068996859E-3</v>
      </c>
      <c r="X13" s="9">
        <f>1/Table2[[#This Row],[Percent Active Infected]]</f>
        <v>534.17168177191115</v>
      </c>
    </row>
    <row r="14" spans="1:54" ht="15.95" customHeight="1" thickBot="1" x14ac:dyDescent="0.3">
      <c r="A14" s="44" t="s">
        <v>247</v>
      </c>
      <c r="B14" s="47">
        <v>103734</v>
      </c>
      <c r="C14" s="48"/>
      <c r="D14" s="47">
        <v>3720</v>
      </c>
      <c r="E14" s="48"/>
      <c r="F14" s="47">
        <v>38558</v>
      </c>
      <c r="G14" s="47">
        <v>22314</v>
      </c>
      <c r="H14" s="48">
        <v>800</v>
      </c>
      <c r="I14" s="47">
        <v>1199726</v>
      </c>
      <c r="J14" s="47">
        <v>258073</v>
      </c>
      <c r="K14" s="56" t="s">
        <v>334</v>
      </c>
      <c r="L14" s="42" t="s">
        <v>242</v>
      </c>
      <c r="M14" s="10">
        <f>Table2[[#This Row],[Active]]/Table2[[#This Row],[Cases]]</f>
        <v>0.37170069601095107</v>
      </c>
      <c r="N14" s="9">
        <f>1000000/Table2[[#This Row],[Cases/1M]]</f>
        <v>44.814914403513491</v>
      </c>
      <c r="O14" s="9">
        <f>1000000/Table2[[#This Row],[Deaths/1M]]</f>
        <v>1250</v>
      </c>
      <c r="P14" s="9">
        <f>Table2[[#This Row],[Deaths]]+Table2[[#This Row],[Active]]*Table2[[#This Row],[Death Rate]]</f>
        <v>5102.7265891607376</v>
      </c>
      <c r="Q14" s="10">
        <f>Table2[[#This Row],[Deaths]]/Table2[[#This Row],[Cases]]</f>
        <v>3.5860952050436691E-2</v>
      </c>
      <c r="R14" s="9">
        <f>Table2[[#This Row],[Cases]]/Table2[[#This Row],[Deaths]]</f>
        <v>27.885483870967743</v>
      </c>
      <c r="S14" s="12">
        <f>Table2[[#This Row],[Cases/1M]]/1000000</f>
        <v>2.2314000000000001E-2</v>
      </c>
      <c r="T14" s="12">
        <f>Table2[[#This Row],[Deaths/1M]]/1000000</f>
        <v>8.0000000000000004E-4</v>
      </c>
      <c r="U14" s="13">
        <f>1-Table2[[#This Row],[Deaths]]/Table2[[#This Row],[Ex(Deaths)]]</f>
        <v>0.27097798892418401</v>
      </c>
      <c r="V14" s="13">
        <f>Table2[[#This Row],[Cases]]/Table2[[#This Row],[Tests]]</f>
        <v>8.6464742782935436E-2</v>
      </c>
      <c r="W14" s="12">
        <f>Table2[[#This Row],[Percent Infected]]*Table2[[#This Row],[% Active]]</f>
        <v>8.2941293307883628E-3</v>
      </c>
      <c r="X14" s="9">
        <f>1/Table2[[#This Row],[Percent Active Infected]]</f>
        <v>120.5672060463216</v>
      </c>
    </row>
    <row r="15" spans="1:54" ht="15.95" customHeight="1" thickBot="1" x14ac:dyDescent="0.3">
      <c r="A15" s="44" t="s">
        <v>280</v>
      </c>
      <c r="B15" s="47">
        <v>90796</v>
      </c>
      <c r="C15" s="48"/>
      <c r="D15" s="48">
        <v>964</v>
      </c>
      <c r="E15" s="48"/>
      <c r="F15" s="47">
        <v>36024</v>
      </c>
      <c r="G15" s="47">
        <v>13295</v>
      </c>
      <c r="H15" s="48">
        <v>141</v>
      </c>
      <c r="I15" s="47">
        <v>1331428</v>
      </c>
      <c r="J15" s="47">
        <v>194962</v>
      </c>
      <c r="K15" s="56" t="s">
        <v>334</v>
      </c>
      <c r="L15" s="42" t="s">
        <v>242</v>
      </c>
      <c r="M15" s="10">
        <f>Table2[[#This Row],[Active]]/Table2[[#This Row],[Cases]]</f>
        <v>0.39675756641261728</v>
      </c>
      <c r="N15" s="9">
        <f>1000000/Table2[[#This Row],[Cases/1M]]</f>
        <v>75.216246709289209</v>
      </c>
      <c r="O15" s="9">
        <f>1000000/Table2[[#This Row],[Deaths/1M]]</f>
        <v>7092.1985815602839</v>
      </c>
      <c r="P15" s="9">
        <f>Table2[[#This Row],[Deaths]]+Table2[[#This Row],[Active]]*Table2[[#This Row],[Death Rate]]</f>
        <v>1346.4742940217632</v>
      </c>
      <c r="Q15" s="10">
        <f>Table2[[#This Row],[Deaths]]/Table2[[#This Row],[Cases]]</f>
        <v>1.06172078065113E-2</v>
      </c>
      <c r="R15" s="9">
        <f>Table2[[#This Row],[Cases]]/Table2[[#This Row],[Deaths]]</f>
        <v>94.186721991701248</v>
      </c>
      <c r="S15" s="12">
        <f>Table2[[#This Row],[Cases/1M]]/1000000</f>
        <v>1.3295E-2</v>
      </c>
      <c r="T15" s="12">
        <f>Table2[[#This Row],[Deaths/1M]]/1000000</f>
        <v>1.4100000000000001E-4</v>
      </c>
      <c r="U15" s="13">
        <f>1-Table2[[#This Row],[Deaths]]/Table2[[#This Row],[Ex(Deaths)]]</f>
        <v>0.28405614256426437</v>
      </c>
      <c r="V15" s="13">
        <f>Table2[[#This Row],[Cases]]/Table2[[#This Row],[Tests]]</f>
        <v>6.8194449868862611E-2</v>
      </c>
      <c r="W15" s="12">
        <f>Table2[[#This Row],[Percent Infected]]*Table2[[#This Row],[% Active]]</f>
        <v>5.2748918454557465E-3</v>
      </c>
      <c r="X15" s="9">
        <f>1/Table2[[#This Row],[Percent Active Infected]]</f>
        <v>189.57734666379702</v>
      </c>
    </row>
    <row r="16" spans="1:54" ht="15.95" customHeight="1" thickBot="1" x14ac:dyDescent="0.3">
      <c r="A16" s="44" t="s">
        <v>249</v>
      </c>
      <c r="B16" s="47">
        <v>85622</v>
      </c>
      <c r="C16" s="48"/>
      <c r="D16" s="47">
        <v>6400</v>
      </c>
      <c r="E16" s="48"/>
      <c r="F16" s="47">
        <v>21720</v>
      </c>
      <c r="G16" s="47">
        <v>8573</v>
      </c>
      <c r="H16" s="48">
        <v>641</v>
      </c>
      <c r="I16" s="47">
        <v>1841827</v>
      </c>
      <c r="J16" s="47">
        <v>184425</v>
      </c>
      <c r="K16" s="56" t="s">
        <v>338</v>
      </c>
      <c r="L16" s="42" t="s">
        <v>242</v>
      </c>
      <c r="M16" s="10">
        <f>Table2[[#This Row],[Active]]/Table2[[#This Row],[Cases]]</f>
        <v>0.25367312139403425</v>
      </c>
      <c r="N16" s="9">
        <f>1000000/Table2[[#This Row],[Cases/1M]]</f>
        <v>116.6452816983553</v>
      </c>
      <c r="O16" s="9">
        <f>1000000/Table2[[#This Row],[Deaths/1M]]</f>
        <v>1560.0624024960998</v>
      </c>
      <c r="P16" s="9">
        <f>Table2[[#This Row],[Deaths]]+Table2[[#This Row],[Active]]*Table2[[#This Row],[Death Rate]]</f>
        <v>8023.5079769218191</v>
      </c>
      <c r="Q16" s="10">
        <f>Table2[[#This Row],[Deaths]]/Table2[[#This Row],[Cases]]</f>
        <v>7.4747144425498124E-2</v>
      </c>
      <c r="R16" s="9">
        <f>Table2[[#This Row],[Cases]]/Table2[[#This Row],[Deaths]]</f>
        <v>13.3784375</v>
      </c>
      <c r="S16" s="12">
        <f>Table2[[#This Row],[Cases/1M]]/1000000</f>
        <v>8.5730000000000008E-3</v>
      </c>
      <c r="T16" s="21">
        <f>Table2[[#This Row],[Deaths/1M]]/1000000</f>
        <v>6.4099999999999997E-4</v>
      </c>
      <c r="U16" s="13">
        <f>1-Table2[[#This Row],[Deaths]]/Table2[[#This Row],[Ex(Deaths)]]</f>
        <v>0.20234391011905872</v>
      </c>
      <c r="V16" s="13">
        <f>Table2[[#This Row],[Cases]]/Table2[[#This Row],[Tests]]</f>
        <v>4.6487536560165528E-2</v>
      </c>
      <c r="W16" s="12">
        <f>Table2[[#This Row],[Percent Infected]]*Table2[[#This Row],[% Active]]</f>
        <v>2.1747396697110559E-3</v>
      </c>
      <c r="X16" s="9">
        <f>1/Table2[[#This Row],[Percent Active Infected]]</f>
        <v>459.82515237461217</v>
      </c>
    </row>
    <row r="17" spans="1:24" ht="15.95" customHeight="1" thickBot="1" x14ac:dyDescent="0.3">
      <c r="A17" s="44" t="s">
        <v>263</v>
      </c>
      <c r="B17" s="47">
        <v>84567</v>
      </c>
      <c r="C17" s="58">
        <v>958</v>
      </c>
      <c r="D17" s="47">
        <v>2078</v>
      </c>
      <c r="E17" s="57">
        <v>3</v>
      </c>
      <c r="F17" s="47">
        <v>71607</v>
      </c>
      <c r="G17" s="47">
        <v>9908</v>
      </c>
      <c r="H17" s="48">
        <v>243</v>
      </c>
      <c r="I17" s="47">
        <v>1126252</v>
      </c>
      <c r="J17" s="47">
        <v>131949</v>
      </c>
      <c r="K17" s="56" t="s">
        <v>336</v>
      </c>
      <c r="L17" s="42" t="s">
        <v>242</v>
      </c>
      <c r="M17" s="10">
        <f>Table2[[#This Row],[Active]]/Table2[[#This Row],[Cases]]</f>
        <v>0.84674873177480581</v>
      </c>
      <c r="N17" s="9">
        <f>1000000/Table2[[#This Row],[Cases/1M]]</f>
        <v>100.92854259184497</v>
      </c>
      <c r="O17" s="9">
        <f>1000000/Table2[[#This Row],[Deaths/1M]]</f>
        <v>4115.2263374485601</v>
      </c>
      <c r="P17" s="9">
        <f>Table2[[#This Row],[Deaths]]+Table2[[#This Row],[Active]]*Table2[[#This Row],[Death Rate]]</f>
        <v>3837.5438646280463</v>
      </c>
      <c r="Q17" s="10">
        <f>Table2[[#This Row],[Deaths]]/Table2[[#This Row],[Cases]]</f>
        <v>2.4572232667589011E-2</v>
      </c>
      <c r="R17" s="9">
        <f>Table2[[#This Row],[Cases]]/Table2[[#This Row],[Deaths]]</f>
        <v>40.696342637151105</v>
      </c>
      <c r="S17" s="12">
        <f>Table2[[#This Row],[Cases/1M]]/1000000</f>
        <v>9.9080000000000001E-3</v>
      </c>
      <c r="T17" s="12">
        <f>Table2[[#This Row],[Deaths/1M]]/1000000</f>
        <v>2.43E-4</v>
      </c>
      <c r="U17" s="13">
        <f>1-Table2[[#This Row],[Deaths]]/Table2[[#This Row],[Ex(Deaths)]]</f>
        <v>0.45850781820277386</v>
      </c>
      <c r="V17" s="13">
        <f>Table2[[#This Row],[Cases]]/Table2[[#This Row],[Tests]]</f>
        <v>7.5087103063967917E-2</v>
      </c>
      <c r="W17" s="12">
        <f>Table2[[#This Row],[Percent Infected]]*Table2[[#This Row],[% Active]]</f>
        <v>8.3895864344247766E-3</v>
      </c>
      <c r="X17" s="9">
        <f>1/Table2[[#This Row],[Percent Active Infected]]</f>
        <v>119.19538678292001</v>
      </c>
    </row>
    <row r="18" spans="1:24" ht="15.95" customHeight="1" thickBot="1" x14ac:dyDescent="0.3">
      <c r="A18" s="44" t="s">
        <v>252</v>
      </c>
      <c r="B18" s="47">
        <v>83748</v>
      </c>
      <c r="C18" s="58">
        <v>694</v>
      </c>
      <c r="D18" s="47">
        <v>3440</v>
      </c>
      <c r="E18" s="57">
        <v>7</v>
      </c>
      <c r="F18" s="47">
        <v>74874</v>
      </c>
      <c r="G18" s="47">
        <v>13853</v>
      </c>
      <c r="H18" s="48">
        <v>569</v>
      </c>
      <c r="I18" s="47">
        <v>1075316</v>
      </c>
      <c r="J18" s="47">
        <v>177865</v>
      </c>
      <c r="K18" s="56" t="s">
        <v>337</v>
      </c>
      <c r="L18" s="42" t="s">
        <v>242</v>
      </c>
      <c r="M18" s="10">
        <f>Table2[[#This Row],[Active]]/Table2[[#This Row],[Cases]]</f>
        <v>0.89403926063906003</v>
      </c>
      <c r="N18" s="9">
        <f>1000000/Table2[[#This Row],[Cases/1M]]</f>
        <v>72.186529993503214</v>
      </c>
      <c r="O18" s="9">
        <f>1000000/Table2[[#This Row],[Deaths/1M]]</f>
        <v>1757.4692442882249</v>
      </c>
      <c r="P18" s="9">
        <f>Table2[[#This Row],[Deaths]]+Table2[[#This Row],[Active]]*Table2[[#This Row],[Death Rate]]</f>
        <v>6515.4950565983663</v>
      </c>
      <c r="Q18" s="10">
        <f>Table2[[#This Row],[Deaths]]/Table2[[#This Row],[Cases]]</f>
        <v>4.1075607775708074E-2</v>
      </c>
      <c r="R18" s="9">
        <f>Table2[[#This Row],[Cases]]/Table2[[#This Row],[Deaths]]</f>
        <v>24.345348837209304</v>
      </c>
      <c r="S18" s="12">
        <f>Table2[[#This Row],[Cases/1M]]/1000000</f>
        <v>1.3853000000000001E-2</v>
      </c>
      <c r="T18" s="21">
        <f>Table2[[#This Row],[Deaths/1M]]/1000000</f>
        <v>5.6899999999999995E-4</v>
      </c>
      <c r="U18" s="13">
        <f>1-Table2[[#This Row],[Deaths]]/Table2[[#This Row],[Ex(Deaths)]]</f>
        <v>0.47202783977001928</v>
      </c>
      <c r="V18" s="13">
        <f>Table2[[#This Row],[Cases]]/Table2[[#This Row],[Tests]]</f>
        <v>7.7882222528075473E-2</v>
      </c>
      <c r="W18" s="12">
        <f>Table2[[#This Row],[Percent Infected]]*Table2[[#This Row],[% Active]]</f>
        <v>1.2385125877632899E-2</v>
      </c>
      <c r="X18" s="9">
        <f>1/Table2[[#This Row],[Percent Active Infected]]</f>
        <v>80.742013434515414</v>
      </c>
    </row>
    <row r="19" spans="1:24" ht="15.95" customHeight="1" thickBot="1" x14ac:dyDescent="0.3">
      <c r="A19" s="44" t="s">
        <v>257</v>
      </c>
      <c r="B19" s="47">
        <v>83213</v>
      </c>
      <c r="C19" s="48"/>
      <c r="D19" s="47">
        <v>3308</v>
      </c>
      <c r="E19" s="48"/>
      <c r="F19" s="47">
        <v>22174</v>
      </c>
      <c r="G19" s="47">
        <v>7119</v>
      </c>
      <c r="H19" s="48">
        <v>283</v>
      </c>
      <c r="I19" s="47">
        <v>1289373</v>
      </c>
      <c r="J19" s="47">
        <v>110306</v>
      </c>
      <c r="K19" s="42" t="s">
        <v>330</v>
      </c>
      <c r="L19" s="42" t="s">
        <v>242</v>
      </c>
      <c r="M19" s="10">
        <f>Table2[[#This Row],[Active]]/Table2[[#This Row],[Cases]]</f>
        <v>0.2664727867040006</v>
      </c>
      <c r="N19" s="9">
        <f>1000000/Table2[[#This Row],[Cases/1M]]</f>
        <v>140.4691670178396</v>
      </c>
      <c r="O19" s="9">
        <f>1000000/Table2[[#This Row],[Deaths/1M]]</f>
        <v>3533.5689045936397</v>
      </c>
      <c r="P19" s="9">
        <f>Table2[[#This Row],[Deaths]]+Table2[[#This Row],[Active]]*Table2[[#This Row],[Death Rate]]</f>
        <v>4189.4919784168342</v>
      </c>
      <c r="Q19" s="10">
        <f>Table2[[#This Row],[Deaths]]/Table2[[#This Row],[Cases]]</f>
        <v>3.9753403915253629E-2</v>
      </c>
      <c r="R19" s="9">
        <f>Table2[[#This Row],[Cases]]/Table2[[#This Row],[Deaths]]</f>
        <v>25.155078597339781</v>
      </c>
      <c r="S19" s="12">
        <f>Table2[[#This Row],[Cases/1M]]/1000000</f>
        <v>7.1190000000000003E-3</v>
      </c>
      <c r="T19" s="12">
        <f>Table2[[#This Row],[Deaths/1M]]/1000000</f>
        <v>2.8299999999999999E-4</v>
      </c>
      <c r="U19" s="13">
        <f>1-Table2[[#This Row],[Deaths]]/Table2[[#This Row],[Ex(Deaths)]]</f>
        <v>0.21040545797868815</v>
      </c>
      <c r="V19" s="13">
        <f>Table2[[#This Row],[Cases]]/Table2[[#This Row],[Tests]]</f>
        <v>6.4537569811063206E-2</v>
      </c>
      <c r="W19" s="12">
        <f>Table2[[#This Row],[Percent Infected]]*Table2[[#This Row],[% Active]]</f>
        <v>1.8970197685457804E-3</v>
      </c>
      <c r="X19" s="9">
        <f>1/Table2[[#This Row],[Percent Active Infected]]</f>
        <v>527.14263529608922</v>
      </c>
    </row>
    <row r="20" spans="1:24" ht="15.95" customHeight="1" thickBot="1" x14ac:dyDescent="0.3">
      <c r="A20" s="44" t="s">
        <v>272</v>
      </c>
      <c r="B20" s="47">
        <v>80008</v>
      </c>
      <c r="C20" s="48"/>
      <c r="D20" s="47">
        <v>1465</v>
      </c>
      <c r="E20" s="48"/>
      <c r="F20" s="47">
        <v>49165</v>
      </c>
      <c r="G20" s="47">
        <v>15539</v>
      </c>
      <c r="H20" s="48">
        <v>285</v>
      </c>
      <c r="I20" s="47">
        <v>690650</v>
      </c>
      <c r="J20" s="47">
        <v>134140</v>
      </c>
      <c r="K20" s="56" t="s">
        <v>333</v>
      </c>
      <c r="L20" s="42" t="s">
        <v>242</v>
      </c>
      <c r="M20" s="10">
        <f>Table2[[#This Row],[Active]]/Table2[[#This Row],[Cases]]</f>
        <v>0.61450104989501053</v>
      </c>
      <c r="N20" s="9">
        <f>1000000/Table2[[#This Row],[Cases/1M]]</f>
        <v>64.354205547332512</v>
      </c>
      <c r="O20" s="9">
        <f>1000000/Table2[[#This Row],[Deaths/1M]]</f>
        <v>3508.7719298245615</v>
      </c>
      <c r="P20" s="9">
        <f>Table2[[#This Row],[Deaths]]+Table2[[#This Row],[Active]]*Table2[[#This Row],[Death Rate]]</f>
        <v>2365.2440380961903</v>
      </c>
      <c r="Q20" s="10">
        <f>Table2[[#This Row],[Deaths]]/Table2[[#This Row],[Cases]]</f>
        <v>1.8310668933106688E-2</v>
      </c>
      <c r="R20" s="9">
        <f>Table2[[#This Row],[Cases]]/Table2[[#This Row],[Deaths]]</f>
        <v>54.612969283276449</v>
      </c>
      <c r="S20" s="12">
        <f>Table2[[#This Row],[Cases/1M]]/1000000</f>
        <v>1.5539000000000001E-2</v>
      </c>
      <c r="T20" s="12">
        <f>Table2[[#This Row],[Deaths/1M]]/1000000</f>
        <v>2.8499999999999999E-4</v>
      </c>
      <c r="U20" s="13">
        <f>1-Table2[[#This Row],[Deaths]]/Table2[[#This Row],[Ex(Deaths)]]</f>
        <v>0.38061359572046782</v>
      </c>
      <c r="V20" s="13">
        <f>Table2[[#This Row],[Cases]]/Table2[[#This Row],[Tests]]</f>
        <v>0.11584449431694781</v>
      </c>
      <c r="W20" s="12">
        <f>Table2[[#This Row],[Percent Infected]]*Table2[[#This Row],[% Active]]</f>
        <v>9.5487318143185687E-3</v>
      </c>
      <c r="X20" s="9">
        <f>1/Table2[[#This Row],[Percent Active Infected]]</f>
        <v>104.72594889516891</v>
      </c>
    </row>
    <row r="21" spans="1:24" ht="15.95" customHeight="1" thickBot="1" x14ac:dyDescent="0.3">
      <c r="A21" s="44" t="s">
        <v>265</v>
      </c>
      <c r="B21" s="47">
        <v>79294</v>
      </c>
      <c r="C21" s="59">
        <v>1164</v>
      </c>
      <c r="D21" s="47">
        <v>1473</v>
      </c>
      <c r="E21" s="57">
        <v>17</v>
      </c>
      <c r="F21" s="47">
        <v>45311</v>
      </c>
      <c r="G21" s="47">
        <v>16172</v>
      </c>
      <c r="H21" s="48">
        <v>300</v>
      </c>
      <c r="I21" s="47">
        <v>639795</v>
      </c>
      <c r="J21" s="47">
        <v>130486</v>
      </c>
      <c r="K21" s="56" t="s">
        <v>337</v>
      </c>
      <c r="L21" s="42" t="s">
        <v>242</v>
      </c>
      <c r="M21" s="10">
        <f>Table2[[#This Row],[Active]]/Table2[[#This Row],[Cases]]</f>
        <v>0.57143037304209654</v>
      </c>
      <c r="N21" s="9">
        <f>1000000/Table2[[#This Row],[Cases/1M]]</f>
        <v>61.835270838486274</v>
      </c>
      <c r="O21" s="9">
        <f>1000000/Table2[[#This Row],[Deaths/1M]]</f>
        <v>3333.3333333333335</v>
      </c>
      <c r="P21" s="9">
        <f>Table2[[#This Row],[Deaths]]+Table2[[#This Row],[Active]]*Table2[[#This Row],[Death Rate]]</f>
        <v>2314.7169394910084</v>
      </c>
      <c r="Q21" s="10">
        <f>Table2[[#This Row],[Deaths]]/Table2[[#This Row],[Cases]]</f>
        <v>1.8576437057028276E-2</v>
      </c>
      <c r="R21" s="9">
        <f>Table2[[#This Row],[Cases]]/Table2[[#This Row],[Deaths]]</f>
        <v>53.8316361167685</v>
      </c>
      <c r="S21" s="12">
        <f>Table2[[#This Row],[Cases/1M]]/1000000</f>
        <v>1.6171999999999999E-2</v>
      </c>
      <c r="T21" s="12">
        <f>Table2[[#This Row],[Deaths/1M]]/1000000</f>
        <v>2.9999999999999997E-4</v>
      </c>
      <c r="U21" s="13">
        <f>1-Table2[[#This Row],[Deaths]]/Table2[[#This Row],[Ex(Deaths)]]</f>
        <v>0.36363709321455806</v>
      </c>
      <c r="V21" s="13">
        <f>Table2[[#This Row],[Cases]]/Table2[[#This Row],[Tests]]</f>
        <v>0.12393657343367798</v>
      </c>
      <c r="W21" s="12">
        <f>Table2[[#This Row],[Percent Infected]]*Table2[[#This Row],[% Active]]</f>
        <v>9.2411719928367844E-3</v>
      </c>
      <c r="X21" s="9">
        <f>1/Table2[[#This Row],[Percent Active Infected]]</f>
        <v>108.21138279594206</v>
      </c>
    </row>
    <row r="22" spans="1:24" ht="15.95" customHeight="1" thickBot="1" x14ac:dyDescent="0.3">
      <c r="A22" s="44" t="s">
        <v>254</v>
      </c>
      <c r="B22" s="47">
        <v>62372</v>
      </c>
      <c r="C22" s="58">
        <v>852</v>
      </c>
      <c r="D22" s="47">
        <v>2903</v>
      </c>
      <c r="E22" s="57">
        <v>8</v>
      </c>
      <c r="F22" s="47">
        <v>15934</v>
      </c>
      <c r="G22" s="47">
        <v>9265</v>
      </c>
      <c r="H22" s="48">
        <v>431</v>
      </c>
      <c r="I22" s="47">
        <v>690274</v>
      </c>
      <c r="J22" s="47">
        <v>102533</v>
      </c>
      <c r="K22" s="42" t="s">
        <v>330</v>
      </c>
      <c r="L22" s="42" t="s">
        <v>242</v>
      </c>
      <c r="M22" s="10">
        <f>Table2[[#This Row],[Active]]/Table2[[#This Row],[Cases]]</f>
        <v>0.25546719681908547</v>
      </c>
      <c r="N22" s="9">
        <f>1000000/Table2[[#This Row],[Cases/1M]]</f>
        <v>107.93308148947652</v>
      </c>
      <c r="O22" s="9">
        <f>1000000/Table2[[#This Row],[Deaths/1M]]</f>
        <v>2320.1856148491879</v>
      </c>
      <c r="P22" s="9">
        <f>Table2[[#This Row],[Deaths]]+Table2[[#This Row],[Active]]*Table2[[#This Row],[Death Rate]]</f>
        <v>3644.621272365805</v>
      </c>
      <c r="Q22" s="10">
        <f>Table2[[#This Row],[Deaths]]/Table2[[#This Row],[Cases]]</f>
        <v>4.6543320720836272E-2</v>
      </c>
      <c r="R22" s="9">
        <f>Table2[[#This Row],[Cases]]/Table2[[#This Row],[Deaths]]</f>
        <v>21.4853599724423</v>
      </c>
      <c r="S22" s="12">
        <f>Table2[[#This Row],[Cases/1M]]/1000000</f>
        <v>9.2650000000000007E-3</v>
      </c>
      <c r="T22" s="12">
        <f>Table2[[#This Row],[Deaths/1M]]/1000000</f>
        <v>4.3100000000000001E-4</v>
      </c>
      <c r="U22" s="13">
        <f>1-Table2[[#This Row],[Deaths]]/Table2[[#This Row],[Ex(Deaths)]]</f>
        <v>0.20348376880443386</v>
      </c>
      <c r="V22" s="13">
        <f>Table2[[#This Row],[Cases]]/Table2[[#This Row],[Tests]]</f>
        <v>9.0358321478137674E-2</v>
      </c>
      <c r="W22" s="12">
        <f>Table2[[#This Row],[Percent Infected]]*Table2[[#This Row],[% Active]]</f>
        <v>2.3669035785288269E-3</v>
      </c>
      <c r="X22" s="9">
        <f>1/Table2[[#This Row],[Percent Active Infected]]</f>
        <v>422.49291820394313</v>
      </c>
    </row>
    <row r="23" spans="1:24" ht="15.95" customHeight="1" thickBot="1" x14ac:dyDescent="0.3">
      <c r="A23" s="44" t="s">
        <v>262</v>
      </c>
      <c r="B23" s="47">
        <v>53237</v>
      </c>
      <c r="C23" s="48"/>
      <c r="D23" s="47">
        <v>1506</v>
      </c>
      <c r="E23" s="48"/>
      <c r="F23" s="47">
        <v>34550</v>
      </c>
      <c r="G23" s="47">
        <v>6991</v>
      </c>
      <c r="H23" s="48">
        <v>198</v>
      </c>
      <c r="I23" s="47">
        <v>903674</v>
      </c>
      <c r="J23" s="47">
        <v>118672</v>
      </c>
      <c r="K23" s="56" t="s">
        <v>337</v>
      </c>
      <c r="L23" s="42" t="s">
        <v>242</v>
      </c>
      <c r="M23" s="10">
        <f>Table2[[#This Row],[Active]]/Table2[[#This Row],[Cases]]</f>
        <v>0.6489847286661532</v>
      </c>
      <c r="N23" s="9">
        <f>1000000/Table2[[#This Row],[Cases/1M]]</f>
        <v>143.04105278214848</v>
      </c>
      <c r="O23" s="9">
        <f>1000000/Table2[[#This Row],[Deaths/1M]]</f>
        <v>5050.5050505050503</v>
      </c>
      <c r="P23" s="9">
        <f>Table2[[#This Row],[Deaths]]+Table2[[#This Row],[Active]]*Table2[[#This Row],[Death Rate]]</f>
        <v>2483.3710013712271</v>
      </c>
      <c r="Q23" s="10">
        <f>Table2[[#This Row],[Deaths]]/Table2[[#This Row],[Cases]]</f>
        <v>2.8288596277025378E-2</v>
      </c>
      <c r="R23" s="9">
        <f>Table2[[#This Row],[Cases]]/Table2[[#This Row],[Deaths]]</f>
        <v>35.349933598937582</v>
      </c>
      <c r="S23" s="12">
        <f>Table2[[#This Row],[Cases/1M]]/1000000</f>
        <v>6.9909999999999998E-3</v>
      </c>
      <c r="T23" s="12">
        <f>Table2[[#This Row],[Deaths/1M]]/1000000</f>
        <v>1.9799999999999999E-4</v>
      </c>
      <c r="U23" s="13">
        <f>1-Table2[[#This Row],[Deaths]]/Table2[[#This Row],[Ex(Deaths)]]</f>
        <v>0.39356624557166786</v>
      </c>
      <c r="V23" s="13">
        <f>Table2[[#This Row],[Cases]]/Table2[[#This Row],[Tests]]</f>
        <v>5.8911731442976116E-2</v>
      </c>
      <c r="W23" s="12">
        <f>Table2[[#This Row],[Percent Infected]]*Table2[[#This Row],[% Active]]</f>
        <v>4.5370522381050771E-3</v>
      </c>
      <c r="X23" s="9">
        <f>1/Table2[[#This Row],[Percent Active Infected]]</f>
        <v>220.40742480356698</v>
      </c>
    </row>
    <row r="24" spans="1:24" ht="15.95" customHeight="1" thickBot="1" x14ac:dyDescent="0.3">
      <c r="A24" s="44" t="s">
        <v>256</v>
      </c>
      <c r="B24" s="47">
        <v>52304</v>
      </c>
      <c r="C24" s="59">
        <v>1207</v>
      </c>
      <c r="D24" s="47">
        <v>1495</v>
      </c>
      <c r="E24" s="57">
        <v>15</v>
      </c>
      <c r="F24" s="47">
        <v>20494</v>
      </c>
      <c r="G24" s="47">
        <v>17574</v>
      </c>
      <c r="H24" s="48">
        <v>502</v>
      </c>
      <c r="I24" s="47">
        <v>436973</v>
      </c>
      <c r="J24" s="47">
        <v>146825</v>
      </c>
      <c r="K24" s="56" t="s">
        <v>334</v>
      </c>
      <c r="L24" s="42" t="s">
        <v>242</v>
      </c>
      <c r="M24" s="10">
        <f>Table2[[#This Row],[Active]]/Table2[[#This Row],[Cases]]</f>
        <v>0.3918247170388498</v>
      </c>
      <c r="N24" s="9">
        <f>1000000/Table2[[#This Row],[Cases/1M]]</f>
        <v>56.902241948332765</v>
      </c>
      <c r="O24" s="9">
        <f>1000000/Table2[[#This Row],[Deaths/1M]]</f>
        <v>1992.0318725099601</v>
      </c>
      <c r="P24" s="9">
        <f>Table2[[#This Row],[Deaths]]+Table2[[#This Row],[Active]]*Table2[[#This Row],[Death Rate]]</f>
        <v>2080.7779519730802</v>
      </c>
      <c r="Q24" s="10">
        <f>Table2[[#This Row],[Deaths]]/Table2[[#This Row],[Cases]]</f>
        <v>2.8582899969409607E-2</v>
      </c>
      <c r="R24" s="9">
        <f>Table2[[#This Row],[Cases]]/Table2[[#This Row],[Deaths]]</f>
        <v>34.985953177257528</v>
      </c>
      <c r="S24" s="12">
        <f>Table2[[#This Row],[Cases/1M]]/1000000</f>
        <v>1.7573999999999999E-2</v>
      </c>
      <c r="T24" s="12">
        <f>Table2[[#This Row],[Deaths/1M]]/1000000</f>
        <v>5.0199999999999995E-4</v>
      </c>
      <c r="U24" s="13">
        <f>1-Table2[[#This Row],[Deaths]]/Table2[[#This Row],[Ex(Deaths)]]</f>
        <v>0.28151872304184178</v>
      </c>
      <c r="V24" s="13">
        <f>Table2[[#This Row],[Cases]]/Table2[[#This Row],[Tests]]</f>
        <v>0.11969618260167104</v>
      </c>
      <c r="W24" s="12">
        <f>Table2[[#This Row],[Percent Infected]]*Table2[[#This Row],[% Active]]</f>
        <v>6.8859275772407465E-3</v>
      </c>
      <c r="X24" s="9">
        <f>1/Table2[[#This Row],[Percent Active Infected]]</f>
        <v>145.22371732534384</v>
      </c>
    </row>
    <row r="25" spans="1:24" ht="15.95" customHeight="1" thickBot="1" x14ac:dyDescent="0.3">
      <c r="A25" s="44" t="s">
        <v>258</v>
      </c>
      <c r="B25" s="47">
        <v>50291</v>
      </c>
      <c r="C25" s="48"/>
      <c r="D25" s="47">
        <v>1611</v>
      </c>
      <c r="E25" s="48"/>
      <c r="F25" s="47">
        <v>5055</v>
      </c>
      <c r="G25" s="47">
        <v>8917</v>
      </c>
      <c r="H25" s="48">
        <v>286</v>
      </c>
      <c r="I25" s="47">
        <v>940696</v>
      </c>
      <c r="J25" s="47">
        <v>166801</v>
      </c>
      <c r="K25" s="56" t="s">
        <v>337</v>
      </c>
      <c r="L25" s="42" t="s">
        <v>242</v>
      </c>
      <c r="M25" s="10">
        <f>Table2[[#This Row],[Active]]/Table2[[#This Row],[Cases]]</f>
        <v>0.10051500268437692</v>
      </c>
      <c r="N25" s="9">
        <f>1000000/Table2[[#This Row],[Cases/1M]]</f>
        <v>112.145340361108</v>
      </c>
      <c r="O25" s="9">
        <f>1000000/Table2[[#This Row],[Deaths/1M]]</f>
        <v>3496.5034965034965</v>
      </c>
      <c r="P25" s="9">
        <f>Table2[[#This Row],[Deaths]]+Table2[[#This Row],[Active]]*Table2[[#This Row],[Death Rate]]</f>
        <v>1772.9296693245312</v>
      </c>
      <c r="Q25" s="10">
        <f>Table2[[#This Row],[Deaths]]/Table2[[#This Row],[Cases]]</f>
        <v>3.2033564653715374E-2</v>
      </c>
      <c r="R25" s="9">
        <f>Table2[[#This Row],[Cases]]/Table2[[#This Row],[Deaths]]</f>
        <v>31.217256362507758</v>
      </c>
      <c r="S25" s="12">
        <f>Table2[[#This Row],[Cases/1M]]/1000000</f>
        <v>8.9169999999999996E-3</v>
      </c>
      <c r="T25" s="12">
        <f>Table2[[#This Row],[Deaths/1M]]/1000000</f>
        <v>2.8600000000000001E-4</v>
      </c>
      <c r="U25" s="13">
        <f>1-Table2[[#This Row],[Deaths]]/Table2[[#This Row],[Ex(Deaths)]]</f>
        <v>9.1334513786000771E-2</v>
      </c>
      <c r="V25" s="13">
        <f>Table2[[#This Row],[Cases]]/Table2[[#This Row],[Tests]]</f>
        <v>5.3461479585328313E-2</v>
      </c>
      <c r="W25" s="12">
        <f>Table2[[#This Row],[Percent Infected]]*Table2[[#This Row],[% Active]]</f>
        <v>8.9629227893658903E-4</v>
      </c>
      <c r="X25" s="9">
        <f>1/Table2[[#This Row],[Percent Active Infected]]</f>
        <v>1115.7074801385722</v>
      </c>
    </row>
    <row r="26" spans="1:24" ht="15.95" customHeight="1" thickBot="1" x14ac:dyDescent="0.3">
      <c r="A26" s="44" t="s">
        <v>244</v>
      </c>
      <c r="B26" s="47">
        <v>48776</v>
      </c>
      <c r="C26" s="48"/>
      <c r="D26" s="47">
        <v>4413</v>
      </c>
      <c r="E26" s="48"/>
      <c r="F26" s="47">
        <v>21491</v>
      </c>
      <c r="G26" s="47">
        <v>13681</v>
      </c>
      <c r="H26" s="47">
        <v>1238</v>
      </c>
      <c r="I26" s="47">
        <v>711102</v>
      </c>
      <c r="J26" s="47">
        <v>199452</v>
      </c>
      <c r="K26" s="56" t="s">
        <v>337</v>
      </c>
      <c r="L26" s="42" t="s">
        <v>242</v>
      </c>
      <c r="M26" s="10">
        <f>Table2[[#This Row],[Active]]/Table2[[#This Row],[Cases]]</f>
        <v>0.4406060357552895</v>
      </c>
      <c r="N26" s="9">
        <f>1000000/Table2[[#This Row],[Cases/1M]]</f>
        <v>73.094072070755061</v>
      </c>
      <c r="O26" s="9">
        <f>1000000/Table2[[#This Row],[Deaths/1M]]</f>
        <v>807.75444264943462</v>
      </c>
      <c r="P26" s="9">
        <f>Table2[[#This Row],[Deaths]]+Table2[[#This Row],[Active]]*Table2[[#This Row],[Death Rate]]</f>
        <v>6357.3944357880919</v>
      </c>
      <c r="Q26" s="10">
        <f>Table2[[#This Row],[Deaths]]/Table2[[#This Row],[Cases]]</f>
        <v>9.0474823683778904E-2</v>
      </c>
      <c r="R26" s="9">
        <f>Table2[[#This Row],[Cases]]/Table2[[#This Row],[Deaths]]</f>
        <v>11.052798549739407</v>
      </c>
      <c r="S26" s="12">
        <f>Table2[[#This Row],[Cases/1M]]/1000000</f>
        <v>1.3681E-2</v>
      </c>
      <c r="T26" s="12">
        <f>Table2[[#This Row],[Deaths/1M]]/1000000</f>
        <v>1.238E-3</v>
      </c>
      <c r="U26" s="13">
        <f>1-Table2[[#This Row],[Deaths]]/Table2[[#This Row],[Ex(Deaths)]]</f>
        <v>0.30584769521966204</v>
      </c>
      <c r="V26" s="13">
        <f>Table2[[#This Row],[Cases]]/Table2[[#This Row],[Tests]]</f>
        <v>6.8592128836650723E-2</v>
      </c>
      <c r="W26" s="12">
        <f>Table2[[#This Row],[Percent Infected]]*Table2[[#This Row],[% Active]]</f>
        <v>6.0279311751681155E-3</v>
      </c>
      <c r="X26" s="9">
        <f>1/Table2[[#This Row],[Percent Active Infected]]</f>
        <v>165.89439576209338</v>
      </c>
    </row>
    <row r="27" spans="1:24" ht="15.95" customHeight="1" thickBot="1" x14ac:dyDescent="0.3">
      <c r="A27" s="44" t="s">
        <v>270</v>
      </c>
      <c r="B27" s="47">
        <v>47870</v>
      </c>
      <c r="C27" s="48"/>
      <c r="D27" s="48">
        <v>891</v>
      </c>
      <c r="E27" s="48"/>
      <c r="F27" s="47">
        <v>9692</v>
      </c>
      <c r="G27" s="47">
        <v>8222</v>
      </c>
      <c r="H27" s="48">
        <v>153</v>
      </c>
      <c r="I27" s="47">
        <v>856398</v>
      </c>
      <c r="J27" s="47">
        <v>147086</v>
      </c>
      <c r="K27" s="56" t="s">
        <v>337</v>
      </c>
      <c r="L27" s="42" t="s">
        <v>242</v>
      </c>
      <c r="M27" s="10">
        <f>Table2[[#This Row],[Active]]/Table2[[#This Row],[Cases]]</f>
        <v>0.20246500940045958</v>
      </c>
      <c r="N27" s="9">
        <f>1000000/Table2[[#This Row],[Cases/1M]]</f>
        <v>121.62490878131841</v>
      </c>
      <c r="O27" s="9">
        <f>1000000/Table2[[#This Row],[Deaths/1M]]</f>
        <v>6535.9477124183004</v>
      </c>
      <c r="P27" s="9">
        <f>Table2[[#This Row],[Deaths]]+Table2[[#This Row],[Active]]*Table2[[#This Row],[Death Rate]]</f>
        <v>1071.3963233758095</v>
      </c>
      <c r="Q27" s="10">
        <f>Table2[[#This Row],[Deaths]]/Table2[[#This Row],[Cases]]</f>
        <v>1.8612909964487154E-2</v>
      </c>
      <c r="R27" s="9">
        <f>Table2[[#This Row],[Cases]]/Table2[[#This Row],[Deaths]]</f>
        <v>53.726150392817061</v>
      </c>
      <c r="S27" s="12">
        <f>Table2[[#This Row],[Cases/1M]]/1000000</f>
        <v>8.2220000000000001E-3</v>
      </c>
      <c r="T27" s="12">
        <f>Table2[[#This Row],[Deaths/1M]]/1000000</f>
        <v>1.5300000000000001E-4</v>
      </c>
      <c r="U27" s="13">
        <f>1-Table2[[#This Row],[Deaths]]/Table2[[#This Row],[Ex(Deaths)]]</f>
        <v>0.16837496959799869</v>
      </c>
      <c r="V27" s="13">
        <f>Table2[[#This Row],[Cases]]/Table2[[#This Row],[Tests]]</f>
        <v>5.5896907746164751E-2</v>
      </c>
      <c r="W27" s="12">
        <f>Table2[[#This Row],[Percent Infected]]*Table2[[#This Row],[% Active]]</f>
        <v>1.6646673072905787E-3</v>
      </c>
      <c r="X27" s="9">
        <f>1/Table2[[#This Row],[Percent Active Infected]]</f>
        <v>600.72063385902936</v>
      </c>
    </row>
    <row r="28" spans="1:24" ht="15.95" customHeight="1" thickBot="1" x14ac:dyDescent="0.3">
      <c r="A28" s="44" t="s">
        <v>255</v>
      </c>
      <c r="B28" s="47">
        <v>43789</v>
      </c>
      <c r="C28" s="48"/>
      <c r="D28" s="47">
        <v>1794</v>
      </c>
      <c r="E28" s="48"/>
      <c r="F28" s="47">
        <v>25485</v>
      </c>
      <c r="G28" s="47">
        <v>7604</v>
      </c>
      <c r="H28" s="48">
        <v>312</v>
      </c>
      <c r="I28" s="47">
        <v>487235</v>
      </c>
      <c r="J28" s="47">
        <v>84608</v>
      </c>
      <c r="K28" s="56" t="s">
        <v>339</v>
      </c>
      <c r="L28" s="42" t="s">
        <v>242</v>
      </c>
      <c r="M28" s="10">
        <f>Table2[[#This Row],[Active]]/Table2[[#This Row],[Cases]]</f>
        <v>0.58199547831647214</v>
      </c>
      <c r="N28" s="9">
        <f>1000000/Table2[[#This Row],[Cases/1M]]</f>
        <v>131.5097317201473</v>
      </c>
      <c r="O28" s="9">
        <f>1000000/Table2[[#This Row],[Deaths/1M]]</f>
        <v>3205.1282051282051</v>
      </c>
      <c r="P28" s="9">
        <f>Table2[[#This Row],[Deaths]]+Table2[[#This Row],[Active]]*Table2[[#This Row],[Death Rate]]</f>
        <v>2838.0998880997513</v>
      </c>
      <c r="Q28" s="10">
        <f>Table2[[#This Row],[Deaths]]/Table2[[#This Row],[Cases]]</f>
        <v>4.0969193176368497E-2</v>
      </c>
      <c r="R28" s="9">
        <f>Table2[[#This Row],[Cases]]/Table2[[#This Row],[Deaths]]</f>
        <v>24.408584169453736</v>
      </c>
      <c r="S28" s="12">
        <f>Table2[[#This Row],[Cases/1M]]/1000000</f>
        <v>7.6039999999999996E-3</v>
      </c>
      <c r="T28" s="12">
        <f>Table2[[#This Row],[Deaths/1M]]/1000000</f>
        <v>3.1199999999999999E-4</v>
      </c>
      <c r="U28" s="13">
        <f>1-Table2[[#This Row],[Deaths]]/Table2[[#This Row],[Ex(Deaths)]]</f>
        <v>0.36788694170973246</v>
      </c>
      <c r="V28" s="13">
        <f>Table2[[#This Row],[Cases]]/Table2[[#This Row],[Tests]]</f>
        <v>8.9872443482097955E-2</v>
      </c>
      <c r="W28" s="12">
        <f>Table2[[#This Row],[Percent Infected]]*Table2[[#This Row],[% Active]]</f>
        <v>4.4254936171184535E-3</v>
      </c>
      <c r="X28" s="9">
        <f>1/Table2[[#This Row],[Percent Active Infected]]</f>
        <v>225.96349390988939</v>
      </c>
    </row>
    <row r="29" spans="1:24" ht="15.95" customHeight="1" thickBot="1" x14ac:dyDescent="0.3">
      <c r="A29" s="44" t="s">
        <v>266</v>
      </c>
      <c r="B29" s="47">
        <v>42171</v>
      </c>
      <c r="C29" s="48"/>
      <c r="D29" s="47">
        <v>1228</v>
      </c>
      <c r="E29" s="48"/>
      <c r="F29" s="47">
        <v>32815</v>
      </c>
      <c r="G29" s="47">
        <v>6871</v>
      </c>
      <c r="H29" s="48">
        <v>200</v>
      </c>
      <c r="I29" s="47">
        <v>676873</v>
      </c>
      <c r="J29" s="47">
        <v>110286</v>
      </c>
      <c r="K29" s="42" t="s">
        <v>330</v>
      </c>
      <c r="L29" s="42" t="s">
        <v>242</v>
      </c>
      <c r="M29" s="10">
        <f>Table2[[#This Row],[Active]]/Table2[[#This Row],[Cases]]</f>
        <v>0.77814137677550921</v>
      </c>
      <c r="N29" s="9">
        <f>1000000/Table2[[#This Row],[Cases/1M]]</f>
        <v>145.53922282055015</v>
      </c>
      <c r="O29" s="9">
        <f>1000000/Table2[[#This Row],[Deaths/1M]]</f>
        <v>5000</v>
      </c>
      <c r="P29" s="9">
        <f>Table2[[#This Row],[Deaths]]+Table2[[#This Row],[Active]]*Table2[[#This Row],[Death Rate]]</f>
        <v>2183.5576106803255</v>
      </c>
      <c r="Q29" s="10">
        <f>Table2[[#This Row],[Deaths]]/Table2[[#This Row],[Cases]]</f>
        <v>2.9119537122667235E-2</v>
      </c>
      <c r="R29" s="9">
        <f>Table2[[#This Row],[Cases]]/Table2[[#This Row],[Deaths]]</f>
        <v>34.341205211726383</v>
      </c>
      <c r="S29" s="12">
        <f>Table2[[#This Row],[Cases/1M]]/1000000</f>
        <v>6.8710000000000004E-3</v>
      </c>
      <c r="T29" s="12">
        <f>Table2[[#This Row],[Deaths/1M]]/1000000</f>
        <v>2.0000000000000001E-4</v>
      </c>
      <c r="U29" s="13">
        <f>1-Table2[[#This Row],[Deaths]]/Table2[[#This Row],[Ex(Deaths)]]</f>
        <v>0.43761502147067455</v>
      </c>
      <c r="V29" s="13">
        <f>Table2[[#This Row],[Cases]]/Table2[[#This Row],[Tests]]</f>
        <v>6.2302677163958382E-2</v>
      </c>
      <c r="W29" s="12">
        <f>Table2[[#This Row],[Percent Infected]]*Table2[[#This Row],[% Active]]</f>
        <v>5.3466093998245237E-3</v>
      </c>
      <c r="X29" s="9">
        <f>1/Table2[[#This Row],[Percent Active Infected]]</f>
        <v>187.03442223268078</v>
      </c>
    </row>
    <row r="30" spans="1:24" ht="15.95" customHeight="1" thickBot="1" x14ac:dyDescent="0.3">
      <c r="A30" s="44" t="s">
        <v>261</v>
      </c>
      <c r="B30" s="47">
        <v>42017</v>
      </c>
      <c r="C30" s="58">
        <v>345</v>
      </c>
      <c r="D30" s="48">
        <v>826</v>
      </c>
      <c r="E30" s="48"/>
      <c r="F30" s="47">
        <v>11716</v>
      </c>
      <c r="G30" s="47">
        <v>13317</v>
      </c>
      <c r="H30" s="48">
        <v>262</v>
      </c>
      <c r="I30" s="47">
        <v>447906</v>
      </c>
      <c r="J30" s="47">
        <v>141964</v>
      </c>
      <c r="K30" s="56" t="s">
        <v>340</v>
      </c>
      <c r="L30" s="42" t="s">
        <v>242</v>
      </c>
      <c r="M30" s="10">
        <f>Table2[[#This Row],[Active]]/Table2[[#This Row],[Cases]]</f>
        <v>0.27883951733822027</v>
      </c>
      <c r="N30" s="9">
        <f>1000000/Table2[[#This Row],[Cases/1M]]</f>
        <v>75.091987684914017</v>
      </c>
      <c r="O30" s="9">
        <f>1000000/Table2[[#This Row],[Deaths/1M]]</f>
        <v>3816.7938931297708</v>
      </c>
      <c r="P30" s="9">
        <f>Table2[[#This Row],[Deaths]]+Table2[[#This Row],[Active]]*Table2[[#This Row],[Death Rate]]</f>
        <v>1056.32144132137</v>
      </c>
      <c r="Q30" s="10">
        <f>Table2[[#This Row],[Deaths]]/Table2[[#This Row],[Cases]]</f>
        <v>1.9658709569935977E-2</v>
      </c>
      <c r="R30" s="9">
        <f>Table2[[#This Row],[Cases]]/Table2[[#This Row],[Deaths]]</f>
        <v>50.868038740920099</v>
      </c>
      <c r="S30" s="12">
        <f>Table2[[#This Row],[Cases/1M]]/1000000</f>
        <v>1.3317000000000001E-2</v>
      </c>
      <c r="T30" s="12">
        <f>Table2[[#This Row],[Deaths/1M]]/1000000</f>
        <v>2.6200000000000003E-4</v>
      </c>
      <c r="U30" s="13">
        <f>1-Table2[[#This Row],[Deaths]]/Table2[[#This Row],[Ex(Deaths)]]</f>
        <v>0.21804105484525349</v>
      </c>
      <c r="V30" s="13">
        <f>Table2[[#This Row],[Cases]]/Table2[[#This Row],[Tests]]</f>
        <v>9.3807629279357721E-2</v>
      </c>
      <c r="W30" s="12">
        <f>Table2[[#This Row],[Percent Infected]]*Table2[[#This Row],[% Active]]</f>
        <v>3.7133058523930794E-3</v>
      </c>
      <c r="X30" s="9">
        <f>1/Table2[[#This Row],[Percent Active Infected]]</f>
        <v>269.30181346509323</v>
      </c>
    </row>
    <row r="31" spans="1:24" ht="15.95" customHeight="1" thickBot="1" x14ac:dyDescent="0.3">
      <c r="A31" s="44" t="s">
        <v>264</v>
      </c>
      <c r="B31" s="47">
        <v>41816</v>
      </c>
      <c r="C31" s="48"/>
      <c r="D31" s="48">
        <v>732</v>
      </c>
      <c r="E31" s="48"/>
      <c r="F31" s="47">
        <v>16064</v>
      </c>
      <c r="G31" s="47">
        <v>13576</v>
      </c>
      <c r="H31" s="48">
        <v>238</v>
      </c>
      <c r="I31" s="47">
        <v>552480</v>
      </c>
      <c r="J31" s="47">
        <v>179368</v>
      </c>
      <c r="K31" s="56" t="s">
        <v>337</v>
      </c>
      <c r="L31" s="42" t="s">
        <v>242</v>
      </c>
      <c r="M31" s="10">
        <f>Table2[[#This Row],[Active]]/Table2[[#This Row],[Cases]]</f>
        <v>0.38415917352209683</v>
      </c>
      <c r="N31" s="9">
        <f>1000000/Table2[[#This Row],[Cases/1M]]</f>
        <v>73.659398939304651</v>
      </c>
      <c r="O31" s="9">
        <f>1000000/Table2[[#This Row],[Deaths/1M]]</f>
        <v>4201.680672268908</v>
      </c>
      <c r="P31" s="9">
        <f>Table2[[#This Row],[Deaths]]+Table2[[#This Row],[Active]]*Table2[[#This Row],[Death Rate]]</f>
        <v>1013.2045150181748</v>
      </c>
      <c r="Q31" s="10">
        <f>Table2[[#This Row],[Deaths]]/Table2[[#This Row],[Cases]]</f>
        <v>1.7505261144059689E-2</v>
      </c>
      <c r="R31" s="9">
        <f>Table2[[#This Row],[Cases]]/Table2[[#This Row],[Deaths]]</f>
        <v>57.125683060109289</v>
      </c>
      <c r="S31" s="12">
        <f>Table2[[#This Row],[Cases/1M]]/1000000</f>
        <v>1.3576E-2</v>
      </c>
      <c r="T31" s="12">
        <f>Table2[[#This Row],[Deaths/1M]]/1000000</f>
        <v>2.3800000000000001E-4</v>
      </c>
      <c r="U31" s="13">
        <f>1-Table2[[#This Row],[Deaths]]/Table2[[#This Row],[Ex(Deaths)]]</f>
        <v>0.27753973738769866</v>
      </c>
      <c r="V31" s="13">
        <f>Table2[[#This Row],[Cases]]/Table2[[#This Row],[Tests]]</f>
        <v>7.5687807703446283E-2</v>
      </c>
      <c r="W31" s="12">
        <f>Table2[[#This Row],[Percent Infected]]*Table2[[#This Row],[% Active]]</f>
        <v>5.2153449397359863E-3</v>
      </c>
      <c r="X31" s="9">
        <f>1/Table2[[#This Row],[Percent Active Infected]]</f>
        <v>191.74187164130748</v>
      </c>
    </row>
    <row r="32" spans="1:24" ht="15.95" customHeight="1" thickBot="1" x14ac:dyDescent="0.3">
      <c r="A32" s="44" t="s">
        <v>283</v>
      </c>
      <c r="B32" s="47">
        <v>37981</v>
      </c>
      <c r="C32" s="48"/>
      <c r="D32" s="48">
        <v>399</v>
      </c>
      <c r="E32" s="48"/>
      <c r="F32" s="47">
        <v>6499</v>
      </c>
      <c r="G32" s="47">
        <v>12586</v>
      </c>
      <c r="H32" s="48">
        <v>132</v>
      </c>
      <c r="I32" s="47">
        <v>470398</v>
      </c>
      <c r="J32" s="47">
        <v>155874</v>
      </c>
      <c r="K32" s="56" t="s">
        <v>337</v>
      </c>
      <c r="L32" s="42" t="s">
        <v>242</v>
      </c>
      <c r="M32" s="10">
        <f>Table2[[#This Row],[Active]]/Table2[[#This Row],[Cases]]</f>
        <v>0.17111187172533635</v>
      </c>
      <c r="N32" s="9">
        <f>1000000/Table2[[#This Row],[Cases/1M]]</f>
        <v>79.45336087716511</v>
      </c>
      <c r="O32" s="9">
        <f>1000000/Table2[[#This Row],[Deaths/1M]]</f>
        <v>7575.757575757576</v>
      </c>
      <c r="P32" s="9">
        <f>Table2[[#This Row],[Deaths]]+Table2[[#This Row],[Active]]*Table2[[#This Row],[Death Rate]]</f>
        <v>467.27363681840922</v>
      </c>
      <c r="Q32" s="10">
        <f>Table2[[#This Row],[Deaths]]/Table2[[#This Row],[Cases]]</f>
        <v>1.0505252626313157E-2</v>
      </c>
      <c r="R32" s="9">
        <f>Table2[[#This Row],[Cases]]/Table2[[#This Row],[Deaths]]</f>
        <v>95.19047619047619</v>
      </c>
      <c r="S32" s="12">
        <f>Table2[[#This Row],[Cases/1M]]/1000000</f>
        <v>1.2586E-2</v>
      </c>
      <c r="T32" s="12">
        <f>Table2[[#This Row],[Deaths/1M]]/1000000</f>
        <v>1.3200000000000001E-4</v>
      </c>
      <c r="U32" s="13">
        <f>1-Table2[[#This Row],[Deaths]]/Table2[[#This Row],[Ex(Deaths)]]</f>
        <v>0.14611061151079141</v>
      </c>
      <c r="V32" s="13">
        <f>Table2[[#This Row],[Cases]]/Table2[[#This Row],[Tests]]</f>
        <v>8.074226506065077E-2</v>
      </c>
      <c r="W32" s="12">
        <f>Table2[[#This Row],[Percent Infected]]*Table2[[#This Row],[% Active]]</f>
        <v>2.1536140175350831E-3</v>
      </c>
      <c r="X32" s="9">
        <f>1/Table2[[#This Row],[Percent Active Infected]]</f>
        <v>464.33575926690384</v>
      </c>
    </row>
    <row r="33" spans="1:24" ht="15.95" customHeight="1" thickBot="1" x14ac:dyDescent="0.3">
      <c r="A33" s="44" t="s">
        <v>286</v>
      </c>
      <c r="B33" s="47">
        <v>37623</v>
      </c>
      <c r="C33" s="48"/>
      <c r="D33" s="48">
        <v>274</v>
      </c>
      <c r="E33" s="48"/>
      <c r="F33" s="47">
        <v>12959</v>
      </c>
      <c r="G33" s="47">
        <v>11735</v>
      </c>
      <c r="H33" s="48">
        <v>85</v>
      </c>
      <c r="I33" s="47">
        <v>594012</v>
      </c>
      <c r="J33" s="47">
        <v>185284</v>
      </c>
      <c r="K33" s="56" t="s">
        <v>338</v>
      </c>
      <c r="L33" s="42" t="s">
        <v>242</v>
      </c>
      <c r="M33" s="10">
        <f>Table2[[#This Row],[Active]]/Table2[[#This Row],[Cases]]</f>
        <v>0.34444355846157937</v>
      </c>
      <c r="N33" s="9">
        <f>1000000/Table2[[#This Row],[Cases/1M]]</f>
        <v>85.215168299957398</v>
      </c>
      <c r="O33" s="9">
        <f>1000000/Table2[[#This Row],[Deaths/1M]]</f>
        <v>11764.705882352941</v>
      </c>
      <c r="P33" s="9">
        <f>Table2[[#This Row],[Deaths]]+Table2[[#This Row],[Active]]*Table2[[#This Row],[Death Rate]]</f>
        <v>368.37753501847271</v>
      </c>
      <c r="Q33" s="10">
        <f>Table2[[#This Row],[Deaths]]/Table2[[#This Row],[Cases]]</f>
        <v>7.2827791510512189E-3</v>
      </c>
      <c r="R33" s="9">
        <f>Table2[[#This Row],[Cases]]/Table2[[#This Row],[Deaths]]</f>
        <v>137.3102189781022</v>
      </c>
      <c r="S33" s="12">
        <f>Table2[[#This Row],[Cases/1M]]/1000000</f>
        <v>1.1735000000000001E-2</v>
      </c>
      <c r="T33" s="12">
        <f>Table2[[#This Row],[Deaths/1M]]/1000000</f>
        <v>8.5000000000000006E-5</v>
      </c>
      <c r="U33" s="13">
        <f>1-Table2[[#This Row],[Deaths]]/Table2[[#This Row],[Ex(Deaths)]]</f>
        <v>0.25619785694515829</v>
      </c>
      <c r="V33" s="13">
        <f>Table2[[#This Row],[Cases]]/Table2[[#This Row],[Tests]]</f>
        <v>6.3337104300923208E-2</v>
      </c>
      <c r="W33" s="12">
        <f>Table2[[#This Row],[Percent Infected]]*Table2[[#This Row],[% Active]]</f>
        <v>4.0420451585466343E-3</v>
      </c>
      <c r="X33" s="9">
        <f>1/Table2[[#This Row],[Percent Active Infected]]</f>
        <v>247.3995120726365</v>
      </c>
    </row>
    <row r="34" spans="1:24" ht="15.95" customHeight="1" thickBot="1" x14ac:dyDescent="0.3">
      <c r="A34" s="44" t="s">
        <v>273</v>
      </c>
      <c r="B34" s="47">
        <v>30081</v>
      </c>
      <c r="C34" s="48"/>
      <c r="D34" s="48">
        <v>496</v>
      </c>
      <c r="E34" s="48"/>
      <c r="F34" s="47">
        <v>5532</v>
      </c>
      <c r="G34" s="47">
        <v>7602</v>
      </c>
      <c r="H34" s="48">
        <v>125</v>
      </c>
      <c r="I34" s="47">
        <v>573185</v>
      </c>
      <c r="J34" s="47">
        <v>144854</v>
      </c>
      <c r="K34" s="42" t="s">
        <v>330</v>
      </c>
      <c r="L34" s="42" t="s">
        <v>242</v>
      </c>
      <c r="M34" s="10">
        <f>Table2[[#This Row],[Active]]/Table2[[#This Row],[Cases]]</f>
        <v>0.18390346065622817</v>
      </c>
      <c r="N34" s="9">
        <f>1000000/Table2[[#This Row],[Cases/1M]]</f>
        <v>131.54433043935808</v>
      </c>
      <c r="O34" s="9">
        <f>1000000/Table2[[#This Row],[Deaths/1M]]</f>
        <v>8000</v>
      </c>
      <c r="P34" s="9">
        <f>Table2[[#This Row],[Deaths]]+Table2[[#This Row],[Active]]*Table2[[#This Row],[Death Rate]]</f>
        <v>587.21611648548924</v>
      </c>
      <c r="Q34" s="10">
        <f>Table2[[#This Row],[Deaths]]/Table2[[#This Row],[Cases]]</f>
        <v>1.6488813536784018E-2</v>
      </c>
      <c r="R34" s="9">
        <f>Table2[[#This Row],[Cases]]/Table2[[#This Row],[Deaths]]</f>
        <v>60.64717741935484</v>
      </c>
      <c r="S34" s="12">
        <f>Table2[[#This Row],[Cases/1M]]/1000000</f>
        <v>7.6020000000000003E-3</v>
      </c>
      <c r="T34" s="12">
        <f>Table2[[#This Row],[Deaths/1M]]/1000000</f>
        <v>1.25E-4</v>
      </c>
      <c r="U34" s="13">
        <f>1-Table2[[#This Row],[Deaths]]/Table2[[#This Row],[Ex(Deaths)]]</f>
        <v>0.15533653441159134</v>
      </c>
      <c r="V34" s="13">
        <f>Table2[[#This Row],[Cases]]/Table2[[#This Row],[Tests]]</f>
        <v>5.2480438252920085E-2</v>
      </c>
      <c r="W34" s="12">
        <f>Table2[[#This Row],[Percent Infected]]*Table2[[#This Row],[% Active]]</f>
        <v>1.3980341079086467E-3</v>
      </c>
      <c r="X34" s="9">
        <f>1/Table2[[#This Row],[Percent Active Infected]]</f>
        <v>715.29013086520786</v>
      </c>
    </row>
    <row r="35" spans="1:24" ht="15.95" customHeight="1" thickBot="1" x14ac:dyDescent="0.3">
      <c r="A35" s="44" t="s">
        <v>271</v>
      </c>
      <c r="B35" s="47">
        <v>26764</v>
      </c>
      <c r="C35" s="48"/>
      <c r="D35" s="48">
        <v>696</v>
      </c>
      <c r="E35" s="48"/>
      <c r="F35" s="47">
        <v>18647</v>
      </c>
      <c r="G35" s="47">
        <v>5991</v>
      </c>
      <c r="H35" s="48">
        <v>156</v>
      </c>
      <c r="I35" s="47">
        <v>582521</v>
      </c>
      <c r="J35" s="47">
        <v>130386</v>
      </c>
      <c r="K35" s="56" t="s">
        <v>337</v>
      </c>
      <c r="L35" s="42" t="s">
        <v>242</v>
      </c>
      <c r="M35" s="26">
        <f>Table2[[#This Row],[Active]]/Table2[[#This Row],[Cases]]</f>
        <v>0.69671947392019129</v>
      </c>
      <c r="N35" s="9">
        <f>1000000/Table2[[#This Row],[Cases/1M]]</f>
        <v>166.91704223001167</v>
      </c>
      <c r="O35" s="9">
        <f>1000000/Table2[[#This Row],[Deaths/1M]]</f>
        <v>6410.2564102564102</v>
      </c>
      <c r="P35" s="9">
        <f>Table2[[#This Row],[Deaths]]+Table2[[#This Row],[Active]]*Table2[[#This Row],[Death Rate]]</f>
        <v>1180.916753848453</v>
      </c>
      <c r="Q35" s="10">
        <f>Table2[[#This Row],[Deaths]]/Table2[[#This Row],[Cases]]</f>
        <v>2.6005081452697653E-2</v>
      </c>
      <c r="R35" s="9">
        <f>Table2[[#This Row],[Cases]]/Table2[[#This Row],[Deaths]]</f>
        <v>38.454022988505749</v>
      </c>
      <c r="S35" s="12">
        <f>Table2[[#This Row],[Cases/1M]]/1000000</f>
        <v>5.9909999999999998E-3</v>
      </c>
      <c r="T35" s="12">
        <f>Table2[[#This Row],[Deaths/1M]]/1000000</f>
        <v>1.56E-4</v>
      </c>
      <c r="U35" s="13">
        <f>1-Table2[[#This Row],[Deaths]]/Table2[[#This Row],[Ex(Deaths)]]</f>
        <v>0.41062738103102769</v>
      </c>
      <c r="V35" s="13">
        <f>Table2[[#This Row],[Cases]]/Table2[[#This Row],[Tests]]</f>
        <v>4.5945124725117206E-2</v>
      </c>
      <c r="W35" s="12">
        <f>Table2[[#This Row],[Percent Infected]]*Table2[[#This Row],[% Active]]</f>
        <v>4.1740463682558657E-3</v>
      </c>
      <c r="X35" s="9">
        <f>1/Table2[[#This Row],[Percent Active Infected]]</f>
        <v>239.57568071239518</v>
      </c>
    </row>
    <row r="36" spans="1:24" ht="15.95" customHeight="1" thickBot="1" x14ac:dyDescent="0.3">
      <c r="A36" s="44" t="s">
        <v>276</v>
      </c>
      <c r="B36" s="47">
        <v>25408</v>
      </c>
      <c r="C36" s="48"/>
      <c r="D36" s="48">
        <v>330</v>
      </c>
      <c r="E36" s="48"/>
      <c r="F36" s="47">
        <v>10952</v>
      </c>
      <c r="G36" s="47">
        <v>8721</v>
      </c>
      <c r="H36" s="48">
        <v>113</v>
      </c>
      <c r="I36" s="47">
        <v>277967</v>
      </c>
      <c r="J36" s="47">
        <v>95413</v>
      </c>
      <c r="K36" s="56" t="s">
        <v>338</v>
      </c>
      <c r="L36" s="42" t="s">
        <v>242</v>
      </c>
      <c r="M36" s="10">
        <f>Table2[[#This Row],[Active]]/Table2[[#This Row],[Cases]]</f>
        <v>0.43104534005037781</v>
      </c>
      <c r="N36" s="9">
        <f>1000000/Table2[[#This Row],[Cases/1M]]</f>
        <v>114.66574934067194</v>
      </c>
      <c r="O36" s="9">
        <f>1000000/Table2[[#This Row],[Deaths/1M]]</f>
        <v>8849.5575221238942</v>
      </c>
      <c r="P36" s="9">
        <f>Table2[[#This Row],[Deaths]]+Table2[[#This Row],[Active]]*Table2[[#This Row],[Death Rate]]</f>
        <v>472.24496221662469</v>
      </c>
      <c r="Q36" s="10">
        <f>Table2[[#This Row],[Deaths]]/Table2[[#This Row],[Cases]]</f>
        <v>1.2988035264483628E-2</v>
      </c>
      <c r="R36" s="9">
        <f>Table2[[#This Row],[Cases]]/Table2[[#This Row],[Deaths]]</f>
        <v>76.993939393939399</v>
      </c>
      <c r="S36" s="12">
        <f>Table2[[#This Row],[Cases/1M]]/1000000</f>
        <v>8.7209999999999996E-3</v>
      </c>
      <c r="T36" s="12">
        <f>Table2[[#This Row],[Deaths/1M]]/1000000</f>
        <v>1.13E-4</v>
      </c>
      <c r="U36" s="13">
        <f>1-Table2[[#This Row],[Deaths]]/Table2[[#This Row],[Ex(Deaths)]]</f>
        <v>0.30121012101210121</v>
      </c>
      <c r="V36" s="13">
        <f>Table2[[#This Row],[Cases]]/Table2[[#This Row],[Tests]]</f>
        <v>9.1406533869128351E-2</v>
      </c>
      <c r="W36" s="12">
        <f>Table2[[#This Row],[Percent Infected]]*Table2[[#This Row],[% Active]]</f>
        <v>3.7591464105793449E-3</v>
      </c>
      <c r="X36" s="9">
        <f>1/Table2[[#This Row],[Percent Active Infected]]</f>
        <v>266.01783776915568</v>
      </c>
    </row>
    <row r="37" spans="1:24" ht="15.95" customHeight="1" thickBot="1" x14ac:dyDescent="0.3">
      <c r="A37" s="44" t="s">
        <v>274</v>
      </c>
      <c r="B37" s="47">
        <v>24395</v>
      </c>
      <c r="C37" s="48"/>
      <c r="D37" s="48">
        <v>316</v>
      </c>
      <c r="E37" s="48"/>
      <c r="F37" s="47">
        <v>5982</v>
      </c>
      <c r="G37" s="47">
        <v>12611</v>
      </c>
      <c r="H37" s="48">
        <v>163</v>
      </c>
      <c r="I37" s="47">
        <v>255740</v>
      </c>
      <c r="J37" s="47">
        <v>132206</v>
      </c>
      <c r="K37" s="56" t="s">
        <v>341</v>
      </c>
      <c r="L37" s="42" t="s">
        <v>242</v>
      </c>
      <c r="M37" s="10">
        <f>Table2[[#This Row],[Active]]/Table2[[#This Row],[Cases]]</f>
        <v>0.24521418323426933</v>
      </c>
      <c r="N37" s="9">
        <f>1000000/Table2[[#This Row],[Cases/1M]]</f>
        <v>79.295852826897146</v>
      </c>
      <c r="O37" s="9">
        <f>1000000/Table2[[#This Row],[Deaths/1M]]</f>
        <v>6134.9693251533745</v>
      </c>
      <c r="P37" s="9">
        <f>Table2[[#This Row],[Deaths]]+Table2[[#This Row],[Active]]*Table2[[#This Row],[Death Rate]]</f>
        <v>393.48768190202912</v>
      </c>
      <c r="Q37" s="10">
        <f>Table2[[#This Row],[Deaths]]/Table2[[#This Row],[Cases]]</f>
        <v>1.2953474072555851E-2</v>
      </c>
      <c r="R37" s="9">
        <f>Table2[[#This Row],[Cases]]/Table2[[#This Row],[Deaths]]</f>
        <v>77.199367088607602</v>
      </c>
      <c r="S37" s="12">
        <f>Table2[[#This Row],[Cases/1M]]/1000000</f>
        <v>1.2611000000000001E-2</v>
      </c>
      <c r="T37" s="21">
        <f>Table2[[#This Row],[Deaths/1M]]/1000000</f>
        <v>1.63E-4</v>
      </c>
      <c r="U37" s="13">
        <f>1-Table2[[#This Row],[Deaths]]/Table2[[#This Row],[Ex(Deaths)]]</f>
        <v>0.19692530532969021</v>
      </c>
      <c r="V37" s="13">
        <f>Table2[[#This Row],[Cases]]/Table2[[#This Row],[Tests]]</f>
        <v>9.5389849065457111E-2</v>
      </c>
      <c r="W37" s="12">
        <f>Table2[[#This Row],[Percent Infected]]*Table2[[#This Row],[% Active]]</f>
        <v>3.0923960647673706E-3</v>
      </c>
      <c r="X37" s="9">
        <f>1/Table2[[#This Row],[Percent Active Infected]]</f>
        <v>323.37384314813704</v>
      </c>
    </row>
    <row r="38" spans="1:24" ht="15.95" customHeight="1" thickBot="1" x14ac:dyDescent="0.3">
      <c r="A38" s="44" t="s">
        <v>260</v>
      </c>
      <c r="B38" s="47">
        <v>18788</v>
      </c>
      <c r="C38" s="48"/>
      <c r="D38" s="48">
        <v>607</v>
      </c>
      <c r="E38" s="48"/>
      <c r="F38" s="47">
        <v>10913</v>
      </c>
      <c r="G38" s="47">
        <v>8960</v>
      </c>
      <c r="H38" s="48">
        <v>289</v>
      </c>
      <c r="I38" s="47">
        <v>512425</v>
      </c>
      <c r="J38" s="47">
        <v>244381</v>
      </c>
      <c r="K38" s="56" t="s">
        <v>337</v>
      </c>
      <c r="L38" s="42" t="s">
        <v>242</v>
      </c>
      <c r="M38" s="26">
        <f>Table2[[#This Row],[Active]]/Table2[[#This Row],[Cases]]</f>
        <v>0.58084947839046197</v>
      </c>
      <c r="N38" s="9">
        <f>1000000/Table2[[#This Row],[Cases/1M]]</f>
        <v>111.60714285714286</v>
      </c>
      <c r="O38" s="9">
        <f>1000000/Table2[[#This Row],[Deaths/1M]]</f>
        <v>3460.2076124567475</v>
      </c>
      <c r="P38" s="9">
        <f>Table2[[#This Row],[Deaths]]+Table2[[#This Row],[Active]]*Table2[[#This Row],[Death Rate]]</f>
        <v>959.57563338301043</v>
      </c>
      <c r="Q38" s="10">
        <f>Table2[[#This Row],[Deaths]]/Table2[[#This Row],[Cases]]</f>
        <v>3.230785607834788E-2</v>
      </c>
      <c r="R38" s="9">
        <f>Table2[[#This Row],[Cases]]/Table2[[#This Row],[Deaths]]</f>
        <v>30.952224052718286</v>
      </c>
      <c r="S38" s="12">
        <f>Table2[[#This Row],[Cases/1M]]/1000000</f>
        <v>8.9599999999999992E-3</v>
      </c>
      <c r="T38" s="12">
        <f>Table2[[#This Row],[Deaths/1M]]/1000000</f>
        <v>2.8899999999999998E-4</v>
      </c>
      <c r="U38" s="13">
        <f>1-Table2[[#This Row],[Deaths]]/Table2[[#This Row],[Ex(Deaths)]]</f>
        <v>0.36742870610417155</v>
      </c>
      <c r="V38" s="13">
        <f>Table2[[#This Row],[Cases]]/Table2[[#This Row],[Tests]]</f>
        <v>3.6664877786993219E-2</v>
      </c>
      <c r="W38" s="12">
        <f>Table2[[#This Row],[Percent Infected]]*Table2[[#This Row],[% Active]]</f>
        <v>5.2044113263785387E-3</v>
      </c>
      <c r="X38" s="9">
        <f>1/Table2[[#This Row],[Percent Active Infected]]</f>
        <v>192.14468981948139</v>
      </c>
    </row>
    <row r="39" spans="1:24" ht="15.95" customHeight="1" thickBot="1" x14ac:dyDescent="0.3">
      <c r="A39" s="44" t="s">
        <v>248</v>
      </c>
      <c r="B39" s="47">
        <v>18224</v>
      </c>
      <c r="C39" s="48"/>
      <c r="D39" s="47">
        <v>1002</v>
      </c>
      <c r="E39" s="48"/>
      <c r="F39" s="47">
        <v>15453</v>
      </c>
      <c r="G39" s="47">
        <v>17203</v>
      </c>
      <c r="H39" s="48">
        <v>946</v>
      </c>
      <c r="I39" s="47">
        <v>329556</v>
      </c>
      <c r="J39" s="47">
        <v>311089</v>
      </c>
      <c r="K39" s="56" t="s">
        <v>337</v>
      </c>
      <c r="L39" s="42" t="s">
        <v>242</v>
      </c>
      <c r="M39" s="23">
        <f>Table2[[#This Row],[Active]]/Table2[[#This Row],[Cases]]</f>
        <v>0.84794776119402981</v>
      </c>
      <c r="N39" s="9">
        <f>1000000/Table2[[#This Row],[Cases/1M]]</f>
        <v>58.129396035575191</v>
      </c>
      <c r="O39" s="9">
        <f>1000000/Table2[[#This Row],[Deaths/1M]]</f>
        <v>1057.0824524312895</v>
      </c>
      <c r="P39" s="9">
        <f>Table2[[#This Row],[Deaths]]+Table2[[#This Row],[Active]]*Table2[[#This Row],[Death Rate]]</f>
        <v>1851.6436567164178</v>
      </c>
      <c r="Q39" s="10">
        <f>Table2[[#This Row],[Deaths]]/Table2[[#This Row],[Cases]]</f>
        <v>5.4982440737489029E-2</v>
      </c>
      <c r="R39" s="9">
        <f>Table2[[#This Row],[Cases]]/Table2[[#This Row],[Deaths]]</f>
        <v>18.187624750499001</v>
      </c>
      <c r="S39" s="12">
        <f>Table2[[#This Row],[Cases/1M]]/1000000</f>
        <v>1.7203E-2</v>
      </c>
      <c r="T39" s="12">
        <f>Table2[[#This Row],[Deaths/1M]]/1000000</f>
        <v>9.4600000000000001E-4</v>
      </c>
      <c r="U39" s="13">
        <f>1-Table2[[#This Row],[Deaths]]/Table2[[#This Row],[Ex(Deaths)]]</f>
        <v>0.45885916203937405</v>
      </c>
      <c r="V39" s="13">
        <f>Table2[[#This Row],[Cases]]/Table2[[#This Row],[Tests]]</f>
        <v>5.5298644236487879E-2</v>
      </c>
      <c r="W39" s="12">
        <f>Table2[[#This Row],[Percent Infected]]*Table2[[#This Row],[% Active]]</f>
        <v>1.4587245335820894E-2</v>
      </c>
      <c r="X39" s="9">
        <f>1/Table2[[#This Row],[Percent Active Infected]]</f>
        <v>68.553039109061174</v>
      </c>
    </row>
    <row r="40" spans="1:24" ht="15.95" customHeight="1" thickBot="1" x14ac:dyDescent="0.3">
      <c r="A40" s="44" t="s">
        <v>281</v>
      </c>
      <c r="B40" s="47">
        <v>17827</v>
      </c>
      <c r="C40" s="48"/>
      <c r="D40" s="48">
        <v>146</v>
      </c>
      <c r="E40" s="48"/>
      <c r="F40" s="47">
        <v>12198</v>
      </c>
      <c r="G40" s="47">
        <v>9976</v>
      </c>
      <c r="H40" s="48">
        <v>82</v>
      </c>
      <c r="I40" s="47">
        <v>165132</v>
      </c>
      <c r="J40" s="47">
        <v>92404</v>
      </c>
      <c r="K40" s="42" t="s">
        <v>330</v>
      </c>
      <c r="L40" s="42" t="s">
        <v>242</v>
      </c>
      <c r="M40" s="26">
        <f>Table2[[#This Row],[Active]]/Table2[[#This Row],[Cases]]</f>
        <v>0.68424300218769285</v>
      </c>
      <c r="N40" s="9">
        <f>1000000/Table2[[#This Row],[Cases/1M]]</f>
        <v>100.24057738572574</v>
      </c>
      <c r="O40" s="9">
        <f>1000000/Table2[[#This Row],[Deaths/1M]]</f>
        <v>12195.121951219513</v>
      </c>
      <c r="P40" s="9">
        <f>Table2[[#This Row],[Deaths]]+Table2[[#This Row],[Active]]*Table2[[#This Row],[Death Rate]]</f>
        <v>245.89947831940316</v>
      </c>
      <c r="Q40" s="10">
        <f>Table2[[#This Row],[Deaths]]/Table2[[#This Row],[Cases]]</f>
        <v>8.1898244236270831E-3</v>
      </c>
      <c r="R40" s="9">
        <f>Table2[[#This Row],[Cases]]/Table2[[#This Row],[Deaths]]</f>
        <v>122.10273972602739</v>
      </c>
      <c r="S40" s="12">
        <f>Table2[[#This Row],[Cases/1M]]/1000000</f>
        <v>9.9760000000000005E-3</v>
      </c>
      <c r="T40" s="21">
        <f>Table2[[#This Row],[Deaths/1M]]/1000000</f>
        <v>8.2000000000000001E-5</v>
      </c>
      <c r="U40" s="13">
        <f>1-Table2[[#This Row],[Deaths]]/Table2[[#This Row],[Ex(Deaths)]]</f>
        <v>0.40626144879267279</v>
      </c>
      <c r="V40" s="13">
        <f>Table2[[#This Row],[Cases]]/Table2[[#This Row],[Tests]]</f>
        <v>0.10795605939490832</v>
      </c>
      <c r="W40" s="12">
        <f>Table2[[#This Row],[Percent Infected]]*Table2[[#This Row],[% Active]]</f>
        <v>6.8260081898244241E-3</v>
      </c>
      <c r="X40" s="9">
        <f>1/Table2[[#This Row],[Percent Active Infected]]</f>
        <v>146.49850574318188</v>
      </c>
    </row>
    <row r="41" spans="1:24" ht="15.95" customHeight="1" thickBot="1" x14ac:dyDescent="0.3">
      <c r="A41" s="44" t="s">
        <v>285</v>
      </c>
      <c r="B41" s="47">
        <v>16492</v>
      </c>
      <c r="C41" s="58">
        <v>388</v>
      </c>
      <c r="D41" s="48">
        <v>286</v>
      </c>
      <c r="E41" s="57">
        <v>4</v>
      </c>
      <c r="F41" s="47">
        <v>12665</v>
      </c>
      <c r="G41" s="47">
        <v>3910</v>
      </c>
      <c r="H41" s="48">
        <v>68</v>
      </c>
      <c r="I41" s="47">
        <v>365736</v>
      </c>
      <c r="J41" s="47">
        <v>86714</v>
      </c>
      <c r="K41" s="56" t="s">
        <v>338</v>
      </c>
      <c r="L41" s="42" t="s">
        <v>242</v>
      </c>
      <c r="M41" s="23">
        <f>Table2[[#This Row],[Active]]/Table2[[#This Row],[Cases]]</f>
        <v>0.767948096046568</v>
      </c>
      <c r="N41" s="9">
        <f>1000000/Table2[[#This Row],[Cases/1M]]</f>
        <v>255.7544757033248</v>
      </c>
      <c r="O41" s="9">
        <f>1000000/Table2[[#This Row],[Deaths/1M]]</f>
        <v>14705.882352941177</v>
      </c>
      <c r="P41" s="9">
        <f>Table2[[#This Row],[Deaths]]+Table2[[#This Row],[Active]]*Table2[[#This Row],[Death Rate]]</f>
        <v>505.63315546931847</v>
      </c>
      <c r="Q41" s="10">
        <f>Table2[[#This Row],[Deaths]]/Table2[[#This Row],[Cases]]</f>
        <v>1.7341741450400194E-2</v>
      </c>
      <c r="R41" s="9">
        <f>Table2[[#This Row],[Cases]]/Table2[[#This Row],[Deaths]]</f>
        <v>57.664335664335667</v>
      </c>
      <c r="S41" s="12">
        <f>Table2[[#This Row],[Cases/1M]]/1000000</f>
        <v>3.9100000000000003E-3</v>
      </c>
      <c r="T41" s="12">
        <f>Table2[[#This Row],[Deaths/1M]]/1000000</f>
        <v>6.7999999999999999E-5</v>
      </c>
      <c r="U41" s="13">
        <f>1-Table2[[#This Row],[Deaths]]/Table2[[#This Row],[Ex(Deaths)]]</f>
        <v>0.43437253489728023</v>
      </c>
      <c r="V41" s="13">
        <f>Table2[[#This Row],[Cases]]/Table2[[#This Row],[Tests]]</f>
        <v>4.5092635124789462E-2</v>
      </c>
      <c r="W41" s="12">
        <f>Table2[[#This Row],[Percent Infected]]*Table2[[#This Row],[% Active]]</f>
        <v>3.002677055542081E-3</v>
      </c>
      <c r="X41" s="9">
        <f>1/Table2[[#This Row],[Percent Active Infected]]</f>
        <v>333.03614791150676</v>
      </c>
    </row>
    <row r="42" spans="1:24" ht="15.95" customHeight="1" thickBot="1" x14ac:dyDescent="0.3">
      <c r="A42" s="44" t="s">
        <v>253</v>
      </c>
      <c r="B42" s="47">
        <v>14175</v>
      </c>
      <c r="C42" s="48"/>
      <c r="D42" s="48">
        <v>579</v>
      </c>
      <c r="E42" s="48"/>
      <c r="F42" s="47">
        <v>5635</v>
      </c>
      <c r="G42" s="47">
        <v>14557</v>
      </c>
      <c r="H42" s="48">
        <v>595</v>
      </c>
      <c r="I42" s="47">
        <v>166922</v>
      </c>
      <c r="J42" s="47">
        <v>171419</v>
      </c>
      <c r="K42" s="56" t="s">
        <v>338</v>
      </c>
      <c r="L42" s="42" t="s">
        <v>242</v>
      </c>
      <c r="M42" s="23">
        <f>Table2[[#This Row],[Active]]/Table2[[#This Row],[Cases]]</f>
        <v>0.39753086419753086</v>
      </c>
      <c r="N42" s="9">
        <f>1000000/Table2[[#This Row],[Cases/1M]]</f>
        <v>68.695472968331387</v>
      </c>
      <c r="O42" s="9">
        <f>1000000/Table2[[#This Row],[Deaths/1M]]</f>
        <v>1680.672268907563</v>
      </c>
      <c r="P42" s="9">
        <f>Table2[[#This Row],[Deaths]]+Table2[[#This Row],[Active]]*Table2[[#This Row],[Death Rate]]</f>
        <v>809.17037037037039</v>
      </c>
      <c r="Q42" s="10">
        <f>Table2[[#This Row],[Deaths]]/Table2[[#This Row],[Cases]]</f>
        <v>4.0846560846560846E-2</v>
      </c>
      <c r="R42" s="9">
        <f>Table2[[#This Row],[Cases]]/Table2[[#This Row],[Deaths]]</f>
        <v>24.481865284974095</v>
      </c>
      <c r="S42" s="12">
        <f>Table2[[#This Row],[Cases/1M]]/1000000</f>
        <v>1.4557E-2</v>
      </c>
      <c r="T42" s="12">
        <f>Table2[[#This Row],[Deaths/1M]]/1000000</f>
        <v>5.9500000000000004E-4</v>
      </c>
      <c r="U42" s="13">
        <f>1-Table2[[#This Row],[Deaths]]/Table2[[#This Row],[Ex(Deaths)]]</f>
        <v>0.28445229681978801</v>
      </c>
      <c r="V42" s="13">
        <f>Table2[[#This Row],[Cases]]/Table2[[#This Row],[Tests]]</f>
        <v>8.4919902709049741E-2</v>
      </c>
      <c r="W42" s="12">
        <f>Table2[[#This Row],[Percent Infected]]*Table2[[#This Row],[% Active]]</f>
        <v>5.7868567901234571E-3</v>
      </c>
      <c r="X42" s="9">
        <f>1/Table2[[#This Row],[Percent Active Infected]]</f>
        <v>172.80538231164107</v>
      </c>
    </row>
    <row r="43" spans="1:24" ht="15.95" customHeight="1" thickBot="1" x14ac:dyDescent="0.3">
      <c r="A43" s="44" t="s">
        <v>246</v>
      </c>
      <c r="B43" s="47">
        <v>11780</v>
      </c>
      <c r="C43" s="58">
        <v>63</v>
      </c>
      <c r="D43" s="48">
        <v>581</v>
      </c>
      <c r="E43" s="48"/>
      <c r="F43" s="47">
        <v>1596</v>
      </c>
      <c r="G43" s="47">
        <v>16691</v>
      </c>
      <c r="H43" s="48">
        <v>823</v>
      </c>
      <c r="I43" s="47">
        <v>169009</v>
      </c>
      <c r="J43" s="47">
        <v>239475</v>
      </c>
      <c r="K43" s="42" t="s">
        <v>330</v>
      </c>
      <c r="L43" s="42" t="s">
        <v>242</v>
      </c>
      <c r="M43" s="23">
        <f>Table2[[#This Row],[Active]]/Table2[[#This Row],[Cases]]</f>
        <v>0.13548387096774195</v>
      </c>
      <c r="N43" s="9">
        <f>1000000/Table2[[#This Row],[Cases/1M]]</f>
        <v>59.912527709544065</v>
      </c>
      <c r="O43" s="9">
        <f>1000000/Table2[[#This Row],[Deaths/1M]]</f>
        <v>1215.0668286755772</v>
      </c>
      <c r="P43" s="9">
        <f>Table2[[#This Row],[Deaths]]+Table2[[#This Row],[Active]]*Table2[[#This Row],[Death Rate]]</f>
        <v>659.7161290322581</v>
      </c>
      <c r="Q43" s="10">
        <f>Table2[[#This Row],[Deaths]]/Table2[[#This Row],[Cases]]</f>
        <v>4.9320882852292018E-2</v>
      </c>
      <c r="R43" s="9">
        <f>Table2[[#This Row],[Cases]]/Table2[[#This Row],[Deaths]]</f>
        <v>20.27538726333907</v>
      </c>
      <c r="S43" s="12">
        <f>Table2[[#This Row],[Cases/1M]]/1000000</f>
        <v>1.6691000000000001E-2</v>
      </c>
      <c r="T43" s="12">
        <f>Table2[[#This Row],[Deaths/1M]]/1000000</f>
        <v>8.2299999999999995E-4</v>
      </c>
      <c r="U43" s="13">
        <f>1-Table2[[#This Row],[Deaths]]/Table2[[#This Row],[Ex(Deaths)]]</f>
        <v>0.11931818181818188</v>
      </c>
      <c r="V43" s="13">
        <f>Table2[[#This Row],[Cases]]/Table2[[#This Row],[Tests]]</f>
        <v>6.9700430154607154E-2</v>
      </c>
      <c r="W43" s="12">
        <f>Table2[[#This Row],[Percent Infected]]*Table2[[#This Row],[% Active]]</f>
        <v>2.261361290322581E-3</v>
      </c>
      <c r="X43" s="9">
        <f>1/Table2[[#This Row],[Percent Active Infected]]</f>
        <v>442.2115140466347</v>
      </c>
    </row>
    <row r="44" spans="1:24" ht="15.95" customHeight="1" thickBot="1" x14ac:dyDescent="0.3">
      <c r="A44" s="44" t="s">
        <v>278</v>
      </c>
      <c r="B44" s="47">
        <v>8305</v>
      </c>
      <c r="C44" s="48"/>
      <c r="D44" s="48">
        <v>122</v>
      </c>
      <c r="E44" s="48"/>
      <c r="F44" s="48">
        <v>876</v>
      </c>
      <c r="G44" s="47">
        <v>9388</v>
      </c>
      <c r="H44" s="48">
        <v>138</v>
      </c>
      <c r="I44" s="47">
        <v>105913</v>
      </c>
      <c r="J44" s="47">
        <v>119722</v>
      </c>
      <c r="K44" s="42" t="s">
        <v>330</v>
      </c>
      <c r="L44" s="42" t="s">
        <v>242</v>
      </c>
      <c r="M44" s="26">
        <f>Table2[[#This Row],[Active]]/Table2[[#This Row],[Cases]]</f>
        <v>0.10547862733293197</v>
      </c>
      <c r="N44" s="9">
        <f>1000000/Table2[[#This Row],[Cases/1M]]</f>
        <v>106.51896037494674</v>
      </c>
      <c r="O44" s="9">
        <f>1000000/Table2[[#This Row],[Deaths/1M]]</f>
        <v>7246.376811594203</v>
      </c>
      <c r="P44" s="9">
        <f>Table2[[#This Row],[Deaths]]+Table2[[#This Row],[Active]]*Table2[[#This Row],[Death Rate]]</f>
        <v>134.8683925346177</v>
      </c>
      <c r="Q44" s="10">
        <f>Table2[[#This Row],[Deaths]]/Table2[[#This Row],[Cases]]</f>
        <v>1.468994581577363E-2</v>
      </c>
      <c r="R44" s="9">
        <f>Table2[[#This Row],[Cases]]/Table2[[#This Row],[Deaths]]</f>
        <v>68.073770491803273</v>
      </c>
      <c r="S44" s="12">
        <f>Table2[[#This Row],[Cases/1M]]/1000000</f>
        <v>9.3880000000000005E-3</v>
      </c>
      <c r="T44" s="12">
        <f>Table2[[#This Row],[Deaths/1M]]/1000000</f>
        <v>1.3799999999999999E-4</v>
      </c>
      <c r="U44" s="13">
        <f>1-Table2[[#This Row],[Deaths]]/Table2[[#This Row],[Ex(Deaths)]]</f>
        <v>9.5414442871146865E-2</v>
      </c>
      <c r="V44" s="13">
        <f>Table2[[#This Row],[Cases]]/Table2[[#This Row],[Tests]]</f>
        <v>7.8413414783832014E-2</v>
      </c>
      <c r="W44" s="12">
        <f>Table2[[#This Row],[Percent Infected]]*Table2[[#This Row],[% Active]]</f>
        <v>9.9023335340156526E-4</v>
      </c>
      <c r="X44" s="9">
        <f>1/Table2[[#This Row],[Percent Active Infected]]</f>
        <v>1009.8629747875945</v>
      </c>
    </row>
    <row r="45" spans="1:24" ht="15.95" customHeight="1" thickBot="1" x14ac:dyDescent="0.3">
      <c r="A45" s="44" t="s">
        <v>259</v>
      </c>
      <c r="B45" s="47">
        <v>6415</v>
      </c>
      <c r="C45" s="48"/>
      <c r="D45" s="48">
        <v>409</v>
      </c>
      <c r="E45" s="48"/>
      <c r="F45" s="48">
        <v>568</v>
      </c>
      <c r="G45" s="47">
        <v>4718</v>
      </c>
      <c r="H45" s="48">
        <v>301</v>
      </c>
      <c r="I45" s="47">
        <v>178546</v>
      </c>
      <c r="J45" s="47">
        <v>131312</v>
      </c>
      <c r="K45" s="42" t="s">
        <v>330</v>
      </c>
      <c r="L45" s="42" t="s">
        <v>242</v>
      </c>
      <c r="M45" s="26">
        <f>Table2[[#This Row],[Active]]/Table2[[#This Row],[Cases]]</f>
        <v>8.8542478565861268E-2</v>
      </c>
      <c r="N45" s="9">
        <f>1000000/Table2[[#This Row],[Cases/1M]]</f>
        <v>211.954217888936</v>
      </c>
      <c r="O45" s="9">
        <f>1000000/Table2[[#This Row],[Deaths/1M]]</f>
        <v>3322.2591362126245</v>
      </c>
      <c r="P45" s="9">
        <f>Table2[[#This Row],[Deaths]]+Table2[[#This Row],[Active]]*Table2[[#This Row],[Death Rate]]</f>
        <v>445.21387373343725</v>
      </c>
      <c r="Q45" s="10">
        <f>Table2[[#This Row],[Deaths]]/Table2[[#This Row],[Cases]]</f>
        <v>6.3756819953234609E-2</v>
      </c>
      <c r="R45" s="9">
        <f>Table2[[#This Row],[Cases]]/Table2[[#This Row],[Deaths]]</f>
        <v>15.684596577017114</v>
      </c>
      <c r="S45" s="12">
        <f>Table2[[#This Row],[Cases/1M]]/1000000</f>
        <v>4.718E-3</v>
      </c>
      <c r="T45" s="12">
        <f>Table2[[#This Row],[Deaths/1M]]/1000000</f>
        <v>3.01E-4</v>
      </c>
      <c r="U45" s="13">
        <f>1-Table2[[#This Row],[Deaths]]/Table2[[#This Row],[Ex(Deaths)]]</f>
        <v>8.1340398109694956E-2</v>
      </c>
      <c r="V45" s="13">
        <f>Table2[[#This Row],[Cases]]/Table2[[#This Row],[Tests]]</f>
        <v>3.5929116306161996E-2</v>
      </c>
      <c r="W45" s="12">
        <f>Table2[[#This Row],[Percent Infected]]*Table2[[#This Row],[% Active]]</f>
        <v>4.1774341387373345E-4</v>
      </c>
      <c r="X45" s="9">
        <f>1/Table2[[#This Row],[Percent Active Infected]]</f>
        <v>2393.8139221083175</v>
      </c>
    </row>
    <row r="46" spans="1:24" ht="15.95" customHeight="1" thickBot="1" x14ac:dyDescent="0.3">
      <c r="A46" s="44" t="s">
        <v>282</v>
      </c>
      <c r="B46" s="47">
        <v>5887</v>
      </c>
      <c r="C46" s="58">
        <v>66</v>
      </c>
      <c r="D46" s="48">
        <v>103</v>
      </c>
      <c r="E46" s="48"/>
      <c r="F46" s="47">
        <v>1669</v>
      </c>
      <c r="G46" s="47">
        <v>3285</v>
      </c>
      <c r="H46" s="48">
        <v>57</v>
      </c>
      <c r="I46" s="47">
        <v>256780</v>
      </c>
      <c r="J46" s="47">
        <v>143281</v>
      </c>
      <c r="K46" s="42" t="s">
        <v>330</v>
      </c>
      <c r="L46" s="42" t="s">
        <v>242</v>
      </c>
      <c r="M46" s="26">
        <f>Table2[[#This Row],[Active]]/Table2[[#This Row],[Cases]]</f>
        <v>0.28350603023611348</v>
      </c>
      <c r="N46" s="9">
        <f>1000000/Table2[[#This Row],[Cases/1M]]</f>
        <v>304.41400304414003</v>
      </c>
      <c r="O46" s="9">
        <f>1000000/Table2[[#This Row],[Deaths/1M]]</f>
        <v>17543.859649122805</v>
      </c>
      <c r="P46" s="9">
        <f>Table2[[#This Row],[Deaths]]+Table2[[#This Row],[Active]]*Table2[[#This Row],[Death Rate]]</f>
        <v>132.20112111431968</v>
      </c>
      <c r="Q46" s="10">
        <f>Table2[[#This Row],[Deaths]]/Table2[[#This Row],[Cases]]</f>
        <v>1.7496178019364702E-2</v>
      </c>
      <c r="R46" s="9">
        <f>Table2[[#This Row],[Cases]]/Table2[[#This Row],[Deaths]]</f>
        <v>57.155339805825243</v>
      </c>
      <c r="S46" s="12">
        <f>Table2[[#This Row],[Cases/1M]]/1000000</f>
        <v>3.2850000000000002E-3</v>
      </c>
      <c r="T46" s="12">
        <f>Table2[[#This Row],[Deaths/1M]]/1000000</f>
        <v>5.7000000000000003E-5</v>
      </c>
      <c r="U46" s="13">
        <f>1-Table2[[#This Row],[Deaths]]/Table2[[#This Row],[Ex(Deaths)]]</f>
        <v>0.2208840656431974</v>
      </c>
      <c r="V46" s="13">
        <f>Table2[[#This Row],[Cases]]/Table2[[#This Row],[Tests]]</f>
        <v>2.2926240361398863E-2</v>
      </c>
      <c r="W46" s="12">
        <f>Table2[[#This Row],[Percent Infected]]*Table2[[#This Row],[% Active]]</f>
        <v>9.3131730932563279E-4</v>
      </c>
      <c r="X46" s="9">
        <f>1/Table2[[#This Row],[Percent Active Infected]]</f>
        <v>1073.747894500211</v>
      </c>
    </row>
    <row r="47" spans="1:24" ht="15.95" customHeight="1" thickBot="1" x14ac:dyDescent="0.3">
      <c r="A47" s="44" t="s">
        <v>277</v>
      </c>
      <c r="B47" s="47">
        <v>5736</v>
      </c>
      <c r="C47" s="48"/>
      <c r="D47" s="48">
        <v>99</v>
      </c>
      <c r="E47" s="48"/>
      <c r="F47" s="48">
        <v>966</v>
      </c>
      <c r="G47" s="47">
        <v>7527</v>
      </c>
      <c r="H47" s="48">
        <v>130</v>
      </c>
      <c r="I47" s="47">
        <v>144260</v>
      </c>
      <c r="J47" s="47">
        <v>189302</v>
      </c>
      <c r="K47" s="42" t="s">
        <v>330</v>
      </c>
      <c r="L47" s="42" t="s">
        <v>242</v>
      </c>
      <c r="M47" s="26">
        <f>Table2[[#This Row],[Active]]/Table2[[#This Row],[Cases]]</f>
        <v>0.16841004184100419</v>
      </c>
      <c r="N47" s="9">
        <f>1000000/Table2[[#This Row],[Cases/1M]]</f>
        <v>132.85505513484787</v>
      </c>
      <c r="O47" s="9">
        <f>1000000/Table2[[#This Row],[Deaths/1M]]</f>
        <v>7692.3076923076924</v>
      </c>
      <c r="P47" s="9">
        <f>Table2[[#This Row],[Deaths]]+Table2[[#This Row],[Active]]*Table2[[#This Row],[Death Rate]]</f>
        <v>115.67259414225941</v>
      </c>
      <c r="Q47" s="10">
        <f>Table2[[#This Row],[Deaths]]/Table2[[#This Row],[Cases]]</f>
        <v>1.7259414225941423E-2</v>
      </c>
      <c r="R47" s="9">
        <f>Table2[[#This Row],[Cases]]/Table2[[#This Row],[Deaths]]</f>
        <v>57.939393939393938</v>
      </c>
      <c r="S47" s="12">
        <f>Table2[[#This Row],[Cases/1M]]/1000000</f>
        <v>7.5269999999999998E-3</v>
      </c>
      <c r="T47" s="12">
        <f>Table2[[#This Row],[Deaths/1M]]/1000000</f>
        <v>1.2999999999999999E-4</v>
      </c>
      <c r="U47" s="13">
        <f>1-Table2[[#This Row],[Deaths]]/Table2[[#This Row],[Ex(Deaths)]]</f>
        <v>0.14413607878245294</v>
      </c>
      <c r="V47" s="13">
        <f>Table2[[#This Row],[Cases]]/Table2[[#This Row],[Tests]]</f>
        <v>3.9761541660890062E-2</v>
      </c>
      <c r="W47" s="12">
        <f>Table2[[#This Row],[Percent Infected]]*Table2[[#This Row],[% Active]]</f>
        <v>1.2676223849372385E-3</v>
      </c>
      <c r="X47" s="9">
        <f>1/Table2[[#This Row],[Percent Active Infected]]</f>
        <v>788.87846403052527</v>
      </c>
    </row>
    <row r="48" spans="1:24" ht="16.5" thickBot="1" x14ac:dyDescent="0.3">
      <c r="A48" s="44" t="s">
        <v>297</v>
      </c>
      <c r="B48" s="47">
        <v>3814</v>
      </c>
      <c r="C48" s="58">
        <v>24</v>
      </c>
      <c r="D48" s="48">
        <v>119</v>
      </c>
      <c r="E48" s="48"/>
      <c r="F48" s="48">
        <v>411</v>
      </c>
      <c r="G48" s="47">
        <v>2837</v>
      </c>
      <c r="H48" s="48">
        <v>89</v>
      </c>
      <c r="I48" s="47">
        <v>163607</v>
      </c>
      <c r="J48" s="47">
        <v>121712</v>
      </c>
      <c r="K48" s="56" t="s">
        <v>337</v>
      </c>
      <c r="L48" s="42" t="s">
        <v>242</v>
      </c>
      <c r="M48" s="23">
        <f>Table2[[#This Row],[Active]]/Table2[[#This Row],[Cases]]</f>
        <v>0.10776088096486629</v>
      </c>
      <c r="N48" s="9">
        <f>1000000/Table2[[#This Row],[Cases/1M]]</f>
        <v>352.48501938667607</v>
      </c>
      <c r="O48" s="9">
        <f>1000000/Table2[[#This Row],[Deaths/1M]]</f>
        <v>11235.955056179775</v>
      </c>
      <c r="P48" s="9">
        <f>Table2[[#This Row],[Deaths]]+Table2[[#This Row],[Active]]*Table2[[#This Row],[Death Rate]]</f>
        <v>131.82354483481907</v>
      </c>
      <c r="Q48" s="10">
        <f>Table2[[#This Row],[Deaths]]/Table2[[#This Row],[Cases]]</f>
        <v>3.1200839014158363E-2</v>
      </c>
      <c r="R48" s="9">
        <f>Table2[[#This Row],[Cases]]/Table2[[#This Row],[Deaths]]</f>
        <v>32.050420168067227</v>
      </c>
      <c r="S48" s="12">
        <f>Table2[[#This Row],[Cases/1M]]/1000000</f>
        <v>2.8370000000000001E-3</v>
      </c>
      <c r="T48" s="12">
        <f>Table2[[#This Row],[Deaths/1M]]/1000000</f>
        <v>8.8999999999999995E-5</v>
      </c>
      <c r="U48" s="13">
        <f>1-Table2[[#This Row],[Deaths]]/Table2[[#This Row],[Ex(Deaths)]]</f>
        <v>9.7278106508875695E-2</v>
      </c>
      <c r="V48" s="13">
        <f>Table2[[#This Row],[Cases]]/Table2[[#This Row],[Tests]]</f>
        <v>2.3311960979664686E-2</v>
      </c>
      <c r="W48" s="12">
        <f>Table2[[#This Row],[Percent Infected]]*Table2[[#This Row],[% Active]]</f>
        <v>3.0571761929732566E-4</v>
      </c>
      <c r="X48" s="9">
        <f>1/Table2[[#This Row],[Percent Active Infected]]</f>
        <v>3270.9923696856022</v>
      </c>
    </row>
    <row r="49" spans="1:24" ht="16.5" thickBot="1" x14ac:dyDescent="0.3">
      <c r="A49" s="44" t="s">
        <v>288</v>
      </c>
      <c r="B49" s="47">
        <v>3342</v>
      </c>
      <c r="C49" s="58">
        <v>82</v>
      </c>
      <c r="D49" s="48">
        <v>46</v>
      </c>
      <c r="E49" s="48"/>
      <c r="F49" s="47">
        <v>1217</v>
      </c>
      <c r="G49" s="47">
        <v>3127</v>
      </c>
      <c r="H49" s="48">
        <v>43</v>
      </c>
      <c r="I49" s="47">
        <v>152315</v>
      </c>
      <c r="J49" s="47">
        <v>142513</v>
      </c>
      <c r="K49" s="56" t="s">
        <v>337</v>
      </c>
      <c r="L49" s="42" t="s">
        <v>242</v>
      </c>
      <c r="M49" s="23">
        <f>Table2[[#This Row],[Active]]/Table2[[#This Row],[Cases]]</f>
        <v>0.3641532016756433</v>
      </c>
      <c r="N49" s="9">
        <f>1000000/Table2[[#This Row],[Cases/1M]]</f>
        <v>319.79533098816756</v>
      </c>
      <c r="O49" s="9">
        <f>1000000/Table2[[#This Row],[Deaths/1M]]</f>
        <v>23255.81395348837</v>
      </c>
      <c r="P49" s="9">
        <f>Table2[[#This Row],[Deaths]]+Table2[[#This Row],[Active]]*Table2[[#This Row],[Death Rate]]</f>
        <v>62.751047277079593</v>
      </c>
      <c r="Q49" s="10">
        <f>Table2[[#This Row],[Deaths]]/Table2[[#This Row],[Cases]]</f>
        <v>1.3764213046080191E-2</v>
      </c>
      <c r="R49" s="9">
        <f>Table2[[#This Row],[Cases]]/Table2[[#This Row],[Deaths]]</f>
        <v>72.652173913043484</v>
      </c>
      <c r="S49" s="12">
        <f>Table2[[#This Row],[Cases/1M]]/1000000</f>
        <v>3.127E-3</v>
      </c>
      <c r="T49" s="12">
        <f>Table2[[#This Row],[Deaths/1M]]/1000000</f>
        <v>4.3000000000000002E-5</v>
      </c>
      <c r="U49" s="13">
        <f>1-Table2[[#This Row],[Deaths]]/Table2[[#This Row],[Ex(Deaths)]]</f>
        <v>0.26694450537398551</v>
      </c>
      <c r="V49" s="13">
        <f>Table2[[#This Row],[Cases]]/Table2[[#This Row],[Tests]]</f>
        <v>2.1941371499852279E-2</v>
      </c>
      <c r="W49" s="12">
        <f>Table2[[#This Row],[Percent Infected]]*Table2[[#This Row],[% Active]]</f>
        <v>1.1387070616397366E-3</v>
      </c>
      <c r="X49" s="9">
        <f>1/Table2[[#This Row],[Percent Active Infected]]</f>
        <v>878.18898616471336</v>
      </c>
    </row>
    <row r="50" spans="1:24" ht="16.5" thickBot="1" x14ac:dyDescent="0.3">
      <c r="A50" s="44" t="s">
        <v>287</v>
      </c>
      <c r="B50" s="47">
        <v>2475</v>
      </c>
      <c r="C50" s="58">
        <v>29</v>
      </c>
      <c r="D50" s="48">
        <v>25</v>
      </c>
      <c r="E50" s="48"/>
      <c r="F50" s="48">
        <v>584</v>
      </c>
      <c r="G50" s="47">
        <v>4276</v>
      </c>
      <c r="H50" s="48">
        <v>43</v>
      </c>
      <c r="I50" s="47">
        <v>67700</v>
      </c>
      <c r="J50" s="47">
        <v>116974</v>
      </c>
      <c r="K50" s="56" t="s">
        <v>336</v>
      </c>
      <c r="L50" s="42" t="s">
        <v>242</v>
      </c>
      <c r="M50" s="23">
        <f>Table2[[#This Row],[Active]]/Table2[[#This Row],[Cases]]</f>
        <v>0.23595959595959595</v>
      </c>
      <c r="N50" s="9">
        <f>1000000/Table2[[#This Row],[Cases/1M]]</f>
        <v>233.86342376052386</v>
      </c>
      <c r="O50" s="9">
        <f>1000000/Table2[[#This Row],[Deaths/1M]]</f>
        <v>23255.81395348837</v>
      </c>
      <c r="P50" s="9">
        <f>Table2[[#This Row],[Deaths]]+Table2[[#This Row],[Active]]*Table2[[#This Row],[Death Rate]]</f>
        <v>30.8989898989899</v>
      </c>
      <c r="Q50" s="10">
        <f>Table2[[#This Row],[Deaths]]/Table2[[#This Row],[Cases]]</f>
        <v>1.0101010101010102E-2</v>
      </c>
      <c r="R50" s="9">
        <f>Table2[[#This Row],[Cases]]/Table2[[#This Row],[Deaths]]</f>
        <v>99</v>
      </c>
      <c r="S50" s="12">
        <f>Table2[[#This Row],[Cases/1M]]/1000000</f>
        <v>4.2760000000000003E-3</v>
      </c>
      <c r="T50" s="12">
        <f>Table2[[#This Row],[Deaths/1M]]/1000000</f>
        <v>4.3000000000000002E-5</v>
      </c>
      <c r="U50" s="13">
        <f>1-Table2[[#This Row],[Deaths]]/Table2[[#This Row],[Ex(Deaths)]]</f>
        <v>0.19091206276560968</v>
      </c>
      <c r="V50" s="13">
        <f>Table2[[#This Row],[Cases]]/Table2[[#This Row],[Tests]]</f>
        <v>3.6558345642540617E-2</v>
      </c>
      <c r="W50" s="12">
        <f>Table2[[#This Row],[Percent Infected]]*Table2[[#This Row],[% Active]]</f>
        <v>1.0089632323232324E-3</v>
      </c>
      <c r="X50" s="9">
        <f>1/Table2[[#This Row],[Percent Active Infected]]</f>
        <v>991.11639350564474</v>
      </c>
    </row>
    <row r="51" spans="1:24" ht="16.5" thickBot="1" x14ac:dyDescent="0.3">
      <c r="A51" s="44" t="s">
        <v>289</v>
      </c>
      <c r="B51" s="47">
        <v>2338</v>
      </c>
      <c r="C51" s="48"/>
      <c r="D51" s="48">
        <v>20</v>
      </c>
      <c r="E51" s="48"/>
      <c r="F51" s="47">
        <v>1503</v>
      </c>
      <c r="G51" s="47">
        <v>3196</v>
      </c>
      <c r="H51" s="48">
        <v>27</v>
      </c>
      <c r="I51" s="47">
        <v>205066</v>
      </c>
      <c r="J51" s="47">
        <v>280319</v>
      </c>
      <c r="K51" s="56" t="s">
        <v>337</v>
      </c>
      <c r="L51" s="42" t="s">
        <v>242</v>
      </c>
      <c r="M51" s="23">
        <f>Table2[[#This Row],[Active]]/Table2[[#This Row],[Cases]]</f>
        <v>0.6428571428571429</v>
      </c>
      <c r="N51" s="9">
        <f>1000000/Table2[[#This Row],[Cases/1M]]</f>
        <v>312.89111389236547</v>
      </c>
      <c r="O51" s="9">
        <f>1000000/Table2[[#This Row],[Deaths/1M]]</f>
        <v>37037.037037037036</v>
      </c>
      <c r="P51" s="9">
        <f>Table2[[#This Row],[Deaths]]+Table2[[#This Row],[Active]]*Table2[[#This Row],[Death Rate]]</f>
        <v>32.857142857142861</v>
      </c>
      <c r="Q51" s="10">
        <f>Table2[[#This Row],[Deaths]]/Table2[[#This Row],[Cases]]</f>
        <v>8.5543199315654406E-3</v>
      </c>
      <c r="R51" s="9">
        <f>Table2[[#This Row],[Cases]]/Table2[[#This Row],[Deaths]]</f>
        <v>116.9</v>
      </c>
      <c r="S51" s="12">
        <f>Table2[[#This Row],[Cases/1M]]/1000000</f>
        <v>3.1960000000000001E-3</v>
      </c>
      <c r="T51" s="12">
        <f>Table2[[#This Row],[Deaths/1M]]/1000000</f>
        <v>2.6999999999999999E-5</v>
      </c>
      <c r="U51" s="13">
        <f>1-Table2[[#This Row],[Deaths]]/Table2[[#This Row],[Ex(Deaths)]]</f>
        <v>0.39130434782608703</v>
      </c>
      <c r="V51" s="13">
        <f>Table2[[#This Row],[Cases]]/Table2[[#This Row],[Tests]]</f>
        <v>1.1401207416148947E-2</v>
      </c>
      <c r="W51" s="12">
        <f>Table2[[#This Row],[Percent Infected]]*Table2[[#This Row],[% Active]]</f>
        <v>2.0545714285714286E-3</v>
      </c>
      <c r="X51" s="9">
        <f>1/Table2[[#This Row],[Percent Active Infected]]</f>
        <v>486.71951049923513</v>
      </c>
    </row>
    <row r="52" spans="1:24" ht="16.5" thickBot="1" x14ac:dyDescent="0.3">
      <c r="A52" s="44" t="s">
        <v>290</v>
      </c>
      <c r="B52" s="47">
        <v>1620</v>
      </c>
      <c r="C52" s="48"/>
      <c r="D52" s="48">
        <v>26</v>
      </c>
      <c r="E52" s="48"/>
      <c r="F52" s="48">
        <v>427</v>
      </c>
      <c r="G52" s="47">
        <v>1144</v>
      </c>
      <c r="H52" s="48">
        <v>18</v>
      </c>
      <c r="I52" s="47">
        <v>140442</v>
      </c>
      <c r="J52" s="47">
        <v>99191</v>
      </c>
      <c r="K52" s="42" t="s">
        <v>330</v>
      </c>
      <c r="L52" s="42" t="s">
        <v>242</v>
      </c>
      <c r="M52" s="23">
        <f>Table2[[#This Row],[Active]]/Table2[[#This Row],[Cases]]</f>
        <v>0.26358024691358023</v>
      </c>
      <c r="N52" s="9">
        <f>1000000/Table2[[#This Row],[Cases/1M]]</f>
        <v>874.12587412587413</v>
      </c>
      <c r="O52" s="9">
        <f>1000000/Table2[[#This Row],[Deaths/1M]]</f>
        <v>55555.555555555555</v>
      </c>
      <c r="P52" s="9">
        <f>Table2[[#This Row],[Deaths]]+Table2[[#This Row],[Active]]*Table2[[#This Row],[Death Rate]]</f>
        <v>32.853086419753083</v>
      </c>
      <c r="Q52" s="10">
        <f>Table2[[#This Row],[Deaths]]/Table2[[#This Row],[Cases]]</f>
        <v>1.6049382716049384E-2</v>
      </c>
      <c r="R52" s="9">
        <f>Table2[[#This Row],[Cases]]/Table2[[#This Row],[Deaths]]</f>
        <v>62.307692307692307</v>
      </c>
      <c r="S52" s="12">
        <f>Table2[[#This Row],[Cases/1M]]/1000000</f>
        <v>1.1440000000000001E-3</v>
      </c>
      <c r="T52" s="12">
        <f>Table2[[#This Row],[Deaths/1M]]/1000000</f>
        <v>1.8E-5</v>
      </c>
      <c r="U52" s="13">
        <f>1-Table2[[#This Row],[Deaths]]/Table2[[#This Row],[Ex(Deaths)]]</f>
        <v>0.2085979482169027</v>
      </c>
      <c r="V52" s="13">
        <f>Table2[[#This Row],[Cases]]/Table2[[#This Row],[Tests]]</f>
        <v>1.1535010894176955E-2</v>
      </c>
      <c r="W52" s="12">
        <f>Table2[[#This Row],[Percent Infected]]*Table2[[#This Row],[% Active]]</f>
        <v>3.0153580246913581E-4</v>
      </c>
      <c r="X52" s="9">
        <f>1/Table2[[#This Row],[Percent Active Infected]]</f>
        <v>3316.3557753721689</v>
      </c>
    </row>
    <row r="53" spans="1:24" ht="16.5" thickBot="1" x14ac:dyDescent="0.3">
      <c r="A53" s="44" t="s">
        <v>298</v>
      </c>
      <c r="B53" s="47">
        <v>1400</v>
      </c>
      <c r="C53" s="58">
        <v>4</v>
      </c>
      <c r="D53" s="48">
        <v>56</v>
      </c>
      <c r="E53" s="48"/>
      <c r="F53" s="48">
        <v>162</v>
      </c>
      <c r="G53" s="47">
        <v>2244</v>
      </c>
      <c r="H53" s="48">
        <v>90</v>
      </c>
      <c r="I53" s="47">
        <v>88816</v>
      </c>
      <c r="J53" s="47">
        <v>142336</v>
      </c>
      <c r="K53" s="56" t="s">
        <v>338</v>
      </c>
      <c r="L53" s="42" t="s">
        <v>242</v>
      </c>
      <c r="M53" s="23">
        <f>Table2[[#This Row],[Active]]/Table2[[#This Row],[Cases]]</f>
        <v>0.11571428571428571</v>
      </c>
      <c r="N53" s="9">
        <f>1000000/Table2[[#This Row],[Cases/1M]]</f>
        <v>445.63279857397504</v>
      </c>
      <c r="O53" s="9">
        <f>1000000/Table2[[#This Row],[Deaths/1M]]</f>
        <v>11111.111111111111</v>
      </c>
      <c r="P53" s="9">
        <f>Table2[[#This Row],[Deaths]]+Table2[[#This Row],[Active]]*Table2[[#This Row],[Death Rate]]</f>
        <v>62.480000000000004</v>
      </c>
      <c r="Q53" s="10">
        <f>Table2[[#This Row],[Deaths]]/Table2[[#This Row],[Cases]]</f>
        <v>0.04</v>
      </c>
      <c r="R53" s="9">
        <f>Table2[[#This Row],[Cases]]/Table2[[#This Row],[Deaths]]</f>
        <v>25</v>
      </c>
      <c r="S53" s="12">
        <f>Table2[[#This Row],[Cases/1M]]/1000000</f>
        <v>2.2439999999999999E-3</v>
      </c>
      <c r="T53" s="12">
        <f>Table2[[#This Row],[Deaths/1M]]/1000000</f>
        <v>9.0000000000000006E-5</v>
      </c>
      <c r="U53" s="13">
        <f>1-Table2[[#This Row],[Deaths]]/Table2[[#This Row],[Ex(Deaths)]]</f>
        <v>0.10371318822023057</v>
      </c>
      <c r="V53" s="13">
        <f>Table2[[#This Row],[Cases]]/Table2[[#This Row],[Tests]]</f>
        <v>1.5762925598991173E-2</v>
      </c>
      <c r="W53" s="12">
        <f>Table2[[#This Row],[Percent Infected]]*Table2[[#This Row],[% Active]]</f>
        <v>2.5966285714285715E-4</v>
      </c>
      <c r="X53" s="9">
        <f>1/Table2[[#This Row],[Percent Active Infected]]</f>
        <v>3851.1476419973151</v>
      </c>
    </row>
    <row r="54" spans="1:24" ht="16.5" thickBot="1" x14ac:dyDescent="0.3">
      <c r="A54" s="63" t="s">
        <v>295</v>
      </c>
      <c r="B54" s="48">
        <v>337</v>
      </c>
      <c r="C54" s="48"/>
      <c r="D54" s="48">
        <v>5</v>
      </c>
      <c r="E54" s="48"/>
      <c r="F54" s="48">
        <v>88</v>
      </c>
      <c r="G54" s="48"/>
      <c r="H54" s="48"/>
      <c r="I54" s="47">
        <v>19936</v>
      </c>
      <c r="J54" s="48"/>
      <c r="K54" s="42" t="s">
        <v>330</v>
      </c>
      <c r="L54" s="42" t="s">
        <v>242</v>
      </c>
      <c r="M54" s="23">
        <f>Table2[[#This Row],[Active]]/Table2[[#This Row],[Cases]]</f>
        <v>0.26112759643916916</v>
      </c>
      <c r="N54" s="9" t="e">
        <f>1000000/Table2[[#This Row],[Cases/1M]]</f>
        <v>#DIV/0!</v>
      </c>
      <c r="O54" s="9" t="e">
        <f>1000000/Table2[[#This Row],[Deaths/1M]]</f>
        <v>#DIV/0!</v>
      </c>
      <c r="P54" s="9">
        <f>Table2[[#This Row],[Deaths]]+Table2[[#This Row],[Active]]*Table2[[#This Row],[Death Rate]]</f>
        <v>6.3056379821958455</v>
      </c>
      <c r="Q54" s="10">
        <f>Table2[[#This Row],[Deaths]]/Table2[[#This Row],[Cases]]</f>
        <v>1.483679525222552E-2</v>
      </c>
      <c r="R54" s="9">
        <f>Table2[[#This Row],[Cases]]/Table2[[#This Row],[Deaths]]</f>
        <v>67.400000000000006</v>
      </c>
      <c r="S54" s="12">
        <f>Table2[[#This Row],[Cases/1M]]/1000000</f>
        <v>0</v>
      </c>
      <c r="T54" s="12">
        <f>Table2[[#This Row],[Deaths/1M]]/1000000</f>
        <v>0</v>
      </c>
      <c r="U54" s="13">
        <f>1-Table2[[#This Row],[Deaths]]/Table2[[#This Row],[Ex(Deaths)]]</f>
        <v>0.20705882352941174</v>
      </c>
      <c r="V54" s="13">
        <f>Table2[[#This Row],[Cases]]/Table2[[#This Row],[Tests]]</f>
        <v>1.6904093097913322E-2</v>
      </c>
      <c r="W54" s="12">
        <f>Table2[[#This Row],[Percent Infected]]*Table2[[#This Row],[% Active]]</f>
        <v>0</v>
      </c>
      <c r="X54" s="9" t="e">
        <f>1/Table2[[#This Row],[Percent Active Infected]]</f>
        <v>#DIV/0!</v>
      </c>
    </row>
    <row r="55" spans="1:24" ht="16.5" thickBot="1" x14ac:dyDescent="0.3">
      <c r="A55" s="63" t="s">
        <v>293</v>
      </c>
      <c r="B55" s="48">
        <v>39</v>
      </c>
      <c r="C55" s="48"/>
      <c r="D55" s="48">
        <v>2</v>
      </c>
      <c r="E55" s="48"/>
      <c r="F55" s="48">
        <v>18</v>
      </c>
      <c r="G55" s="48"/>
      <c r="H55" s="48"/>
      <c r="I55" s="47">
        <v>12745</v>
      </c>
      <c r="J55" s="48"/>
      <c r="K55" s="42" t="s">
        <v>330</v>
      </c>
      <c r="L55" s="56"/>
      <c r="M55" s="23">
        <f>Table2[[#This Row],[Active]]/Table2[[#This Row],[Cases]]</f>
        <v>0.46153846153846156</v>
      </c>
      <c r="N55" s="9" t="e">
        <f>1000000/Table2[[#This Row],[Cases/1M]]</f>
        <v>#DIV/0!</v>
      </c>
      <c r="O55" s="9" t="e">
        <f>1000000/Table2[[#This Row],[Deaths/1M]]</f>
        <v>#DIV/0!</v>
      </c>
      <c r="P55" s="9">
        <f>Table2[[#This Row],[Deaths]]+Table2[[#This Row],[Active]]*Table2[[#This Row],[Death Rate]]</f>
        <v>2.9230769230769229</v>
      </c>
      <c r="Q55" s="10">
        <f>Table2[[#This Row],[Deaths]]/Table2[[#This Row],[Cases]]</f>
        <v>5.128205128205128E-2</v>
      </c>
      <c r="R55" s="9">
        <f>Table2[[#This Row],[Cases]]/Table2[[#This Row],[Deaths]]</f>
        <v>19.5</v>
      </c>
      <c r="S55" s="12">
        <f>Table2[[#This Row],[Cases/1M]]/1000000</f>
        <v>0</v>
      </c>
      <c r="T55" s="12">
        <f>Table2[[#This Row],[Deaths/1M]]/1000000</f>
        <v>0</v>
      </c>
      <c r="U55" s="13">
        <f>1-Table2[[#This Row],[Deaths]]/Table2[[#This Row],[Ex(Deaths)]]</f>
        <v>0.31578947368421051</v>
      </c>
      <c r="V55" s="13">
        <f>Table2[[#This Row],[Cases]]/Table2[[#This Row],[Tests]]</f>
        <v>3.0600235386426047E-3</v>
      </c>
      <c r="W55" s="12">
        <f>Table2[[#This Row],[Percent Infected]]*Table2[[#This Row],[% Active]]</f>
        <v>0</v>
      </c>
      <c r="X55" s="9" t="e">
        <f>1/Table2[[#This Row],[Percent Active Infected]]</f>
        <v>#DIV/0!</v>
      </c>
    </row>
    <row r="56" spans="1:24" ht="16.5" thickBot="1" x14ac:dyDescent="0.3">
      <c r="A56" s="63" t="s">
        <v>284</v>
      </c>
      <c r="B56" s="47">
        <v>14540</v>
      </c>
      <c r="C56" s="48"/>
      <c r="D56" s="48">
        <v>201</v>
      </c>
      <c r="E56" s="48"/>
      <c r="F56" s="47">
        <v>12980</v>
      </c>
      <c r="G56" s="47">
        <v>4293</v>
      </c>
      <c r="H56" s="48">
        <v>59</v>
      </c>
      <c r="I56" s="47">
        <v>464073</v>
      </c>
      <c r="J56" s="47">
        <v>137018</v>
      </c>
      <c r="K56" s="56" t="s">
        <v>338</v>
      </c>
      <c r="L56" s="56"/>
      <c r="M56" s="23">
        <f>Table2[[#This Row],[Active]]/Table2[[#This Row],[Cases]]</f>
        <v>0.8927097661623109</v>
      </c>
      <c r="N56" s="9">
        <f>1000000/Table2[[#This Row],[Cases/1M]]</f>
        <v>232.93733985557884</v>
      </c>
      <c r="O56" s="9">
        <f>1000000/Table2[[#This Row],[Deaths/1M]]</f>
        <v>16949.152542372882</v>
      </c>
      <c r="P56" s="9">
        <f>Table2[[#This Row],[Deaths]]+Table2[[#This Row],[Active]]*Table2[[#This Row],[Death Rate]]</f>
        <v>380.4346629986245</v>
      </c>
      <c r="Q56" s="10">
        <f>Table2[[#This Row],[Deaths]]/Table2[[#This Row],[Cases]]</f>
        <v>1.3823933975240715E-2</v>
      </c>
      <c r="R56" s="9">
        <f>Table2[[#This Row],[Cases]]/Table2[[#This Row],[Deaths]]</f>
        <v>72.338308457711449</v>
      </c>
      <c r="S56" s="12">
        <f>Table2[[#This Row],[Cases/1M]]/1000000</f>
        <v>4.2929999999999999E-3</v>
      </c>
      <c r="T56" s="12">
        <f>Table2[[#This Row],[Deaths/1M]]/1000000</f>
        <v>5.8999999999999998E-5</v>
      </c>
      <c r="U56" s="13">
        <f>1-Table2[[#This Row],[Deaths]]/Table2[[#This Row],[Ex(Deaths)]]</f>
        <v>0.47165697674418605</v>
      </c>
      <c r="V56" s="13">
        <f>Table2[[#This Row],[Cases]]/Table2[[#This Row],[Tests]]</f>
        <v>3.1331277622270635E-2</v>
      </c>
      <c r="W56" s="12">
        <f>Table2[[#This Row],[Percent Infected]]*Table2[[#This Row],[% Active]]</f>
        <v>3.8324030261348008E-3</v>
      </c>
      <c r="X56" s="9">
        <f>1/Table2[[#This Row],[Percent Active Infected]]</f>
        <v>260.93289071649588</v>
      </c>
    </row>
    <row r="57" spans="1:24" ht="30.75" thickBot="1" x14ac:dyDescent="0.3">
      <c r="A57" s="63" t="s">
        <v>296</v>
      </c>
      <c r="B57" s="48">
        <v>352</v>
      </c>
      <c r="C57" s="48"/>
      <c r="D57" s="48">
        <v>7</v>
      </c>
      <c r="E57" s="48"/>
      <c r="F57" s="48">
        <v>109</v>
      </c>
      <c r="G57" s="48"/>
      <c r="H57" s="48"/>
      <c r="I57" s="47">
        <v>8273</v>
      </c>
      <c r="J57" s="48"/>
      <c r="K57" s="56" t="s">
        <v>336</v>
      </c>
      <c r="L57" s="56"/>
      <c r="M57" s="23">
        <f>Table2[[#This Row],[Active]]/Table2[[#This Row],[Cases]]</f>
        <v>0.30965909090909088</v>
      </c>
      <c r="N57" s="9" t="e">
        <f>1000000/Table2[[#This Row],[Cases/1M]]</f>
        <v>#DIV/0!</v>
      </c>
      <c r="O57" s="9" t="e">
        <f>1000000/Table2[[#This Row],[Deaths/1M]]</f>
        <v>#DIV/0!</v>
      </c>
      <c r="P57" s="9">
        <f>Table2[[#This Row],[Deaths]]+Table2[[#This Row],[Active]]*Table2[[#This Row],[Death Rate]]</f>
        <v>9.1676136363636367</v>
      </c>
      <c r="Q57" s="10">
        <f>Table2[[#This Row],[Deaths]]/Table2[[#This Row],[Cases]]</f>
        <v>1.9886363636363636E-2</v>
      </c>
      <c r="R57" s="9">
        <f>Table2[[#This Row],[Cases]]/Table2[[#This Row],[Deaths]]</f>
        <v>50.285714285714285</v>
      </c>
      <c r="S57" s="12">
        <f>Table2[[#This Row],[Cases/1M]]/1000000</f>
        <v>0</v>
      </c>
      <c r="T57" s="12">
        <f>Table2[[#This Row],[Deaths/1M]]/1000000</f>
        <v>0</v>
      </c>
      <c r="U57" s="13">
        <f>1-Table2[[#This Row],[Deaths]]/Table2[[#This Row],[Ex(Deaths)]]</f>
        <v>0.2364425162689805</v>
      </c>
      <c r="V57" s="13">
        <f>Table2[[#This Row],[Cases]]/Table2[[#This Row],[Tests]]</f>
        <v>4.2548047866553848E-2</v>
      </c>
      <c r="W57" s="12">
        <f>Table2[[#This Row],[Percent Infected]]*Table2[[#This Row],[% Active]]</f>
        <v>0</v>
      </c>
      <c r="X57" s="9" t="e">
        <f>1/Table2[[#This Row],[Percent Active Infected]]</f>
        <v>#DIV/0!</v>
      </c>
    </row>
    <row r="58" spans="1:24" ht="16.5" thickBot="1" x14ac:dyDescent="0.3">
      <c r="A58" s="64" t="s">
        <v>294</v>
      </c>
      <c r="B58" s="47">
        <v>35596</v>
      </c>
      <c r="C58" s="48"/>
      <c r="D58" s="47">
        <v>1980</v>
      </c>
      <c r="E58" s="48"/>
      <c r="F58" s="47">
        <v>6372</v>
      </c>
      <c r="G58" s="48"/>
      <c r="H58" s="48"/>
      <c r="I58" s="47">
        <v>440543</v>
      </c>
      <c r="J58" s="48"/>
      <c r="K58" s="42" t="s">
        <v>330</v>
      </c>
      <c r="L58" s="56"/>
      <c r="M58" s="23">
        <f>Table2[[#This Row],[Active]]/Table2[[#This Row],[Cases]]</f>
        <v>0.17900887740195529</v>
      </c>
      <c r="N58" s="9" t="e">
        <f>1000000/Table2[[#This Row],[Cases/1M]]</f>
        <v>#DIV/0!</v>
      </c>
      <c r="O58" s="9" t="e">
        <f>1000000/Table2[[#This Row],[Deaths/1M]]</f>
        <v>#DIV/0!</v>
      </c>
      <c r="P58" s="9">
        <f>Table2[[#This Row],[Deaths]]+Table2[[#This Row],[Active]]*Table2[[#This Row],[Death Rate]]</f>
        <v>2334.4375772558715</v>
      </c>
      <c r="Q58" s="10">
        <f>Table2[[#This Row],[Deaths]]/Table2[[#This Row],[Cases]]</f>
        <v>5.5624227441285541E-2</v>
      </c>
      <c r="R58" s="9">
        <f>Table2[[#This Row],[Cases]]/Table2[[#This Row],[Deaths]]</f>
        <v>17.977777777777778</v>
      </c>
      <c r="S58" s="12">
        <f>Table2[[#This Row],[Cases/1M]]/1000000</f>
        <v>0</v>
      </c>
      <c r="T58" s="12">
        <f>Table2[[#This Row],[Deaths/1M]]/1000000</f>
        <v>0</v>
      </c>
      <c r="U58" s="13">
        <f>1-Table2[[#This Row],[Deaths]]/Table2[[#This Row],[Ex(Deaths)]]</f>
        <v>0.15182996568814333</v>
      </c>
      <c r="V58" s="13">
        <f>Table2[[#This Row],[Cases]]/Table2[[#This Row],[Tests]]</f>
        <v>8.0800285102702804E-2</v>
      </c>
      <c r="W58" s="12">
        <f>Table2[[#This Row],[Percent Infected]]*Table2[[#This Row],[% Active]]</f>
        <v>0</v>
      </c>
      <c r="X58" s="9" t="e">
        <f>1/Table2[[#This Row],[Percent Active Infected]]</f>
        <v>#DIV/0!</v>
      </c>
    </row>
    <row r="59" spans="1:24" ht="16.5" thickBot="1" x14ac:dyDescent="0.3">
      <c r="A59" s="64" t="s">
        <v>292</v>
      </c>
      <c r="B59" s="47">
        <v>34491</v>
      </c>
      <c r="C59" s="48"/>
      <c r="D59" s="48">
        <v>54</v>
      </c>
      <c r="E59" s="48"/>
      <c r="F59" s="47">
        <v>20393</v>
      </c>
      <c r="G59" s="48"/>
      <c r="H59" s="48"/>
      <c r="I59" s="48"/>
      <c r="J59" s="48"/>
      <c r="K59" s="56" t="s">
        <v>338</v>
      </c>
      <c r="L59" s="56"/>
      <c r="M59" s="23">
        <f>Table2[[#This Row],[Active]]/Table2[[#This Row],[Cases]]</f>
        <v>0.59125568989011623</v>
      </c>
      <c r="N59" s="9" t="e">
        <f>1000000/Table2[[#This Row],[Cases/1M]]</f>
        <v>#DIV/0!</v>
      </c>
      <c r="O59" s="9" t="e">
        <f>1000000/Table2[[#This Row],[Deaths/1M]]</f>
        <v>#DIV/0!</v>
      </c>
      <c r="P59" s="9">
        <f>Table2[[#This Row],[Deaths]]+Table2[[#This Row],[Active]]*Table2[[#This Row],[Death Rate]]</f>
        <v>85.927807254066281</v>
      </c>
      <c r="Q59" s="10">
        <f>Table2[[#This Row],[Deaths]]/Table2[[#This Row],[Cases]]</f>
        <v>1.5656258154301123E-3</v>
      </c>
      <c r="R59" s="9">
        <f>Table2[[#This Row],[Cases]]/Table2[[#This Row],[Deaths]]</f>
        <v>638.72222222222217</v>
      </c>
      <c r="S59" s="12">
        <f>Table2[[#This Row],[Cases/1M]]/1000000</f>
        <v>0</v>
      </c>
      <c r="T59" s="12">
        <f>Table2[[#This Row],[Deaths/1M]]/1000000</f>
        <v>0</v>
      </c>
      <c r="U59" s="13">
        <f>1-Table2[[#This Row],[Deaths]]/Table2[[#This Row],[Ex(Deaths)]]</f>
        <v>0.37156548356533781</v>
      </c>
      <c r="V59" s="13" t="e">
        <f>Table2[[#This Row],[Cases]]/Table2[[#This Row],[Tests]]</f>
        <v>#DIV/0!</v>
      </c>
      <c r="W59" s="12">
        <f>Table2[[#This Row],[Percent Infected]]*Table2[[#This Row],[% Active]]</f>
        <v>0</v>
      </c>
      <c r="X59" s="9" t="e">
        <f>1/Table2[[#This Row],[Percent Active Infected]]</f>
        <v>#DIV/0!</v>
      </c>
    </row>
    <row r="60" spans="1:24" ht="16.5" thickBot="1" x14ac:dyDescent="0.3">
      <c r="A60" s="64" t="s">
        <v>299</v>
      </c>
      <c r="B60" s="47">
        <v>11391</v>
      </c>
      <c r="C60" s="48"/>
      <c r="D60" s="48">
        <v>100</v>
      </c>
      <c r="E60" s="48"/>
      <c r="F60" s="47">
        <v>4689</v>
      </c>
      <c r="G60" s="48"/>
      <c r="H60" s="48"/>
      <c r="I60" s="47">
        <v>35258</v>
      </c>
      <c r="J60" s="48"/>
      <c r="K60" s="56" t="s">
        <v>338</v>
      </c>
      <c r="L60" s="56"/>
      <c r="M60" s="23">
        <f>Table2[[#This Row],[Active]]/Table2[[#This Row],[Cases]]</f>
        <v>0.41164076902818014</v>
      </c>
      <c r="N60" s="9" t="e">
        <f>1000000/Table2[[#This Row],[Cases/1M]]</f>
        <v>#DIV/0!</v>
      </c>
      <c r="O60" s="9" t="e">
        <f>1000000/Table2[[#This Row],[Deaths/1M]]</f>
        <v>#DIV/0!</v>
      </c>
      <c r="P60" s="9">
        <f>Table2[[#This Row],[Deaths]]+Table2[[#This Row],[Active]]*Table2[[#This Row],[Death Rate]]</f>
        <v>141.16407690281801</v>
      </c>
      <c r="Q60" s="10">
        <f>Table2[[#This Row],[Deaths]]/Table2[[#This Row],[Cases]]</f>
        <v>8.778860503906593E-3</v>
      </c>
      <c r="R60" s="9">
        <f>Table2[[#This Row],[Cases]]/Table2[[#This Row],[Deaths]]</f>
        <v>113.91</v>
      </c>
      <c r="S60" s="12">
        <f>Table2[[#This Row],[Cases/1M]]/1000000</f>
        <v>0</v>
      </c>
      <c r="T60" s="12">
        <f>Table2[[#This Row],[Deaths/1M]]/1000000</f>
        <v>0</v>
      </c>
      <c r="U60" s="13">
        <f>1-Table2[[#This Row],[Deaths]]/Table2[[#This Row],[Ex(Deaths)]]</f>
        <v>0.2916044776119403</v>
      </c>
      <c r="V60" s="13">
        <f>Table2[[#This Row],[Cases]]/Table2[[#This Row],[Tests]]</f>
        <v>0.32307561404503943</v>
      </c>
      <c r="W60" s="12">
        <f>Table2[[#This Row],[Percent Infected]]*Table2[[#This Row],[% Active]]</f>
        <v>0</v>
      </c>
      <c r="X60" s="9" t="e">
        <f>1/Table2[[#This Row],[Percent Active Infected]]</f>
        <v>#DIV/0!</v>
      </c>
    </row>
    <row r="61" spans="1:24" ht="16.5" thickBot="1" x14ac:dyDescent="0.3">
      <c r="A61" s="65" t="s">
        <v>291</v>
      </c>
      <c r="B61" s="66">
        <v>8768</v>
      </c>
      <c r="C61" s="67"/>
      <c r="D61" s="67">
        <v>434</v>
      </c>
      <c r="E61" s="67"/>
      <c r="F61" s="66">
        <v>5203</v>
      </c>
      <c r="G61" s="67"/>
      <c r="H61" s="67"/>
      <c r="I61" s="66">
        <v>71440</v>
      </c>
      <c r="J61" s="67"/>
      <c r="K61" s="42" t="s">
        <v>330</v>
      </c>
      <c r="L61" s="56"/>
      <c r="M61" s="23">
        <f>Table2[[#This Row],[Active]]/Table2[[#This Row],[Cases]]</f>
        <v>0.59340784671532842</v>
      </c>
      <c r="N61" s="9" t="e">
        <f>1000000/Table2[[#This Row],[Cases/1M]]</f>
        <v>#DIV/0!</v>
      </c>
      <c r="O61" s="9" t="e">
        <f>1000000/Table2[[#This Row],[Deaths/1M]]</f>
        <v>#DIV/0!</v>
      </c>
      <c r="P61" s="9">
        <f>Table2[[#This Row],[Deaths]]+Table2[[#This Row],[Active]]*Table2[[#This Row],[Death Rate]]</f>
        <v>691.53900547445255</v>
      </c>
      <c r="Q61" s="10">
        <f>Table2[[#This Row],[Deaths]]/Table2[[#This Row],[Cases]]</f>
        <v>4.949817518248175E-2</v>
      </c>
      <c r="R61" s="9">
        <f>Table2[[#This Row],[Cases]]/Table2[[#This Row],[Deaths]]</f>
        <v>20.202764976958527</v>
      </c>
      <c r="S61" s="12">
        <f>Table2[[#This Row],[Cases/1M]]/1000000</f>
        <v>0</v>
      </c>
      <c r="T61" s="12">
        <f>Table2[[#This Row],[Deaths/1M]]/1000000</f>
        <v>0</v>
      </c>
      <c r="U61" s="13">
        <f>1-Table2[[#This Row],[Deaths]]/Table2[[#This Row],[Ex(Deaths)]]</f>
        <v>0.37241428673681198</v>
      </c>
      <c r="V61" s="13">
        <f>Table2[[#This Row],[Cases]]/Table2[[#This Row],[Tests]]</f>
        <v>0.12273236282194849</v>
      </c>
      <c r="W61" s="12">
        <f>Table2[[#This Row],[Percent Infected]]*Table2[[#This Row],[% Active]]</f>
        <v>0</v>
      </c>
      <c r="X61" s="9" t="e">
        <f>1/Table2[[#This Row],[Percent Active Infected]]</f>
        <v>#DIV/0!</v>
      </c>
    </row>
    <row r="62" spans="1:24" ht="15.75" thickBot="1" x14ac:dyDescent="0.3">
      <c r="K62" s="68" t="s">
        <v>337</v>
      </c>
      <c r="L62" s="45"/>
      <c r="M62" s="28"/>
      <c r="P62" s="1">
        <f>Table2[[#This Row],[Deaths]]+Table2[[#This Row],[Active]]*Table2[[#This Row],[Death Rate]]</f>
        <v>0</v>
      </c>
      <c r="W62" s="69">
        <f>Table2[[#This Row],[Percent Infected]]*Table2[[#This Row],[% Active]]</f>
        <v>0</v>
      </c>
      <c r="X62" s="70" t="e">
        <f>1/Table2[[#This Row],[Percent Active Infected]]</f>
        <v>#DIV/0!</v>
      </c>
    </row>
    <row r="63" spans="1:24" ht="15.75" thickBot="1" x14ac:dyDescent="0.3">
      <c r="M63" s="28"/>
    </row>
    <row r="64" spans="1:24" ht="15.75" thickBot="1" x14ac:dyDescent="0.3">
      <c r="M64" s="28"/>
    </row>
    <row r="65" spans="13:13" ht="15.75" thickBot="1" x14ac:dyDescent="0.3">
      <c r="M65" s="28"/>
    </row>
    <row r="66" spans="13:13" ht="15.75" thickBot="1" x14ac:dyDescent="0.3">
      <c r="M66" s="27"/>
    </row>
    <row r="67" spans="13:13" ht="15.75" thickBot="1" x14ac:dyDescent="0.3">
      <c r="M67" s="27"/>
    </row>
    <row r="68" spans="13:13" ht="15.75" thickBot="1" x14ac:dyDescent="0.3">
      <c r="M68" s="27"/>
    </row>
    <row r="69" spans="13:13" ht="15.75" thickBot="1" x14ac:dyDescent="0.3">
      <c r="M69" s="28"/>
    </row>
    <row r="70" spans="13:13" ht="15.75" thickBot="1" x14ac:dyDescent="0.3">
      <c r="M70" s="27"/>
    </row>
    <row r="71" spans="13:13" ht="15.75" thickBot="1" x14ac:dyDescent="0.3">
      <c r="M71" s="27"/>
    </row>
    <row r="72" spans="13:13" ht="15.75" thickBot="1" x14ac:dyDescent="0.3">
      <c r="M72" s="27"/>
    </row>
    <row r="73" spans="13:13" ht="15.75" thickBot="1" x14ac:dyDescent="0.3">
      <c r="M73" s="27"/>
    </row>
    <row r="74" spans="13:13" ht="15.75" thickBot="1" x14ac:dyDescent="0.3">
      <c r="M74" s="27"/>
    </row>
    <row r="75" spans="13:13" ht="15.75" thickBot="1" x14ac:dyDescent="0.3">
      <c r="M75" s="27"/>
    </row>
    <row r="76" spans="13:13" ht="15.75" thickBot="1" x14ac:dyDescent="0.3">
      <c r="M76" s="27"/>
    </row>
    <row r="77" spans="13:13" ht="15.75" thickBot="1" x14ac:dyDescent="0.3">
      <c r="M77" s="27"/>
    </row>
    <row r="78" spans="13:13" ht="15.75" thickBot="1" x14ac:dyDescent="0.3">
      <c r="M78" s="28"/>
    </row>
    <row r="79" spans="13:13" ht="15.75" thickBot="1" x14ac:dyDescent="0.3">
      <c r="M79" s="27"/>
    </row>
    <row r="80" spans="13:13" ht="15.75" thickBot="1" x14ac:dyDescent="0.3">
      <c r="M80" s="28"/>
    </row>
    <row r="81" spans="7:13" ht="15.75" thickBot="1" x14ac:dyDescent="0.3">
      <c r="M81" s="27"/>
    </row>
    <row r="82" spans="7:13" ht="15.75" thickBot="1" x14ac:dyDescent="0.3">
      <c r="M82" s="28"/>
    </row>
    <row r="83" spans="7:13" ht="15.75" thickBot="1" x14ac:dyDescent="0.3">
      <c r="M83" s="27"/>
    </row>
    <row r="84" spans="7:13" ht="15.75" thickBot="1" x14ac:dyDescent="0.3">
      <c r="M84" s="28"/>
    </row>
    <row r="85" spans="7:13" ht="16.5" thickBot="1" x14ac:dyDescent="0.3">
      <c r="H85" s="29"/>
      <c r="I85" s="30">
        <v>3132</v>
      </c>
      <c r="J85" s="30">
        <v>5383</v>
      </c>
      <c r="K85" s="30"/>
      <c r="L85" s="30"/>
      <c r="M85" s="27"/>
    </row>
    <row r="86" spans="7:13" ht="16.5" thickBot="1" x14ac:dyDescent="0.3">
      <c r="H86" s="29">
        <v>4</v>
      </c>
      <c r="I86" s="30">
        <v>6207</v>
      </c>
      <c r="J86" s="30">
        <v>8252</v>
      </c>
      <c r="K86" s="30"/>
      <c r="L86" s="30"/>
      <c r="M86" s="28"/>
    </row>
    <row r="87" spans="7:13" ht="16.5" thickBot="1" x14ac:dyDescent="0.3">
      <c r="H87" s="29">
        <v>7</v>
      </c>
      <c r="I87" s="30">
        <v>6016</v>
      </c>
      <c r="J87" s="30">
        <v>8146</v>
      </c>
      <c r="K87" s="30"/>
      <c r="L87" s="30"/>
      <c r="M87" s="27"/>
    </row>
    <row r="88" spans="7:13" ht="16.5" thickBot="1" x14ac:dyDescent="0.3">
      <c r="G88" s="29"/>
      <c r="H88" s="29"/>
      <c r="I88" s="29">
        <v>500</v>
      </c>
      <c r="J88" s="29"/>
      <c r="K88" s="29"/>
      <c r="L88" s="29"/>
      <c r="M88" s="27"/>
    </row>
    <row r="89" spans="7:13" ht="16.5" thickBot="1" x14ac:dyDescent="0.3">
      <c r="G89" s="29"/>
      <c r="H89" s="29"/>
      <c r="I89" s="29">
        <v>33</v>
      </c>
      <c r="J89" s="29"/>
      <c r="K89" s="29"/>
      <c r="L89" s="29"/>
      <c r="M89" s="28"/>
    </row>
    <row r="90" spans="7:13" ht="16.5" thickBot="1" x14ac:dyDescent="0.3">
      <c r="G90" s="29">
        <v>133</v>
      </c>
      <c r="H90" s="29">
        <v>5</v>
      </c>
      <c r="I90" s="30">
        <v>4190</v>
      </c>
      <c r="J90" s="30">
        <v>1237</v>
      </c>
      <c r="K90" s="30"/>
      <c r="L90" s="30"/>
      <c r="M90" s="27"/>
    </row>
    <row r="91" spans="7:13" ht="16.5" thickBot="1" x14ac:dyDescent="0.3">
      <c r="G91" s="31"/>
      <c r="H91" s="31"/>
      <c r="I91" s="31">
        <v>266</v>
      </c>
      <c r="J91" s="31"/>
      <c r="K91" s="32"/>
      <c r="L91" s="32"/>
      <c r="M91" s="33"/>
    </row>
  </sheetData>
  <conditionalFormatting sqref="M2:M62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6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2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2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62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2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2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62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62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62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62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62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3" r:id="rId1" display="https://www.worldometers.info/coronavirus/usa/california/" xr:uid="{A094C4BC-BFF4-47AC-B0F1-918645963144}"/>
    <hyperlink ref="L4" r:id="rId2" display="https://covid19.healthdata.org/united-states-of-america/california" xr:uid="{07455CBC-B072-4CB5-AABF-CB4277321E9F}"/>
    <hyperlink ref="A4" r:id="rId3" display="https://www.worldometers.info/coronavirus/usa/new-york/" xr:uid="{31954973-EC37-4E06-BA2F-0679D7592456}"/>
    <hyperlink ref="L5" r:id="rId4" display="https://covid19.healthdata.org/united-states-of-america/new-york" xr:uid="{539B7BBC-AB95-4085-A91E-0889B506E555}"/>
    <hyperlink ref="A5" r:id="rId5" display="https://www.worldometers.info/coronavirus/usa/florida/" xr:uid="{8DDC498A-B519-41DD-8AB4-CF484CDF06E7}"/>
    <hyperlink ref="L6" r:id="rId6" display="https://covid19.healthdata.org/united-states-of-america/florida" xr:uid="{40819197-D802-443F-A4D1-F935C1A5A06E}"/>
    <hyperlink ref="A6" r:id="rId7" display="https://www.worldometers.info/coronavirus/usa/texas/" xr:uid="{12B76E5F-4814-4A92-9C52-948487D96716}"/>
    <hyperlink ref="L7" r:id="rId8" display="https://covid19.healthdata.org/united-states-of-america/texas" xr:uid="{32E5B790-64DC-43CD-923E-5B30D1263393}"/>
    <hyperlink ref="A7" r:id="rId9" display="https://www.worldometers.info/coronavirus/usa/new-jersey/" xr:uid="{2E5E6CC7-79F0-4113-98AC-F33AF9B1B3AC}"/>
    <hyperlink ref="L8" r:id="rId10" display="https://covid19.healthdata.org/united-states-of-america/new-jersey" xr:uid="{F1A62004-1B8C-4229-98DC-8D2BA7DC2FDE}"/>
    <hyperlink ref="A8" r:id="rId11" display="https://www.worldometers.info/coronavirus/usa/illinois/" xr:uid="{2A54C99D-36D9-42B0-97BA-C7618D700FF3}"/>
    <hyperlink ref="L9" r:id="rId12" display="https://covid19.healthdata.org/united-states-of-america/illinois" xr:uid="{A8D75A9A-AA32-4F19-807E-4ABE9606D216}"/>
    <hyperlink ref="A9" r:id="rId13" display="https://www.worldometers.info/coronavirus/usa/georgia/" xr:uid="{F4B98782-970B-4E38-ADDE-B52C793D87A0}"/>
    <hyperlink ref="K10" r:id="rId14" display="https://dph.georgia.gov/covid-19-daily-status-report" xr:uid="{9FC48A6B-FC27-4866-B661-CFD631B26374}"/>
    <hyperlink ref="L10" r:id="rId15" display="https://covid19.healthdata.org/united-states-of-america/georgia" xr:uid="{DBF709E6-F275-47D5-AE03-5718E9D172FF}"/>
    <hyperlink ref="A10" r:id="rId16" display="https://www.worldometers.info/coronavirus/usa/arizona/" xr:uid="{EECBEA56-F487-4074-BC09-A546243F8AA4}"/>
    <hyperlink ref="K11" r:id="rId17" display="https://www.azdhs.gov/preparedness/epidemiology-disease-control/infectious-disease-epidemiology/covid-19/dashboards/index.php" xr:uid="{442D4DF3-8DE7-4EB8-8270-8FEA6428D807}"/>
    <hyperlink ref="L11" r:id="rId18" display="https://covid19.healthdata.org/united-states-of-america/arizona" xr:uid="{CC11C5FF-9A8E-4EBA-B5A7-4548BE1F994D}"/>
    <hyperlink ref="A11" r:id="rId19" display="https://www.worldometers.info/coronavirus/usa/massachusetts/" xr:uid="{40EECE5C-6BB9-40D3-B388-42D15E508148}"/>
    <hyperlink ref="K12" r:id="rId20" display="https://www.mass.gov/doc/covid-19-dashboard-july-25-2020/download" xr:uid="{C15C5EF2-C6D7-405C-8CA1-D2290A5B3CCE}"/>
    <hyperlink ref="L12" r:id="rId21" display="https://covid19.healthdata.org/united-states-of-america/massachusetts" xr:uid="{9BD44CD3-A2B2-4D25-935B-777B66636945}"/>
    <hyperlink ref="A12" r:id="rId22" display="https://www.worldometers.info/coronavirus/usa/north-carolina/" xr:uid="{EFE2C2B1-45BB-4729-9DA0-A8FE869A1E23}"/>
    <hyperlink ref="L13" r:id="rId23" display="https://covid19.healthdata.org/united-states-of-america/north-carolina" xr:uid="{49FD7197-3045-4284-A549-8B02F6AA1426}"/>
    <hyperlink ref="A13" r:id="rId24" display="https://www.worldometers.info/coronavirus/usa/pennsylvania/" xr:uid="{75B5CD6A-141F-4BA0-9D56-C71D9520B48D}"/>
    <hyperlink ref="L14" r:id="rId25" display="https://covid19.healthdata.org/united-states-of-america/pennsylvania" xr:uid="{8533E649-603E-432E-B07A-DCA28826DFFE}"/>
    <hyperlink ref="A14" r:id="rId26" display="https://www.worldometers.info/coronavirus/usa/louisiana/" xr:uid="{2B642381-885E-4F93-805C-B91B91A4EABE}"/>
    <hyperlink ref="L15" r:id="rId27" display="https://covid19.healthdata.org/united-states-of-america/louisiana" xr:uid="{36288158-84C2-426D-B5FF-94E398A23F99}"/>
    <hyperlink ref="A15" r:id="rId28" display="https://www.worldometers.info/coronavirus/usa/tennessee/" xr:uid="{FF0D9654-AF33-4DCF-B27B-BF367CFC56C5}"/>
    <hyperlink ref="L16" r:id="rId29" display="https://covid19.healthdata.org/united-states-of-america/tennessee" xr:uid="{03A0FF5B-AFA2-47FE-B2FC-F91F8E953B77}"/>
    <hyperlink ref="A16" r:id="rId30" display="https://www.worldometers.info/coronavirus/usa/michigan/" xr:uid="{86973695-CB95-457E-8448-72E708496334}"/>
    <hyperlink ref="L17" r:id="rId31" display="https://covid19.healthdata.org/united-states-of-america/michigan" xr:uid="{30E0ED8D-DD08-46B7-9230-F43850D7CF82}"/>
    <hyperlink ref="A17" r:id="rId32" display="https://www.worldometers.info/coronavirus/usa/virginia/" xr:uid="{C626BFFD-1F40-466C-9723-3610053BE026}"/>
    <hyperlink ref="L18" r:id="rId33" display="https://covid19.healthdata.org/united-states-of-america/virginia" xr:uid="{BF72FAEB-BB7F-415E-B614-AA864C9A49AB}"/>
    <hyperlink ref="A18" r:id="rId34" display="https://www.worldometers.info/coronavirus/usa/maryland/" xr:uid="{C1DB144E-9BC8-4C95-B487-71311B12F0FD}"/>
    <hyperlink ref="K19" r:id="rId35" display="https://coronavirus.maryland.gov/" xr:uid="{DE5BC804-43F9-40CF-8DBF-EFE717369106}"/>
    <hyperlink ref="L19" r:id="rId36" display="https://covid19.healthdata.org/united-states-of-america/maryland" xr:uid="{3980FE84-E30B-4FFD-9926-42BD235926C1}"/>
    <hyperlink ref="A19" r:id="rId37" display="https://www.worldometers.info/coronavirus/usa/ohio/" xr:uid="{E03F532B-B4E5-4A69-9F18-D4085FEE50C1}"/>
    <hyperlink ref="L20" r:id="rId38" display="https://covid19.healthdata.org/united-states-of-america/ohio" xr:uid="{44CA2FD2-F584-4B57-B887-E0CA2B425B70}"/>
    <hyperlink ref="A20" r:id="rId39" display="https://www.worldometers.info/coronavirus/usa/south-carolina/" xr:uid="{2D1A049D-7626-4018-8AD3-E74ABE20C97F}"/>
    <hyperlink ref="L21" r:id="rId40" display="https://covid19.healthdata.org/united-states-of-america/south-carolina" xr:uid="{484CBB82-9B83-4417-9466-656DAC18608D}"/>
    <hyperlink ref="A21" r:id="rId41" display="https://www.worldometers.info/coronavirus/usa/alabama/" xr:uid="{C73D943D-C383-4777-82D5-67FA707548D2}"/>
    <hyperlink ref="K22" r:id="rId42" location="/6d2771faa9da4a2786a509d82c8cf0f7" display="https://alpublichealth.maps.arcgis.com/apps/opsdashboard/index.html - /6d2771faa9da4a2786a509d82c8cf0f7" xr:uid="{36DA56BD-9B40-4640-9474-90B974D1E650}"/>
    <hyperlink ref="L22" r:id="rId43" display="https://covid19.healthdata.org/united-states-of-america/alabama" xr:uid="{A729819D-A50A-482C-938B-F606C134C238}"/>
    <hyperlink ref="A22" r:id="rId44" display="https://www.worldometers.info/coronavirus/usa/indiana/" xr:uid="{34E49876-0446-4978-B9BA-EED7F4CE994C}"/>
    <hyperlink ref="L23" r:id="rId45" display="https://covid19.healthdata.org/united-states-of-america/indiana" xr:uid="{D09F7342-3AC8-4DFB-B378-05ED73C48354}"/>
    <hyperlink ref="A23" r:id="rId46" display="https://www.worldometers.info/coronavirus/usa/washington/" xr:uid="{111222D5-297B-420A-96D9-D0C23AEBDA3F}"/>
    <hyperlink ref="L24" r:id="rId47" display="https://covid19.healthdata.org/united-states-of-america/washington" xr:uid="{3985AE0B-AAC6-4517-B9C4-47EED290BF96}"/>
    <hyperlink ref="A24" r:id="rId48" display="https://www.worldometers.info/coronavirus/usa/mississippi/" xr:uid="{670FA438-19F0-4349-ADAB-1BF109895F63}"/>
    <hyperlink ref="L25" r:id="rId49" display="https://covid19.healthdata.org/united-states-of-america/mississippi" xr:uid="{7E82FA0C-948D-40F5-939A-EB53019806C7}"/>
    <hyperlink ref="A25" r:id="rId50" display="https://www.worldometers.info/coronavirus/usa/minnesota/" xr:uid="{C0785D37-0BEA-4538-BFD2-5A73EF781E60}"/>
    <hyperlink ref="L26" r:id="rId51" display="https://covid19.healthdata.org/united-states-of-america/minnesota" xr:uid="{2C4A881B-AEC1-4899-BA52-2CB03698F9AA}"/>
    <hyperlink ref="A26" r:id="rId52" display="https://www.worldometers.info/coronavirus/usa/connecticut/" xr:uid="{90511018-0899-4A4B-AF3F-88AA4D13F6A9}"/>
    <hyperlink ref="L27" r:id="rId53" display="https://covid19.healthdata.org/united-states-of-america/connecticut" xr:uid="{EDC82B83-9C7C-4F65-849A-14AFDA10E0AB}"/>
    <hyperlink ref="A27" r:id="rId54" display="https://www.worldometers.info/coronavirus/usa/wisconsin/" xr:uid="{498AEAF3-BD58-4CD7-8EF5-F71CC5A08D44}"/>
    <hyperlink ref="L28" r:id="rId55" display="https://covid19.healthdata.org/united-states-of-america/wisconsin" xr:uid="{0F4CE464-CF16-4B0F-90FE-B9E9A764AEBF}"/>
    <hyperlink ref="A28" r:id="rId56" display="https://www.worldometers.info/coronavirus/usa/colorado/" xr:uid="{024B3B0C-2182-4843-AB4D-649048DAD350}"/>
    <hyperlink ref="K29" r:id="rId57" display="https://covid19.colorado.gov/case-data" xr:uid="{E6FE17CE-06DD-4CEB-A8D4-49E7AF0CB666}"/>
    <hyperlink ref="L29" r:id="rId58" display="https://covid19.healthdata.org/united-states-of-america/colorado" xr:uid="{217C6500-84AE-4599-8CF4-8A9B4B572FBB}"/>
    <hyperlink ref="A29" r:id="rId59" display="https://www.worldometers.info/coronavirus/usa/missouri/" xr:uid="{B580837C-87BA-4EEA-94E4-823A48F2B258}"/>
    <hyperlink ref="L30" r:id="rId60" display="https://covid19.healthdata.org/united-states-of-america/missouri" xr:uid="{15FC33AB-2CFF-4BEB-BE73-9EE047B5352F}"/>
    <hyperlink ref="A30" r:id="rId61" display="https://www.worldometers.info/coronavirus/usa/iowa/" xr:uid="{5608B410-16CC-4FF1-BD06-28CA29DD72D1}"/>
    <hyperlink ref="L31" r:id="rId62" display="https://covid19.healthdata.org/united-states-of-america/iowa" xr:uid="{96DFED5F-4D8B-4503-8D0C-C2B3794DFF3F}"/>
    <hyperlink ref="A31" r:id="rId63" display="https://www.worldometers.info/coronavirus/usa/nevada/" xr:uid="{6B10626C-CB43-49A3-80BD-5BB4F96232D6}"/>
    <hyperlink ref="L32" r:id="rId64" display="https://covid19.healthdata.org/united-states-of-america/nevada" xr:uid="{52694A7D-E0BE-49FC-811A-163DD4CBCCFA}"/>
    <hyperlink ref="A32" r:id="rId65" display="https://www.worldometers.info/coronavirus/usa/arkansas/" xr:uid="{EF4EE261-1EC5-4A3B-81C6-14C913921DFC}"/>
    <hyperlink ref="L33" r:id="rId66" display="https://covid19.healthdata.org/united-states-of-america/arkansas" xr:uid="{2A7EA63C-91BB-4697-B14A-81D2F1FCF207}"/>
    <hyperlink ref="A33" r:id="rId67" display="https://www.worldometers.info/coronavirus/usa/utah/" xr:uid="{B20C6B41-9A76-4C73-B54C-357BD9726D63}"/>
    <hyperlink ref="K34" r:id="rId68" display="https://coronavirus.utah.gov/case-counts/" xr:uid="{F8CC35D3-562D-40DA-AD46-B5DC85995C5C}"/>
    <hyperlink ref="L34" r:id="rId69" display="https://covid19.healthdata.org/united-states-of-america/utah" xr:uid="{DCE909ED-2B26-4F13-8A39-366431FFE003}"/>
    <hyperlink ref="A34" r:id="rId70" display="https://www.worldometers.info/coronavirus/usa/oklahoma/" xr:uid="{87915120-F06C-4448-BE54-26783E64E779}"/>
    <hyperlink ref="L35" r:id="rId71" display="https://covid19.healthdata.org/united-states-of-america/oklahoma" xr:uid="{594B7E00-C909-4F56-B3AD-78936A9E4195}"/>
    <hyperlink ref="A35" r:id="rId72" display="https://www.worldometers.info/coronavirus/usa/kentucky/" xr:uid="{14880A57-07BA-4706-8003-E1F87631375B}"/>
    <hyperlink ref="L36" r:id="rId73" display="https://covid19.healthdata.org/united-states-of-america/kentucky" xr:uid="{92330063-584A-4744-9A08-17D854144006}"/>
    <hyperlink ref="A36" r:id="rId74" display="https://www.worldometers.info/coronavirus/usa/kansas/" xr:uid="{539D9809-0AC3-4F7E-A4EB-6D70D5ECD3E0}"/>
    <hyperlink ref="L37" r:id="rId75" display="https://covid19.healthdata.org/united-states-of-america/kansas" xr:uid="{3014A997-7054-4A09-9BDE-C895A02AA6CC}"/>
    <hyperlink ref="A37" r:id="rId76" display="https://www.worldometers.info/coronavirus/usa/nebraska/" xr:uid="{E50E174B-5EAB-42CB-96ED-823C4A518D59}"/>
    <hyperlink ref="L38" r:id="rId77" display="https://covid19.healthdata.org/united-states-of-america/nebraska" xr:uid="{D489FFEE-E515-43B2-8BE0-380A1012228A}"/>
    <hyperlink ref="A38" r:id="rId78" display="https://www.worldometers.info/coronavirus/usa/new-mexico/" xr:uid="{26A06E56-0DE9-413F-9183-EB69450916B5}"/>
    <hyperlink ref="L39" r:id="rId79" display="https://covid19.healthdata.org/united-states-of-america/new-mexico" xr:uid="{0877B19C-B736-45A1-A843-2559CF2E1C59}"/>
    <hyperlink ref="A39" r:id="rId80" display="https://www.worldometers.info/coronavirus/usa/rhode-island/" xr:uid="{C3041552-CA80-48D9-B9F5-0D2F0A9844B3}"/>
    <hyperlink ref="K40" r:id="rId81" location="gid=264100583" display="https://docs.google.com/spreadsheets/d/1c2QrNMz8pIbYEKzMJL7Uh2dtThOJa2j1sSMwiDo5Gz4/edit - gid=264100583" xr:uid="{B267F955-6BB4-49BF-9AC1-3CF983709C9A}"/>
    <hyperlink ref="L40" r:id="rId82" display="https://covid19.healthdata.org/united-states-of-america/rhode-island" xr:uid="{F288B5F1-24D1-4B76-8550-BB30237FEF00}"/>
    <hyperlink ref="A40" r:id="rId83" display="https://www.worldometers.info/coronavirus/usa/idaho/" xr:uid="{52CEFBBD-81BF-478D-B4C4-5033ECE67BB9}"/>
    <hyperlink ref="L41" r:id="rId84" display="https://covid19.healthdata.org/united-states-of-america/idaho" xr:uid="{7B6E2908-C190-4DD2-A491-70516BC482B0}"/>
    <hyperlink ref="A41" r:id="rId85" display="https://www.worldometers.info/coronavirus/usa/oregon/" xr:uid="{BA2FA9AE-349D-40A8-BAE5-ECCBCD853E4A}"/>
    <hyperlink ref="L42" r:id="rId86" display="https://covid19.healthdata.org/united-states-of-america/oregon" xr:uid="{CB170843-DCE4-4BC8-9F6E-6703B1D91D0A}"/>
    <hyperlink ref="A42" r:id="rId87" display="https://www.worldometers.info/coronavirus/usa/delaware/" xr:uid="{7E09CF90-306F-4AE0-9606-58BDBB53E310}"/>
    <hyperlink ref="K43" r:id="rId88" display="https://coronavirus.delaware.gov/" xr:uid="{99F6BEE0-9EFD-4480-8769-ADC6E18F4C89}"/>
    <hyperlink ref="L43" r:id="rId89" display="https://covid19.healthdata.org/united-states-of-america/delaware" xr:uid="{272F7488-08E2-417E-9122-57F58389FD41}"/>
    <hyperlink ref="A43" r:id="rId90" display="https://www.worldometers.info/coronavirus/usa/district-of-columbia/" xr:uid="{34F80DD4-F9AE-4F36-B688-7B3925164667}"/>
    <hyperlink ref="K44" r:id="rId91" display="https://coronavirus.dc.gov/page/coronavirus-data" xr:uid="{708D5CBC-0A64-4B18-8037-580E97D67509}"/>
    <hyperlink ref="L44" r:id="rId92" display="https://covid19.healthdata.org/united-states-of-america/district-of-columbia" xr:uid="{BD493EC8-A146-4850-AD90-267A8DBB35BD}"/>
    <hyperlink ref="A44" r:id="rId93" display="https://www.worldometers.info/coronavirus/usa/south-dakota/" xr:uid="{AF87D35C-BB32-44BD-8F86-BCFA0DBED463}"/>
    <hyperlink ref="K45" r:id="rId94" display="https://doh.sd.gov/news/Coronavirus.aspx" xr:uid="{94013ED8-7E5F-4D5A-B47C-4BA08FDD730E}"/>
    <hyperlink ref="L45" r:id="rId95" display="https://covid19.healthdata.org/united-states-of-america/south-dakota" xr:uid="{0CA120D9-54D2-445E-AB5F-5E7AF9C337F2}"/>
    <hyperlink ref="A45" r:id="rId96" display="https://www.worldometers.info/coronavirus/usa/new-hampshire/" xr:uid="{7CBB05BF-2AC6-4527-A5B4-97EBB4D358D4}"/>
    <hyperlink ref="K46" r:id="rId97" display="https://www.nh.gov/covid19/" xr:uid="{B5F22389-48EE-4FAD-B290-E40626E8BC27}"/>
    <hyperlink ref="L46" r:id="rId98" display="https://covid19.healthdata.org/united-states-of-america/new-hampshire" xr:uid="{583A6246-E5BD-4328-A1DA-0B2B004E4A1B}"/>
    <hyperlink ref="A46" r:id="rId99" display="https://www.worldometers.info/coronavirus/usa/west-virginia/" xr:uid="{E065660E-67AA-432B-B21C-079F629CEAAD}"/>
    <hyperlink ref="K47" r:id="rId100" display="https://dhhr.wv.gov/COVID-19/Pages/default.aspx" xr:uid="{A286AD01-9238-4767-BDA3-55C9975E5547}"/>
    <hyperlink ref="L47" r:id="rId101" display="https://covid19.healthdata.org/united-states-of-america/west-virginia" xr:uid="{37074FB4-7B75-4C17-8763-4907C89D0D15}"/>
    <hyperlink ref="A47" r:id="rId102" display="https://www.worldometers.info/coronavirus/usa/north-dakota/" xr:uid="{726311BF-6670-4A26-AA02-3328533B1DF3}"/>
    <hyperlink ref="L48" r:id="rId103" display="https://covid19.healthdata.org/united-states-of-america/north-dakota" xr:uid="{9F42D582-58D0-481A-8121-477A52F701D7}"/>
    <hyperlink ref="A48" r:id="rId104" display="https://www.worldometers.info/coronavirus/usa/maine/" xr:uid="{3973D625-3CD9-44C1-BD39-4E37EE369615}"/>
    <hyperlink ref="L49" r:id="rId105" display="https://covid19.healthdata.org/united-states-of-america/maine" xr:uid="{BFEFE7CB-F853-447E-9680-AAEB654B7166}"/>
    <hyperlink ref="A49" r:id="rId106" display="https://www.worldometers.info/coronavirus/usa/montana/" xr:uid="{0BA4A6C4-7121-40E3-B4E7-F7BBA17DBCFF}"/>
    <hyperlink ref="L50" r:id="rId107" display="https://covid19.healthdata.org/united-states-of-america/montana" xr:uid="{D702FABD-A24C-47EF-81DD-AB308BA49245}"/>
    <hyperlink ref="A50" r:id="rId108" display="https://www.worldometers.info/coronavirus/usa/wyoming/" xr:uid="{C8FADDF0-55F3-414A-B573-F6B0C9E354C3}"/>
    <hyperlink ref="L51" r:id="rId109" display="https://covid19.healthdata.org/united-states-of-america/wyoming" xr:uid="{86AE2A9E-9450-4E3C-8EC8-9426295F0E56}"/>
    <hyperlink ref="A51" r:id="rId110" display="https://www.worldometers.info/coronavirus/usa/alaska/" xr:uid="{E5AF5029-47FC-4961-AD63-70216B8E0120}"/>
    <hyperlink ref="K52" r:id="rId111" display="http://dhss.alaska.gov/dph/Epi/id/Pages/COVID-19/monitoring.aspx" xr:uid="{7671DF57-3171-433C-89B4-C402712021BC}"/>
    <hyperlink ref="L52" r:id="rId112" display="https://covid19.healthdata.org/united-states-of-america/alaska" xr:uid="{5A3625FB-3794-4079-AC40-D2DEC549CF73}"/>
    <hyperlink ref="A52" r:id="rId113" display="https://www.worldometers.info/coronavirus/usa/hawaii/" xr:uid="{354A0638-E3F2-4950-87F3-FE8DD46B9DC8}"/>
    <hyperlink ref="L53" r:id="rId114" display="https://covid19.healthdata.org/united-states-of-america/hawaii" xr:uid="{3B2F17AD-5AB8-4544-916A-CD8E3D018D03}"/>
    <hyperlink ref="A53" r:id="rId115" display="https://www.worldometers.info/coronavirus/usa/vermont/" xr:uid="{30C45BB7-F76B-4AE5-A3CB-B2B24FE05D9B}"/>
    <hyperlink ref="K54" r:id="rId116" display="https://www.healthvermont.gov/response/coronavirus-covid-19/current-activity-vermont" xr:uid="{50FE9101-758E-4D3C-9B18-3CC17E0A937F}"/>
    <hyperlink ref="L54" r:id="rId117" display="https://covid19.healthdata.org/united-states-of-america/vermont" xr:uid="{060798AB-9C91-4045-B4BE-9F44CF660093}"/>
    <hyperlink ref="K55" r:id="rId118" display="http://dphss.guam.gov/covid-19/" xr:uid="{7A4525E6-AB1E-465E-96DE-1716B1698883}"/>
    <hyperlink ref="K58" r:id="rId119" display="https://www.covid19usvi.com/" xr:uid="{45C8DED3-B004-495E-BC11-418589783940}"/>
    <hyperlink ref="K61" r:id="rId120" display="https://www.bop.gov/coronavirus/" xr:uid="{DC8CC696-693E-4AFA-9313-8604BB707CE0}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1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203"/>
  <sheetViews>
    <sheetView topLeftCell="A110" zoomScaleNormal="100" workbookViewId="0">
      <selection activeCell="N130" sqref="N130"/>
    </sheetView>
  </sheetViews>
  <sheetFormatPr defaultColWidth="8.7109375" defaultRowHeight="15" x14ac:dyDescent="0.25"/>
  <cols>
    <col min="3" max="3" width="10.28515625" bestFit="1" customWidth="1"/>
    <col min="4" max="4" width="11.85546875" bestFit="1" customWidth="1"/>
    <col min="5" max="5" width="16.5703125" bestFit="1" customWidth="1"/>
    <col min="6" max="6" width="12.42578125" bestFit="1" customWidth="1"/>
    <col min="7" max="7" width="8.85546875" bestFit="1" customWidth="1"/>
    <col min="8" max="8" width="10" bestFit="1" customWidth="1"/>
    <col min="9" max="9" width="4" bestFit="1" customWidth="1"/>
    <col min="10" max="10" width="9.28515625" bestFit="1" customWidth="1"/>
    <col min="11" max="11" width="12.140625" bestFit="1" customWidth="1"/>
    <col min="12" max="12" width="12.5703125" bestFit="1" customWidth="1"/>
    <col min="13" max="13" width="13.140625" bestFit="1" customWidth="1"/>
    <col min="14" max="14" width="9.28515625" customWidth="1"/>
    <col min="15" max="15" width="13.28515625" customWidth="1"/>
    <col min="16" max="16" width="12.42578125" customWidth="1"/>
    <col min="17" max="17" width="13.140625" customWidth="1"/>
  </cols>
  <sheetData>
    <row r="1" spans="2:7" x14ac:dyDescent="0.25">
      <c r="B1" t="s">
        <v>300</v>
      </c>
      <c r="C1" t="s">
        <v>4</v>
      </c>
      <c r="D1" t="s">
        <v>2</v>
      </c>
      <c r="E1" t="s">
        <v>301</v>
      </c>
      <c r="F1" t="s">
        <v>302</v>
      </c>
    </row>
    <row r="2" spans="2:7" x14ac:dyDescent="0.25">
      <c r="B2" t="s">
        <v>303</v>
      </c>
      <c r="C2">
        <v>58</v>
      </c>
      <c r="D2" s="34">
        <f>2773</f>
        <v>2773</v>
      </c>
    </row>
    <row r="3" spans="2:7" x14ac:dyDescent="0.25">
      <c r="B3" s="35">
        <v>43905</v>
      </c>
      <c r="C3">
        <v>15</v>
      </c>
      <c r="D3" s="34">
        <v>848</v>
      </c>
      <c r="F3" t="s">
        <v>304</v>
      </c>
      <c r="G3" t="s">
        <v>305</v>
      </c>
    </row>
    <row r="4" spans="2:7" x14ac:dyDescent="0.25">
      <c r="B4" s="35">
        <v>43906</v>
      </c>
      <c r="C4">
        <v>22</v>
      </c>
      <c r="D4" s="34">
        <v>989</v>
      </c>
      <c r="E4" t="s">
        <v>307</v>
      </c>
      <c r="F4" s="36">
        <v>16682</v>
      </c>
      <c r="G4" s="36">
        <v>-12683</v>
      </c>
    </row>
    <row r="5" spans="2:7" x14ac:dyDescent="0.25">
      <c r="B5" s="35">
        <v>43907</v>
      </c>
      <c r="C5">
        <v>26</v>
      </c>
      <c r="D5" s="34">
        <v>1755</v>
      </c>
      <c r="E5" t="s">
        <v>313</v>
      </c>
      <c r="F5" s="36">
        <v>15321</v>
      </c>
      <c r="G5" s="36">
        <v>-14141</v>
      </c>
    </row>
    <row r="6" spans="2:7" x14ac:dyDescent="0.25">
      <c r="B6" s="35">
        <v>43908</v>
      </c>
      <c r="C6">
        <v>50</v>
      </c>
      <c r="D6" s="34">
        <v>2967</v>
      </c>
      <c r="E6" t="s">
        <v>314</v>
      </c>
      <c r="F6">
        <f>F4-F5</f>
        <v>1361</v>
      </c>
      <c r="G6">
        <f>G4-G5</f>
        <v>1458</v>
      </c>
    </row>
    <row r="7" spans="2:7" x14ac:dyDescent="0.25">
      <c r="B7" s="35">
        <v>43909</v>
      </c>
      <c r="C7">
        <v>69</v>
      </c>
      <c r="D7" s="34">
        <v>4602</v>
      </c>
      <c r="E7" t="s">
        <v>315</v>
      </c>
      <c r="F7">
        <f>291557</f>
        <v>291557</v>
      </c>
      <c r="G7">
        <f>140414+74524</f>
        <v>214938</v>
      </c>
    </row>
    <row r="8" spans="2:7" x14ac:dyDescent="0.25">
      <c r="B8" s="35">
        <v>43910</v>
      </c>
      <c r="C8">
        <v>70</v>
      </c>
      <c r="D8" s="34">
        <v>5673</v>
      </c>
      <c r="E8" t="s">
        <v>316</v>
      </c>
      <c r="F8" s="40">
        <f>F7/F6</f>
        <v>214.2226304188097</v>
      </c>
      <c r="G8" s="40">
        <f>G7/G6</f>
        <v>147.41975308641975</v>
      </c>
    </row>
    <row r="9" spans="2:7" x14ac:dyDescent="0.25">
      <c r="B9" s="35">
        <v>43911</v>
      </c>
      <c r="C9">
        <v>66</v>
      </c>
      <c r="D9" s="34">
        <v>4890</v>
      </c>
      <c r="E9" t="s">
        <v>317</v>
      </c>
      <c r="F9">
        <f>F7+113842</f>
        <v>405399</v>
      </c>
      <c r="G9">
        <f>G7+224097+59297</f>
        <v>498332</v>
      </c>
    </row>
    <row r="10" spans="2:7" x14ac:dyDescent="0.25">
      <c r="B10" s="35">
        <v>43912</v>
      </c>
      <c r="C10">
        <v>136</v>
      </c>
      <c r="D10" s="34">
        <v>9448</v>
      </c>
      <c r="E10" t="s">
        <v>318</v>
      </c>
      <c r="F10" s="40">
        <f>F9/F6</f>
        <v>297.86847905951504</v>
      </c>
      <c r="G10" s="40">
        <f>G9/G6</f>
        <v>341.79149519890262</v>
      </c>
    </row>
    <row r="11" spans="2:7" x14ac:dyDescent="0.25">
      <c r="B11" s="35">
        <v>43913</v>
      </c>
      <c r="C11">
        <v>181</v>
      </c>
      <c r="D11" s="34">
        <v>10379</v>
      </c>
      <c r="E11" s="34"/>
    </row>
    <row r="12" spans="2:7" x14ac:dyDescent="0.25">
      <c r="B12" s="35">
        <v>43914</v>
      </c>
      <c r="C12">
        <v>270</v>
      </c>
      <c r="D12" s="34">
        <v>11254</v>
      </c>
      <c r="E12" s="34"/>
    </row>
    <row r="13" spans="2:7" x14ac:dyDescent="0.25">
      <c r="B13" s="35">
        <v>43915</v>
      </c>
      <c r="C13">
        <v>307</v>
      </c>
      <c r="D13" s="34">
        <v>13557</v>
      </c>
      <c r="E13" s="34"/>
    </row>
    <row r="14" spans="2:7" x14ac:dyDescent="0.25">
      <c r="B14" s="35">
        <v>43916</v>
      </c>
      <c r="C14">
        <v>358</v>
      </c>
      <c r="D14" s="34">
        <v>17532</v>
      </c>
      <c r="E14" s="34"/>
      <c r="F14">
        <f t="shared" ref="F14:F45" si="0">D14/AVERAGE(D8:D14)</f>
        <v>1.6873221233827838</v>
      </c>
    </row>
    <row r="15" spans="2:7" x14ac:dyDescent="0.25">
      <c r="B15" s="35">
        <v>43917</v>
      </c>
      <c r="C15">
        <v>501</v>
      </c>
      <c r="D15" s="34">
        <v>18916</v>
      </c>
      <c r="E15" s="34">
        <f t="shared" ref="E15:E46" si="1">C16/D2</f>
        <v>0.23440317345834835</v>
      </c>
      <c r="F15">
        <f t="shared" si="0"/>
        <v>1.5401042151298037</v>
      </c>
    </row>
    <row r="16" spans="2:7" x14ac:dyDescent="0.25">
      <c r="B16" s="35">
        <v>43918</v>
      </c>
      <c r="C16">
        <v>650</v>
      </c>
      <c r="D16" s="34">
        <v>19666</v>
      </c>
      <c r="E16" s="34">
        <f t="shared" si="1"/>
        <v>0.59080188679245282</v>
      </c>
      <c r="F16">
        <f t="shared" si="0"/>
        <v>1.3663450849610925</v>
      </c>
    </row>
    <row r="17" spans="2:6" x14ac:dyDescent="0.25">
      <c r="B17" s="35">
        <v>43919</v>
      </c>
      <c r="C17">
        <v>501</v>
      </c>
      <c r="D17" s="34">
        <v>20276</v>
      </c>
      <c r="E17" s="34">
        <f t="shared" si="1"/>
        <v>0.83114256825075838</v>
      </c>
      <c r="F17">
        <f t="shared" si="0"/>
        <v>1.2720200752823088</v>
      </c>
    </row>
    <row r="18" spans="2:6" x14ac:dyDescent="0.25">
      <c r="B18" s="35">
        <v>43920</v>
      </c>
      <c r="C18">
        <v>822</v>
      </c>
      <c r="D18" s="34">
        <v>23296</v>
      </c>
      <c r="E18" s="34">
        <f t="shared" si="1"/>
        <v>0.62621082621082624</v>
      </c>
      <c r="F18">
        <f t="shared" si="0"/>
        <v>1.3098468236182399</v>
      </c>
    </row>
    <row r="19" spans="2:6" x14ac:dyDescent="0.25">
      <c r="B19" s="35">
        <v>43921</v>
      </c>
      <c r="C19">
        <v>1099</v>
      </c>
      <c r="D19" s="34">
        <v>25292</v>
      </c>
      <c r="E19" s="34">
        <f t="shared" si="1"/>
        <v>0.42433434445567914</v>
      </c>
      <c r="F19">
        <f t="shared" si="0"/>
        <v>1.2779730753961092</v>
      </c>
    </row>
    <row r="20" spans="2:6" x14ac:dyDescent="0.25">
      <c r="B20" s="35">
        <v>43922</v>
      </c>
      <c r="C20">
        <v>1259</v>
      </c>
      <c r="D20" s="34">
        <v>27111</v>
      </c>
      <c r="E20" s="34">
        <f t="shared" si="1"/>
        <v>0.26314645806171227</v>
      </c>
      <c r="F20">
        <f t="shared" si="0"/>
        <v>1.2478022736687071</v>
      </c>
    </row>
    <row r="21" spans="2:6" x14ac:dyDescent="0.25">
      <c r="B21" s="35">
        <v>43923</v>
      </c>
      <c r="C21">
        <v>1211</v>
      </c>
      <c r="D21" s="34">
        <v>30571</v>
      </c>
      <c r="E21" s="34">
        <f t="shared" si="1"/>
        <v>0.22598272518949408</v>
      </c>
      <c r="F21">
        <f t="shared" si="0"/>
        <v>1.2959461750884163</v>
      </c>
    </row>
    <row r="22" spans="2:6" x14ac:dyDescent="0.25">
      <c r="B22" s="35">
        <v>43924</v>
      </c>
      <c r="C22">
        <v>1282</v>
      </c>
      <c r="D22" s="34">
        <v>32963</v>
      </c>
      <c r="E22" s="34">
        <f t="shared" si="1"/>
        <v>0.32249488752556238</v>
      </c>
      <c r="F22">
        <f t="shared" si="0"/>
        <v>1.287796846658295</v>
      </c>
    </row>
    <row r="23" spans="2:6" x14ac:dyDescent="0.25">
      <c r="B23" s="35">
        <v>43925</v>
      </c>
      <c r="C23">
        <v>1577</v>
      </c>
      <c r="D23" s="34">
        <v>34685</v>
      </c>
      <c r="E23" s="34">
        <f t="shared" si="1"/>
        <v>0.15061388653683319</v>
      </c>
      <c r="F23">
        <f t="shared" si="0"/>
        <v>1.2502703482084925</v>
      </c>
    </row>
    <row r="24" spans="2:6" x14ac:dyDescent="0.25">
      <c r="B24" s="35">
        <v>43926</v>
      </c>
      <c r="C24" s="40">
        <v>1423</v>
      </c>
      <c r="D24" s="34">
        <v>25901</v>
      </c>
      <c r="E24" s="34">
        <f t="shared" si="1"/>
        <v>0.14673860680219675</v>
      </c>
      <c r="F24">
        <f t="shared" si="0"/>
        <v>0.90735615732237673</v>
      </c>
    </row>
    <row r="25" spans="2:6" x14ac:dyDescent="0.25">
      <c r="B25" s="35">
        <v>43927</v>
      </c>
      <c r="C25" s="40">
        <v>1523</v>
      </c>
      <c r="D25" s="34">
        <v>31750</v>
      </c>
      <c r="E25" s="34">
        <f t="shared" si="1"/>
        <v>0.20143948818197974</v>
      </c>
      <c r="F25">
        <f t="shared" si="0"/>
        <v>1.0671090347764713</v>
      </c>
    </row>
    <row r="26" spans="2:6" x14ac:dyDescent="0.25">
      <c r="B26" s="35">
        <v>43928</v>
      </c>
      <c r="C26" s="40">
        <v>2267</v>
      </c>
      <c r="D26" s="34">
        <v>34071</v>
      </c>
      <c r="E26" s="34">
        <f t="shared" si="1"/>
        <v>0.16301541639005679</v>
      </c>
      <c r="F26">
        <f t="shared" si="0"/>
        <v>1.098801208926893</v>
      </c>
    </row>
    <row r="27" spans="2:6" x14ac:dyDescent="0.25">
      <c r="B27" s="35">
        <v>43929</v>
      </c>
      <c r="C27" s="40">
        <v>2210</v>
      </c>
      <c r="D27" s="34">
        <v>32514</v>
      </c>
      <c r="E27" s="34">
        <f t="shared" si="1"/>
        <v>0.12240474560803102</v>
      </c>
      <c r="F27">
        <f t="shared" si="0"/>
        <v>1.0231192825515274</v>
      </c>
    </row>
    <row r="28" spans="2:6" x14ac:dyDescent="0.25">
      <c r="B28" s="35">
        <v>43930</v>
      </c>
      <c r="C28" s="40">
        <v>2146</v>
      </c>
      <c r="D28" s="34">
        <v>34086</v>
      </c>
      <c r="E28" s="34">
        <f t="shared" si="1"/>
        <v>0.12053288221611334</v>
      </c>
      <c r="F28">
        <f t="shared" si="0"/>
        <v>1.0559012258264371</v>
      </c>
    </row>
    <row r="29" spans="2:6" x14ac:dyDescent="0.25">
      <c r="B29" s="35">
        <v>43931</v>
      </c>
      <c r="C29" s="40">
        <v>2280</v>
      </c>
      <c r="D29" s="41">
        <v>34244</v>
      </c>
      <c r="E29" s="34">
        <f t="shared" si="1"/>
        <v>0.10505440862402116</v>
      </c>
      <c r="F29">
        <f t="shared" si="0"/>
        <v>1.0548160404134634</v>
      </c>
    </row>
    <row r="30" spans="2:6" x14ac:dyDescent="0.25">
      <c r="B30" s="35">
        <v>43932</v>
      </c>
      <c r="C30" s="40">
        <v>2066</v>
      </c>
      <c r="D30" s="40">
        <v>30488</v>
      </c>
      <c r="E30" s="34">
        <f t="shared" si="1"/>
        <v>8.6604853028210693E-2</v>
      </c>
      <c r="F30">
        <f t="shared" si="0"/>
        <v>0.95679073228904221</v>
      </c>
    </row>
    <row r="31" spans="2:6" x14ac:dyDescent="0.25">
      <c r="B31" s="35">
        <v>43933</v>
      </c>
      <c r="C31" s="40">
        <v>1756</v>
      </c>
      <c r="D31" s="40">
        <v>27860</v>
      </c>
      <c r="E31" s="34">
        <f t="shared" si="1"/>
        <v>7.4948489010989008E-2</v>
      </c>
      <c r="F31">
        <f t="shared" si="0"/>
        <v>0.86670547923897734</v>
      </c>
    </row>
    <row r="32" spans="2:6" x14ac:dyDescent="0.25">
      <c r="B32" s="35">
        <v>43934</v>
      </c>
      <c r="C32" s="40">
        <v>1746</v>
      </c>
      <c r="D32" s="40">
        <v>27094</v>
      </c>
      <c r="E32" s="34">
        <f t="shared" si="1"/>
        <v>0.10382729716906532</v>
      </c>
      <c r="F32">
        <f t="shared" si="0"/>
        <v>0.8606851608979974</v>
      </c>
    </row>
    <row r="33" spans="2:6" x14ac:dyDescent="0.25">
      <c r="B33" s="35">
        <v>43935</v>
      </c>
      <c r="C33" s="40">
        <v>2626</v>
      </c>
      <c r="D33" s="40">
        <v>27441</v>
      </c>
      <c r="E33" s="34">
        <f t="shared" si="1"/>
        <v>9.9221718121795588E-2</v>
      </c>
      <c r="F33">
        <f t="shared" si="0"/>
        <v>0.89874933911017318</v>
      </c>
    </row>
    <row r="34" spans="2:6" x14ac:dyDescent="0.25">
      <c r="B34" s="35">
        <v>43936</v>
      </c>
      <c r="C34" s="40">
        <v>2690</v>
      </c>
      <c r="D34" s="40">
        <v>30676</v>
      </c>
      <c r="E34" s="34">
        <f t="shared" si="1"/>
        <v>7.3730005560825623E-2</v>
      </c>
      <c r="F34">
        <f t="shared" si="0"/>
        <v>1.013417402507917</v>
      </c>
    </row>
    <row r="35" spans="2:6" x14ac:dyDescent="0.25">
      <c r="B35" s="35">
        <v>43937</v>
      </c>
      <c r="C35" s="40">
        <v>2254</v>
      </c>
      <c r="D35" s="40">
        <v>30143</v>
      </c>
      <c r="E35" s="34">
        <f t="shared" si="1"/>
        <v>7.8754967691047534E-2</v>
      </c>
      <c r="F35">
        <f t="shared" si="0"/>
        <v>1.0146913140911584</v>
      </c>
    </row>
    <row r="36" spans="2:6" x14ac:dyDescent="0.25">
      <c r="B36" s="35">
        <v>43938</v>
      </c>
      <c r="C36" s="40">
        <v>2596</v>
      </c>
      <c r="D36" s="40">
        <v>32496</v>
      </c>
      <c r="E36" s="34">
        <f t="shared" si="1"/>
        <v>5.5384171832204121E-2</v>
      </c>
      <c r="F36">
        <f t="shared" si="0"/>
        <v>1.1031726786874752</v>
      </c>
    </row>
    <row r="37" spans="2:6" x14ac:dyDescent="0.25">
      <c r="B37" s="35">
        <v>43939</v>
      </c>
      <c r="C37" s="40">
        <v>1921</v>
      </c>
      <c r="D37" s="40">
        <v>29193</v>
      </c>
      <c r="E37" s="34">
        <f t="shared" si="1"/>
        <v>6.1542025404424543E-2</v>
      </c>
      <c r="F37">
        <f t="shared" si="0"/>
        <v>0.99730604237126841</v>
      </c>
    </row>
    <row r="38" spans="2:6" x14ac:dyDescent="0.25">
      <c r="B38" s="35">
        <v>43940</v>
      </c>
      <c r="C38" s="40">
        <v>1594</v>
      </c>
      <c r="D38" s="40">
        <v>26197</v>
      </c>
      <c r="E38" s="34">
        <f t="shared" si="1"/>
        <v>6.2393700787401578E-2</v>
      </c>
      <c r="F38">
        <f t="shared" si="0"/>
        <v>0.90227809486321597</v>
      </c>
    </row>
    <row r="39" spans="2:6" x14ac:dyDescent="0.25">
      <c r="B39" s="35">
        <v>43941</v>
      </c>
      <c r="C39" s="40">
        <v>1981</v>
      </c>
      <c r="D39" s="40">
        <v>28222</v>
      </c>
      <c r="E39" s="34">
        <f t="shared" si="1"/>
        <v>8.0684453053916819E-2</v>
      </c>
      <c r="F39">
        <f t="shared" si="0"/>
        <v>0.96665818523447899</v>
      </c>
    </row>
    <row r="40" spans="2:6" x14ac:dyDescent="0.25">
      <c r="B40" s="35">
        <v>43942</v>
      </c>
      <c r="C40" s="40">
        <v>2749</v>
      </c>
      <c r="D40" s="40">
        <v>26238</v>
      </c>
      <c r="E40" s="34">
        <f t="shared" si="1"/>
        <v>7.4091160730762134E-2</v>
      </c>
      <c r="F40">
        <f t="shared" si="0"/>
        <v>0.90402382300100903</v>
      </c>
    </row>
    <row r="41" spans="2:6" x14ac:dyDescent="0.25">
      <c r="B41" s="35">
        <v>43943</v>
      </c>
      <c r="C41" s="40">
        <v>2409</v>
      </c>
      <c r="D41" s="40">
        <v>30305</v>
      </c>
      <c r="E41" s="34">
        <f t="shared" si="1"/>
        <v>7.0468814175908001E-2</v>
      </c>
      <c r="F41">
        <f t="shared" si="0"/>
        <v>1.0460615205578074</v>
      </c>
    </row>
    <row r="42" spans="2:6" x14ac:dyDescent="0.25">
      <c r="B42" s="35">
        <v>43944</v>
      </c>
      <c r="C42" s="40">
        <v>2402</v>
      </c>
      <c r="D42" s="40">
        <v>32073</v>
      </c>
      <c r="E42" s="34">
        <f t="shared" si="1"/>
        <v>5.8170774442238053E-2</v>
      </c>
      <c r="F42">
        <f t="shared" si="0"/>
        <v>1.0966520779195406</v>
      </c>
    </row>
    <row r="43" spans="2:6" x14ac:dyDescent="0.25">
      <c r="B43" s="35">
        <v>43945</v>
      </c>
      <c r="C43" s="40">
        <v>1992</v>
      </c>
      <c r="D43" s="40">
        <v>39123</v>
      </c>
      <c r="E43" s="34">
        <f t="shared" si="1"/>
        <v>6.9207557071634743E-2</v>
      </c>
      <c r="F43">
        <f t="shared" si="0"/>
        <v>1.2957639187891232</v>
      </c>
    </row>
    <row r="44" spans="2:6" x14ac:dyDescent="0.25">
      <c r="B44" s="35">
        <v>43946</v>
      </c>
      <c r="C44" s="40">
        <v>2110</v>
      </c>
      <c r="D44" s="40">
        <v>35523</v>
      </c>
      <c r="E44" s="34">
        <f t="shared" si="1"/>
        <v>4.1995692749461591E-2</v>
      </c>
      <c r="F44">
        <f t="shared" si="0"/>
        <v>1.1423183465713591</v>
      </c>
    </row>
    <row r="45" spans="2:6" x14ac:dyDescent="0.25">
      <c r="B45" s="35">
        <v>43947</v>
      </c>
      <c r="C45" s="40">
        <v>1170</v>
      </c>
      <c r="D45" s="40">
        <v>26588</v>
      </c>
      <c r="E45" s="34">
        <f t="shared" si="1"/>
        <v>5.1782682512733449E-2</v>
      </c>
      <c r="F45">
        <f t="shared" si="0"/>
        <v>0.85346124215855312</v>
      </c>
    </row>
    <row r="46" spans="2:6" x14ac:dyDescent="0.25">
      <c r="B46" s="35">
        <v>43948</v>
      </c>
      <c r="C46" s="40">
        <v>1403</v>
      </c>
      <c r="D46" s="40">
        <v>23267</v>
      </c>
      <c r="E46" s="34">
        <f t="shared" si="1"/>
        <v>9.2452898946831383E-2</v>
      </c>
      <c r="F46">
        <f t="shared" ref="F46:F77" si="2">D46/AVERAGE(D40:D46)</f>
        <v>0.76422340779947162</v>
      </c>
    </row>
    <row r="47" spans="2:6" x14ac:dyDescent="0.25">
      <c r="B47" s="35">
        <v>43949</v>
      </c>
      <c r="C47" s="40">
        <v>2537</v>
      </c>
      <c r="D47" s="40">
        <v>25573</v>
      </c>
      <c r="E47" s="34">
        <f t="shared" ref="E47:E78" si="3">C48/D34</f>
        <v>7.9606206806624072E-2</v>
      </c>
      <c r="F47">
        <f t="shared" si="2"/>
        <v>0.84259503323103568</v>
      </c>
    </row>
    <row r="48" spans="2:6" x14ac:dyDescent="0.25">
      <c r="B48" s="35">
        <v>43950</v>
      </c>
      <c r="C48" s="40">
        <v>2442</v>
      </c>
      <c r="D48" s="40">
        <v>28595</v>
      </c>
      <c r="E48" s="34">
        <f t="shared" si="3"/>
        <v>7.5440400756394521E-2</v>
      </c>
      <c r="F48">
        <f t="shared" si="2"/>
        <v>0.94981066896964061</v>
      </c>
    </row>
    <row r="49" spans="2:6" x14ac:dyDescent="0.25">
      <c r="B49" s="35">
        <v>43951</v>
      </c>
      <c r="C49" s="40">
        <v>2274</v>
      </c>
      <c r="D49" s="40">
        <v>31000</v>
      </c>
      <c r="E49" s="34">
        <f t="shared" si="3"/>
        <v>5.991506646971935E-2</v>
      </c>
      <c r="F49">
        <f t="shared" si="2"/>
        <v>1.0349646347337946</v>
      </c>
    </row>
    <row r="50" spans="2:6" x14ac:dyDescent="0.25">
      <c r="B50" s="35">
        <v>43952</v>
      </c>
      <c r="C50" s="40">
        <v>1947</v>
      </c>
      <c r="D50" s="40">
        <v>36161</v>
      </c>
      <c r="E50" s="34">
        <f t="shared" si="3"/>
        <v>5.9260781694241774E-2</v>
      </c>
      <c r="F50">
        <f t="shared" si="2"/>
        <v>1.2245690760351609</v>
      </c>
    </row>
    <row r="51" spans="2:6" x14ac:dyDescent="0.25">
      <c r="B51" s="35">
        <v>43953</v>
      </c>
      <c r="C51" s="40">
        <v>1730</v>
      </c>
      <c r="D51" s="40">
        <v>29869</v>
      </c>
      <c r="E51" s="34">
        <f t="shared" si="3"/>
        <v>4.4852464022598008E-2</v>
      </c>
      <c r="F51">
        <f t="shared" si="2"/>
        <v>1.0399397173879525</v>
      </c>
    </row>
    <row r="52" spans="2:6" x14ac:dyDescent="0.25">
      <c r="B52" s="35">
        <v>43954</v>
      </c>
      <c r="C52" s="40">
        <v>1175</v>
      </c>
      <c r="D52" s="40">
        <v>27438</v>
      </c>
      <c r="E52" s="34">
        <f t="shared" si="3"/>
        <v>4.740982212458366E-2</v>
      </c>
      <c r="F52">
        <f t="shared" si="2"/>
        <v>0.9512785842706647</v>
      </c>
    </row>
    <row r="53" spans="2:6" x14ac:dyDescent="0.25">
      <c r="B53" s="35">
        <v>43955</v>
      </c>
      <c r="C53" s="40">
        <v>1338</v>
      </c>
      <c r="D53" s="40">
        <v>24759</v>
      </c>
      <c r="E53" s="34">
        <f t="shared" si="3"/>
        <v>9.1622837106486776E-2</v>
      </c>
      <c r="F53">
        <f t="shared" si="2"/>
        <v>0.85210059244327541</v>
      </c>
    </row>
    <row r="54" spans="2:6" x14ac:dyDescent="0.25">
      <c r="B54" s="35">
        <v>43956</v>
      </c>
      <c r="C54" s="40">
        <v>2404</v>
      </c>
      <c r="D54" s="40">
        <v>24909</v>
      </c>
      <c r="E54" s="34">
        <f t="shared" si="3"/>
        <v>8.4936479128856629E-2</v>
      </c>
      <c r="F54">
        <f t="shared" si="2"/>
        <v>0.86007073412551616</v>
      </c>
    </row>
    <row r="55" spans="2:6" x14ac:dyDescent="0.25">
      <c r="B55" s="35">
        <v>43957</v>
      </c>
      <c r="C55" s="40">
        <v>2574</v>
      </c>
      <c r="D55" s="40">
        <v>25578</v>
      </c>
      <c r="E55" s="34">
        <f t="shared" si="3"/>
        <v>6.775169145387086E-2</v>
      </c>
      <c r="F55">
        <f t="shared" si="2"/>
        <v>0.89651201217741372</v>
      </c>
    </row>
    <row r="56" spans="2:6" x14ac:dyDescent="0.25">
      <c r="B56" s="35">
        <v>43958</v>
      </c>
      <c r="C56" s="40">
        <v>2173</v>
      </c>
      <c r="D56" s="40">
        <v>29643</v>
      </c>
      <c r="E56" s="34">
        <f t="shared" si="3"/>
        <v>4.3784985813971319E-2</v>
      </c>
      <c r="F56">
        <f t="shared" si="2"/>
        <v>1.0460987008272962</v>
      </c>
    </row>
    <row r="57" spans="2:6" x14ac:dyDescent="0.25">
      <c r="B57" s="35">
        <v>43959</v>
      </c>
      <c r="C57" s="40">
        <v>1713</v>
      </c>
      <c r="D57" s="40">
        <v>29292</v>
      </c>
      <c r="E57" s="34">
        <f t="shared" si="3"/>
        <v>4.0846775328660302E-2</v>
      </c>
      <c r="F57">
        <f t="shared" si="2"/>
        <v>1.0707929478609626</v>
      </c>
    </row>
    <row r="58" spans="2:6" x14ac:dyDescent="0.25">
      <c r="B58" s="35">
        <v>43960</v>
      </c>
      <c r="C58" s="40">
        <v>1451</v>
      </c>
      <c r="D58" s="40">
        <v>26235</v>
      </c>
      <c r="E58" s="34">
        <f t="shared" si="3"/>
        <v>4.5697307055814651E-2</v>
      </c>
      <c r="F58">
        <f t="shared" si="2"/>
        <v>0.97759430195790353</v>
      </c>
    </row>
    <row r="59" spans="2:6" x14ac:dyDescent="0.25">
      <c r="B59" s="35">
        <v>43961</v>
      </c>
      <c r="C59" s="40">
        <v>1215</v>
      </c>
      <c r="D59" s="40">
        <v>20818</v>
      </c>
      <c r="E59" s="34">
        <f t="shared" si="3"/>
        <v>4.6202776464520569E-2</v>
      </c>
      <c r="F59">
        <f t="shared" si="2"/>
        <v>0.80407649778739088</v>
      </c>
    </row>
    <row r="60" spans="2:6" x14ac:dyDescent="0.25">
      <c r="B60" s="35">
        <v>43962</v>
      </c>
      <c r="C60" s="40">
        <v>1075</v>
      </c>
      <c r="D60" s="40">
        <v>18706</v>
      </c>
      <c r="E60" s="34">
        <f t="shared" si="3"/>
        <v>7.476635514018691E-2</v>
      </c>
      <c r="F60">
        <f t="shared" si="2"/>
        <v>0.74746690565757712</v>
      </c>
    </row>
    <row r="61" spans="2:6" x14ac:dyDescent="0.25">
      <c r="B61" s="35">
        <v>43963</v>
      </c>
      <c r="C61" s="40">
        <v>1912</v>
      </c>
      <c r="D61" s="40">
        <v>23024</v>
      </c>
      <c r="E61" s="34">
        <f t="shared" si="3"/>
        <v>6.4941423325756253E-2</v>
      </c>
      <c r="F61">
        <f t="shared" si="2"/>
        <v>0.93001569568830211</v>
      </c>
    </row>
    <row r="62" spans="2:6" x14ac:dyDescent="0.25">
      <c r="B62" s="35">
        <v>43964</v>
      </c>
      <c r="C62" s="40">
        <v>1857</v>
      </c>
      <c r="D62" s="40">
        <v>22390</v>
      </c>
      <c r="E62" s="34">
        <f t="shared" si="3"/>
        <v>5.7774193548387094E-2</v>
      </c>
      <c r="F62">
        <f t="shared" si="2"/>
        <v>0.92135584452230346</v>
      </c>
    </row>
    <row r="63" spans="2:6" x14ac:dyDescent="0.25">
      <c r="B63" s="35">
        <v>43965</v>
      </c>
      <c r="C63" s="40">
        <v>1791</v>
      </c>
      <c r="D63" s="40">
        <v>28095</v>
      </c>
      <c r="E63" s="34">
        <f t="shared" si="3"/>
        <v>4.5269765769751939E-2</v>
      </c>
      <c r="F63">
        <f t="shared" si="2"/>
        <v>1.1667358803986712</v>
      </c>
    </row>
    <row r="64" spans="2:6" x14ac:dyDescent="0.25">
      <c r="B64" s="35">
        <v>43966</v>
      </c>
      <c r="C64" s="40">
        <v>1637</v>
      </c>
      <c r="D64" s="40">
        <v>27624</v>
      </c>
      <c r="E64" s="34">
        <f t="shared" si="3"/>
        <v>4.1481134286383878E-2</v>
      </c>
      <c r="F64">
        <f t="shared" si="2"/>
        <v>1.1586415166694628</v>
      </c>
    </row>
    <row r="65" spans="2:6" x14ac:dyDescent="0.25">
      <c r="B65" s="35">
        <v>43967</v>
      </c>
      <c r="C65" s="40">
        <v>1239</v>
      </c>
      <c r="D65" s="40">
        <v>24332</v>
      </c>
      <c r="E65" s="34">
        <f t="shared" si="3"/>
        <v>3.2145200087469933E-2</v>
      </c>
      <c r="F65">
        <f t="shared" si="2"/>
        <v>1.0323354890326022</v>
      </c>
    </row>
    <row r="66" spans="2:6" x14ac:dyDescent="0.25">
      <c r="B66" s="35">
        <v>43968</v>
      </c>
      <c r="C66" s="40">
        <v>882</v>
      </c>
      <c r="D66" s="40">
        <v>20201</v>
      </c>
      <c r="E66" s="34">
        <f t="shared" si="3"/>
        <v>4.1116361727048752E-2</v>
      </c>
      <c r="F66">
        <f t="shared" si="2"/>
        <v>0.8602864234784513</v>
      </c>
    </row>
    <row r="67" spans="2:6" x14ac:dyDescent="0.25">
      <c r="B67" s="35">
        <v>43969</v>
      </c>
      <c r="C67" s="40">
        <v>1018</v>
      </c>
      <c r="D67" s="40">
        <v>23543</v>
      </c>
      <c r="E67" s="34">
        <f t="shared" si="3"/>
        <v>6.3511180697739769E-2</v>
      </c>
      <c r="F67">
        <f t="shared" si="2"/>
        <v>0.97394937621521316</v>
      </c>
    </row>
    <row r="68" spans="2:6" x14ac:dyDescent="0.25">
      <c r="B68" s="35">
        <v>43970</v>
      </c>
      <c r="C68" s="40">
        <v>1582</v>
      </c>
      <c r="D68" s="40">
        <v>20801</v>
      </c>
      <c r="E68" s="34">
        <f t="shared" si="3"/>
        <v>5.5985612635858939E-2</v>
      </c>
      <c r="F68">
        <f t="shared" si="2"/>
        <v>0.87197130298348358</v>
      </c>
    </row>
    <row r="69" spans="2:6" x14ac:dyDescent="0.25">
      <c r="B69" s="35">
        <v>43971</v>
      </c>
      <c r="C69" s="40">
        <v>1432</v>
      </c>
      <c r="D69" s="40">
        <v>22672</v>
      </c>
      <c r="E69" s="34">
        <f t="shared" si="3"/>
        <v>4.8308200924332897E-2</v>
      </c>
      <c r="F69">
        <f t="shared" si="2"/>
        <v>0.94880072697706674</v>
      </c>
    </row>
    <row r="70" spans="2:6" x14ac:dyDescent="0.25">
      <c r="B70" s="35">
        <v>43972</v>
      </c>
      <c r="C70" s="40">
        <v>1432</v>
      </c>
      <c r="D70" s="40">
        <v>28844</v>
      </c>
      <c r="E70" s="34">
        <f t="shared" si="3"/>
        <v>4.5131776594291954E-2</v>
      </c>
      <c r="F70">
        <f t="shared" si="2"/>
        <v>1.201711731550974</v>
      </c>
    </row>
    <row r="71" spans="2:6" x14ac:dyDescent="0.25">
      <c r="B71" s="35">
        <v>43973</v>
      </c>
      <c r="C71" s="40">
        <v>1322</v>
      </c>
      <c r="D71" s="40">
        <v>24666</v>
      </c>
      <c r="E71" s="34">
        <f t="shared" si="3"/>
        <v>4.0137221269296738E-2</v>
      </c>
      <c r="F71">
        <f t="shared" si="2"/>
        <v>1.0460623171108514</v>
      </c>
    </row>
    <row r="72" spans="2:6" x14ac:dyDescent="0.25">
      <c r="B72" s="35">
        <v>43974</v>
      </c>
      <c r="C72" s="40">
        <v>1053</v>
      </c>
      <c r="D72" s="40">
        <v>21939</v>
      </c>
      <c r="E72" s="34">
        <f t="shared" si="3"/>
        <v>3.0070131616870017E-2</v>
      </c>
      <c r="F72">
        <f t="shared" si="2"/>
        <v>0.9441001807384457</v>
      </c>
    </row>
    <row r="73" spans="2:6" x14ac:dyDescent="0.25">
      <c r="B73" s="35">
        <v>43975</v>
      </c>
      <c r="C73" s="40">
        <v>626</v>
      </c>
      <c r="D73" s="40">
        <v>19930</v>
      </c>
      <c r="E73" s="34">
        <f t="shared" si="3"/>
        <v>3.3999786164866888E-2</v>
      </c>
      <c r="F73">
        <f t="shared" si="2"/>
        <v>0.85907817358908833</v>
      </c>
    </row>
    <row r="74" spans="2:6" x14ac:dyDescent="0.25">
      <c r="B74" s="35">
        <v>43976</v>
      </c>
      <c r="C74" s="40">
        <v>636</v>
      </c>
      <c r="D74" s="40">
        <v>19920</v>
      </c>
      <c r="E74" s="34">
        <f t="shared" si="3"/>
        <v>3.4007991660875606E-2</v>
      </c>
      <c r="F74" s="34">
        <f t="shared" si="2"/>
        <v>0.87824049580530572</v>
      </c>
    </row>
    <row r="75" spans="2:6" x14ac:dyDescent="0.25">
      <c r="B75" s="35">
        <v>43977</v>
      </c>
      <c r="C75" s="40">
        <v>783</v>
      </c>
      <c r="D75" s="40">
        <v>19400</v>
      </c>
      <c r="E75" s="34">
        <f t="shared" si="3"/>
        <v>6.9807949977668607E-2</v>
      </c>
      <c r="F75" s="34">
        <f t="shared" si="2"/>
        <v>0.8629290021668542</v>
      </c>
    </row>
    <row r="76" spans="2:6" x14ac:dyDescent="0.25">
      <c r="B76" s="35">
        <v>43978</v>
      </c>
      <c r="C76" s="40">
        <v>1563</v>
      </c>
      <c r="D76" s="40">
        <v>20754</v>
      </c>
      <c r="E76" s="34">
        <f t="shared" si="3"/>
        <v>4.410037373198078E-2</v>
      </c>
      <c r="F76" s="34">
        <f t="shared" si="2"/>
        <v>0.93454613291477173</v>
      </c>
    </row>
    <row r="77" spans="2:6" x14ac:dyDescent="0.25">
      <c r="B77" s="35">
        <v>43979</v>
      </c>
      <c r="C77" s="40">
        <v>1239</v>
      </c>
      <c r="D77" s="40">
        <v>23085</v>
      </c>
      <c r="E77" s="34">
        <f t="shared" si="3"/>
        <v>4.4671300318563568E-2</v>
      </c>
      <c r="F77" s="34">
        <f t="shared" si="2"/>
        <v>1.0795021844562909</v>
      </c>
    </row>
    <row r="78" spans="2:6" x14ac:dyDescent="0.25">
      <c r="B78" s="35">
        <v>43980</v>
      </c>
      <c r="C78" s="40">
        <v>1234</v>
      </c>
      <c r="D78" s="40">
        <v>25697</v>
      </c>
      <c r="E78" s="34">
        <f t="shared" si="3"/>
        <v>4.2454381061976E-2</v>
      </c>
      <c r="F78" s="34">
        <f t="shared" ref="F78:F109" si="4">D78/AVERAGE(D72:D78)</f>
        <v>1.1934251119588655</v>
      </c>
    </row>
    <row r="79" spans="2:6" x14ac:dyDescent="0.25">
      <c r="B79" s="35">
        <v>43981</v>
      </c>
      <c r="C79" s="40">
        <v>1033</v>
      </c>
      <c r="D79" s="40">
        <v>23763</v>
      </c>
      <c r="E79" s="34">
        <f t="shared" ref="E79:E110" si="5">C80/D66</f>
        <v>3.2226127419434682E-2</v>
      </c>
      <c r="F79" s="34">
        <f t="shared" si="4"/>
        <v>1.09041029439721</v>
      </c>
    </row>
    <row r="80" spans="2:6" x14ac:dyDescent="0.25">
      <c r="B80" s="35">
        <v>43982</v>
      </c>
      <c r="C80" s="40">
        <v>651</v>
      </c>
      <c r="D80" s="40">
        <v>20755</v>
      </c>
      <c r="E80" s="34">
        <f t="shared" si="5"/>
        <v>2.9520451939005224E-2</v>
      </c>
      <c r="F80" s="34">
        <f t="shared" si="4"/>
        <v>0.94725963983465256</v>
      </c>
    </row>
    <row r="81" spans="2:7" x14ac:dyDescent="0.25">
      <c r="B81" s="35">
        <v>43983</v>
      </c>
      <c r="C81" s="40">
        <v>695</v>
      </c>
      <c r="D81" s="40">
        <v>22431</v>
      </c>
      <c r="E81" s="34">
        <f t="shared" si="5"/>
        <v>5.5141579731743669E-2</v>
      </c>
      <c r="F81" s="34">
        <f t="shared" si="4"/>
        <v>1.007261763479488</v>
      </c>
    </row>
    <row r="82" spans="2:7" x14ac:dyDescent="0.25">
      <c r="B82" s="35">
        <v>43984</v>
      </c>
      <c r="C82" s="40">
        <v>1147</v>
      </c>
      <c r="D82" s="40">
        <v>22287</v>
      </c>
      <c r="E82" s="34">
        <f t="shared" si="5"/>
        <v>4.8694424841213835E-2</v>
      </c>
      <c r="F82" s="34">
        <f t="shared" si="4"/>
        <v>0.98259768724964103</v>
      </c>
    </row>
    <row r="83" spans="2:7" x14ac:dyDescent="0.25">
      <c r="B83" s="35">
        <v>43985</v>
      </c>
      <c r="C83" s="40">
        <v>1104</v>
      </c>
      <c r="D83" s="40">
        <v>20831</v>
      </c>
      <c r="E83" s="34">
        <f t="shared" si="5"/>
        <v>3.6402718069615862E-2</v>
      </c>
      <c r="F83" s="34">
        <f t="shared" si="4"/>
        <v>0.91795982348016036</v>
      </c>
    </row>
    <row r="84" spans="2:7" x14ac:dyDescent="0.25">
      <c r="B84" s="35">
        <v>43986</v>
      </c>
      <c r="C84" s="40">
        <v>1050</v>
      </c>
      <c r="D84" s="40">
        <v>22850</v>
      </c>
      <c r="E84" s="34">
        <f t="shared" si="5"/>
        <v>4.0055136625314194E-2</v>
      </c>
      <c r="F84" s="34">
        <f t="shared" si="4"/>
        <v>1.0084229639250002</v>
      </c>
    </row>
    <row r="85" spans="2:7" x14ac:dyDescent="0.25">
      <c r="B85" s="35">
        <v>43987</v>
      </c>
      <c r="C85" s="40">
        <v>988</v>
      </c>
      <c r="D85" s="40">
        <v>25427</v>
      </c>
      <c r="E85" s="34">
        <f t="shared" si="5"/>
        <v>3.2681526049500892E-2</v>
      </c>
      <c r="F85" s="34">
        <f t="shared" si="4"/>
        <v>1.1240653261253979</v>
      </c>
    </row>
    <row r="86" spans="2:7" x14ac:dyDescent="0.25">
      <c r="B86" s="35">
        <v>43988</v>
      </c>
      <c r="C86" s="40">
        <v>717</v>
      </c>
      <c r="D86" s="40">
        <v>22862</v>
      </c>
      <c r="E86" s="34">
        <f t="shared" si="5"/>
        <v>1.9267436026091319E-2</v>
      </c>
      <c r="F86" s="34">
        <f t="shared" si="4"/>
        <v>1.0164567494267767</v>
      </c>
    </row>
    <row r="87" spans="2:7" x14ac:dyDescent="0.25">
      <c r="B87" s="35">
        <v>43989</v>
      </c>
      <c r="C87" s="40">
        <v>384</v>
      </c>
      <c r="D87" s="40">
        <v>18933</v>
      </c>
      <c r="E87" s="34">
        <f t="shared" si="5"/>
        <v>3.0020080321285142E-2</v>
      </c>
      <c r="F87" s="34">
        <f t="shared" si="4"/>
        <v>0.85162670847764765</v>
      </c>
    </row>
    <row r="88" spans="2:7" x14ac:dyDescent="0.25">
      <c r="B88" s="35">
        <v>43990</v>
      </c>
      <c r="C88" s="40">
        <v>598</v>
      </c>
      <c r="D88" s="40">
        <v>19069</v>
      </c>
      <c r="E88" s="34">
        <f t="shared" si="5"/>
        <v>5.6958762886597937E-2</v>
      </c>
      <c r="F88" s="34">
        <f t="shared" si="4"/>
        <v>0.87668380851049854</v>
      </c>
    </row>
    <row r="89" spans="2:7" x14ac:dyDescent="0.25">
      <c r="B89" s="35">
        <v>43991</v>
      </c>
      <c r="C89" s="40">
        <v>1105</v>
      </c>
      <c r="D89" s="40">
        <v>19085</v>
      </c>
      <c r="E89" s="34">
        <f t="shared" si="5"/>
        <v>4.8087115736725451E-2</v>
      </c>
      <c r="F89" s="34">
        <f t="shared" si="4"/>
        <v>0.89626787068034386</v>
      </c>
    </row>
    <row r="90" spans="2:7" x14ac:dyDescent="0.25">
      <c r="B90" s="35">
        <v>43992</v>
      </c>
      <c r="C90" s="40">
        <v>998</v>
      </c>
      <c r="D90" s="40">
        <v>21040</v>
      </c>
      <c r="E90" s="34">
        <f t="shared" si="5"/>
        <v>3.9766081871345033E-2</v>
      </c>
      <c r="F90" s="34">
        <f t="shared" si="4"/>
        <v>0.9866948936797395</v>
      </c>
    </row>
    <row r="91" spans="2:7" x14ac:dyDescent="0.25">
      <c r="B91" s="35">
        <v>43993</v>
      </c>
      <c r="C91" s="40">
        <v>918</v>
      </c>
      <c r="D91" s="40">
        <v>23490</v>
      </c>
      <c r="E91" s="34">
        <f t="shared" si="5"/>
        <v>3.1132038759388254E-2</v>
      </c>
      <c r="F91" s="34">
        <f t="shared" si="4"/>
        <v>1.0968873827598629</v>
      </c>
      <c r="G91" s="40"/>
    </row>
    <row r="92" spans="2:7" x14ac:dyDescent="0.25">
      <c r="B92" s="35">
        <v>43994</v>
      </c>
      <c r="C92" s="40">
        <v>800</v>
      </c>
      <c r="D92" s="40">
        <v>27405</v>
      </c>
      <c r="E92" s="34">
        <f t="shared" si="5"/>
        <v>3.0130875731178723E-2</v>
      </c>
      <c r="F92" s="34">
        <f t="shared" si="4"/>
        <v>1.2630362645176583</v>
      </c>
    </row>
    <row r="93" spans="2:7" x14ac:dyDescent="0.25">
      <c r="B93" s="35">
        <v>43995</v>
      </c>
      <c r="C93" s="40">
        <v>716</v>
      </c>
      <c r="D93" s="40">
        <v>25490</v>
      </c>
      <c r="E93" s="34">
        <f t="shared" si="5"/>
        <v>1.6188870151770656E-2</v>
      </c>
      <c r="F93" s="34">
        <f t="shared" si="4"/>
        <v>1.154797038417728</v>
      </c>
    </row>
    <row r="94" spans="2:7" x14ac:dyDescent="0.25">
      <c r="B94" s="35">
        <v>43996</v>
      </c>
      <c r="C94" s="40">
        <v>336</v>
      </c>
      <c r="D94" s="40">
        <v>20181</v>
      </c>
      <c r="E94" s="34">
        <f t="shared" si="5"/>
        <v>1.9259061120770363E-2</v>
      </c>
      <c r="F94" s="34">
        <f t="shared" si="4"/>
        <v>0.90695300462249606</v>
      </c>
    </row>
    <row r="95" spans="2:7" x14ac:dyDescent="0.25">
      <c r="B95" s="35">
        <v>43997</v>
      </c>
      <c r="C95" s="40">
        <v>432</v>
      </c>
      <c r="D95" s="40">
        <v>20901</v>
      </c>
      <c r="E95" s="34">
        <f t="shared" si="5"/>
        <v>3.8497778974289944E-2</v>
      </c>
      <c r="F95" s="34">
        <f t="shared" si="4"/>
        <v>0.92839103507792264</v>
      </c>
    </row>
    <row r="96" spans="2:7" x14ac:dyDescent="0.25">
      <c r="B96" s="35">
        <v>43998</v>
      </c>
      <c r="C96" s="40">
        <v>858</v>
      </c>
      <c r="D96" s="40">
        <v>25634</v>
      </c>
      <c r="E96" s="34">
        <f t="shared" si="5"/>
        <v>3.9316403437184962E-2</v>
      </c>
      <c r="F96" s="34">
        <f t="shared" si="4"/>
        <v>1.0931942659055325</v>
      </c>
    </row>
    <row r="97" spans="2:6" x14ac:dyDescent="0.25">
      <c r="B97" s="35">
        <v>43999</v>
      </c>
      <c r="C97" s="40">
        <v>819</v>
      </c>
      <c r="D97" s="40">
        <v>26257</v>
      </c>
      <c r="E97" s="34">
        <f t="shared" si="5"/>
        <v>3.3085339168490151E-2</v>
      </c>
      <c r="F97" s="34">
        <f t="shared" si="4"/>
        <v>1.0852690749772671</v>
      </c>
    </row>
    <row r="98" spans="2:6" x14ac:dyDescent="0.25">
      <c r="B98" s="35">
        <v>44000</v>
      </c>
      <c r="C98" s="40">
        <v>756</v>
      </c>
      <c r="D98" s="40">
        <v>27964</v>
      </c>
      <c r="E98" s="34">
        <f t="shared" si="5"/>
        <v>2.8670311086640185E-2</v>
      </c>
      <c r="F98" s="34">
        <f t="shared" si="4"/>
        <v>1.1260757513001058</v>
      </c>
    </row>
    <row r="99" spans="2:6" x14ac:dyDescent="0.25">
      <c r="B99" s="35">
        <v>44001</v>
      </c>
      <c r="C99" s="40">
        <v>729</v>
      </c>
      <c r="D99" s="40">
        <v>33582</v>
      </c>
      <c r="E99" s="34">
        <f t="shared" si="5"/>
        <v>2.5457090368296739E-2</v>
      </c>
      <c r="F99" s="34">
        <f t="shared" si="4"/>
        <v>1.3059013715980867</v>
      </c>
    </row>
    <row r="100" spans="2:6" x14ac:dyDescent="0.25">
      <c r="B100" s="35">
        <v>44002</v>
      </c>
      <c r="C100" s="40">
        <v>582</v>
      </c>
      <c r="D100" s="40">
        <v>33431</v>
      </c>
      <c r="E100" s="34">
        <f t="shared" si="5"/>
        <v>1.4260814450958644E-2</v>
      </c>
      <c r="F100" s="34">
        <f t="shared" si="4"/>
        <v>1.2451024208566108</v>
      </c>
    </row>
    <row r="101" spans="2:6" x14ac:dyDescent="0.25">
      <c r="B101" s="35">
        <v>44003</v>
      </c>
      <c r="C101" s="40">
        <v>270</v>
      </c>
      <c r="D101" s="40">
        <v>26118</v>
      </c>
      <c r="E101" s="34">
        <f t="shared" si="5"/>
        <v>1.9350778750852168E-2</v>
      </c>
      <c r="F101" s="34">
        <f t="shared" si="4"/>
        <v>0.94295130668894767</v>
      </c>
    </row>
    <row r="102" spans="2:6" x14ac:dyDescent="0.25">
      <c r="B102" s="35">
        <v>44004</v>
      </c>
      <c r="C102" s="40">
        <v>369</v>
      </c>
      <c r="D102" s="40">
        <v>31538</v>
      </c>
      <c r="E102" s="34">
        <f t="shared" si="5"/>
        <v>4.563793555148022E-2</v>
      </c>
      <c r="F102" s="34">
        <f t="shared" si="4"/>
        <v>1.0794136629442022</v>
      </c>
    </row>
    <row r="103" spans="2:6" x14ac:dyDescent="0.25">
      <c r="B103" s="35">
        <v>44005</v>
      </c>
      <c r="C103" s="40">
        <v>871</v>
      </c>
      <c r="D103" s="40">
        <v>36066</v>
      </c>
      <c r="E103" s="34">
        <f t="shared" si="5"/>
        <v>3.8925855513307982E-2</v>
      </c>
      <c r="F103" s="34">
        <f t="shared" si="4"/>
        <v>1.1744822196170379</v>
      </c>
    </row>
    <row r="104" spans="2:6" x14ac:dyDescent="0.25">
      <c r="B104" s="35">
        <v>44006</v>
      </c>
      <c r="C104" s="40">
        <v>819</v>
      </c>
      <c r="D104" s="40">
        <v>38434</v>
      </c>
      <c r="E104" s="34">
        <f t="shared" si="5"/>
        <v>2.7799063431247339E-2</v>
      </c>
      <c r="F104" s="34">
        <f t="shared" si="4"/>
        <v>1.1844954277890047</v>
      </c>
    </row>
    <row r="105" spans="2:6" x14ac:dyDescent="0.25">
      <c r="B105" s="35">
        <v>44007</v>
      </c>
      <c r="C105" s="40">
        <v>653</v>
      </c>
      <c r="D105" s="40">
        <v>40236</v>
      </c>
      <c r="E105" s="34">
        <f t="shared" si="5"/>
        <v>2.4192665571975917E-2</v>
      </c>
      <c r="F105" s="34">
        <f t="shared" si="4"/>
        <v>1.1764666569202817</v>
      </c>
    </row>
    <row r="106" spans="2:6" x14ac:dyDescent="0.25">
      <c r="B106" s="35">
        <v>44008</v>
      </c>
      <c r="C106" s="40">
        <v>663</v>
      </c>
      <c r="D106" s="40">
        <v>47365</v>
      </c>
      <c r="E106" s="34">
        <f t="shared" si="5"/>
        <v>2.0086308356218125E-2</v>
      </c>
      <c r="F106" s="34">
        <f t="shared" si="4"/>
        <v>1.3095209883564782</v>
      </c>
    </row>
    <row r="107" spans="2:6" x14ac:dyDescent="0.25">
      <c r="B107" s="35">
        <v>44009</v>
      </c>
      <c r="C107" s="40">
        <v>512</v>
      </c>
      <c r="D107" s="40">
        <v>43599</v>
      </c>
      <c r="E107" s="34">
        <f t="shared" si="5"/>
        <v>1.4122194143005798E-2</v>
      </c>
      <c r="F107" s="34">
        <f t="shared" si="4"/>
        <v>1.1588610094320995</v>
      </c>
    </row>
    <row r="108" spans="2:6" x14ac:dyDescent="0.25">
      <c r="B108" s="35">
        <v>44010</v>
      </c>
      <c r="C108" s="40">
        <v>285</v>
      </c>
      <c r="D108" s="40">
        <v>40563</v>
      </c>
      <c r="E108" s="34">
        <f t="shared" si="5"/>
        <v>1.7511123869671307E-2</v>
      </c>
      <c r="F108" s="34">
        <f t="shared" si="4"/>
        <v>1.0221021522600711</v>
      </c>
    </row>
    <row r="109" spans="2:6" x14ac:dyDescent="0.25">
      <c r="B109" s="35">
        <v>44011</v>
      </c>
      <c r="C109" s="40">
        <v>366</v>
      </c>
      <c r="D109" s="40">
        <v>44764</v>
      </c>
      <c r="E109" s="34">
        <f t="shared" si="5"/>
        <v>2.8321760162284465E-2</v>
      </c>
      <c r="F109" s="34">
        <f t="shared" si="4"/>
        <v>1.0766973511048803</v>
      </c>
    </row>
    <row r="110" spans="2:6" x14ac:dyDescent="0.25">
      <c r="B110" s="35">
        <v>44012</v>
      </c>
      <c r="C110" s="40">
        <v>726</v>
      </c>
      <c r="D110" s="40">
        <v>46075</v>
      </c>
      <c r="E110" s="34">
        <f t="shared" si="5"/>
        <v>2.5745515481585862E-2</v>
      </c>
      <c r="F110" s="34">
        <f t="shared" ref="F110:F119" si="6">D110/AVERAGE(D104:D110)</f>
        <v>1.0713834890179248</v>
      </c>
    </row>
    <row r="111" spans="2:6" x14ac:dyDescent="0.25">
      <c r="B111" s="35">
        <v>44013</v>
      </c>
      <c r="C111" s="40">
        <v>676</v>
      </c>
      <c r="D111" s="40">
        <v>52361</v>
      </c>
      <c r="E111" s="34">
        <f t="shared" ref="E111:E118" si="7">C112/D98</f>
        <v>2.4567300815334002E-2</v>
      </c>
      <c r="F111" s="34">
        <f t="shared" si="6"/>
        <v>1.163714468048628</v>
      </c>
    </row>
    <row r="112" spans="2:6" x14ac:dyDescent="0.25">
      <c r="B112" s="35">
        <v>44014</v>
      </c>
      <c r="C112" s="40">
        <v>687</v>
      </c>
      <c r="D112" s="40">
        <v>57522</v>
      </c>
      <c r="E112" s="34">
        <f t="shared" si="7"/>
        <v>1.8640938598058484E-2</v>
      </c>
      <c r="F112" s="34">
        <f t="shared" si="6"/>
        <v>1.211904324768472</v>
      </c>
    </row>
    <row r="113" spans="2:13" x14ac:dyDescent="0.25">
      <c r="B113" s="35">
        <v>44015</v>
      </c>
      <c r="C113" s="40">
        <v>626</v>
      </c>
      <c r="D113" s="40">
        <v>59619</v>
      </c>
      <c r="E113" s="34">
        <f t="shared" si="7"/>
        <v>7.9566869073614318E-3</v>
      </c>
      <c r="F113" s="34">
        <f t="shared" si="6"/>
        <v>1.2114059964644721</v>
      </c>
    </row>
    <row r="114" spans="2:13" x14ac:dyDescent="0.25">
      <c r="B114" s="35">
        <v>44016</v>
      </c>
      <c r="C114" s="40">
        <v>266</v>
      </c>
      <c r="D114" s="40">
        <v>49999</v>
      </c>
      <c r="E114" s="34">
        <f t="shared" si="7"/>
        <v>1.0069683743012483E-2</v>
      </c>
      <c r="F114" s="34">
        <f t="shared" si="6"/>
        <v>0.99740669073789623</v>
      </c>
    </row>
    <row r="115" spans="2:13" x14ac:dyDescent="0.25">
      <c r="B115" s="35">
        <v>44017</v>
      </c>
      <c r="C115" s="40">
        <v>263</v>
      </c>
      <c r="D115" s="40">
        <v>46036</v>
      </c>
      <c r="E115" s="34">
        <f t="shared" si="7"/>
        <v>1.1985541251823197E-2</v>
      </c>
      <c r="F115" s="34">
        <f t="shared" si="6"/>
        <v>0.9042471995869531</v>
      </c>
    </row>
    <row r="116" spans="2:13" x14ac:dyDescent="0.25">
      <c r="B116" s="35">
        <v>44018</v>
      </c>
      <c r="C116" s="40">
        <v>378</v>
      </c>
      <c r="D116" s="40">
        <v>50771</v>
      </c>
      <c r="E116" s="34">
        <f t="shared" si="7"/>
        <v>2.7532856429878554E-2</v>
      </c>
      <c r="F116" s="34">
        <f t="shared" si="6"/>
        <v>0.9807220537387239</v>
      </c>
    </row>
    <row r="117" spans="2:13" x14ac:dyDescent="0.25">
      <c r="B117" s="35">
        <v>44019</v>
      </c>
      <c r="C117" s="40">
        <v>993</v>
      </c>
      <c r="D117" s="40">
        <v>55856</v>
      </c>
      <c r="E117" s="34">
        <f t="shared" si="7"/>
        <v>2.3182598740698342E-2</v>
      </c>
      <c r="F117" s="34">
        <f t="shared" si="6"/>
        <v>1.0505905998430798</v>
      </c>
    </row>
    <row r="118" spans="2:13" x14ac:dyDescent="0.25">
      <c r="B118" s="35">
        <v>44020</v>
      </c>
      <c r="C118" s="40">
        <v>891</v>
      </c>
      <c r="D118" s="40">
        <v>62298</v>
      </c>
      <c r="E118" s="34">
        <f t="shared" si="7"/>
        <v>2.3884083904960732E-2</v>
      </c>
      <c r="F118" s="34">
        <f t="shared" si="6"/>
        <v>1.1412846341674059</v>
      </c>
    </row>
    <row r="119" spans="2:13" x14ac:dyDescent="0.25">
      <c r="B119" s="35">
        <v>44021</v>
      </c>
      <c r="C119" s="40">
        <v>961</v>
      </c>
      <c r="D119" s="40">
        <v>61574</v>
      </c>
      <c r="E119" s="34">
        <f t="shared" ref="E119:E134" si="8">C120/D106</f>
        <v>1.7903515253879447E-2</v>
      </c>
      <c r="F119" s="34">
        <f t="shared" si="6"/>
        <v>1.1161845175357954</v>
      </c>
    </row>
    <row r="120" spans="2:13" x14ac:dyDescent="0.25">
      <c r="B120" s="35">
        <v>44022</v>
      </c>
      <c r="C120" s="40">
        <v>848</v>
      </c>
      <c r="D120" s="40">
        <v>72278</v>
      </c>
      <c r="E120" s="34">
        <f t="shared" si="8"/>
        <v>1.6789375903117045E-2</v>
      </c>
      <c r="F120" s="34">
        <f t="shared" ref="F120:F135" si="9">D120/AVERAGE(D114:D120)</f>
        <v>1.2686328395334143</v>
      </c>
    </row>
    <row r="121" spans="2:13" x14ac:dyDescent="0.25">
      <c r="B121" s="35">
        <v>44023</v>
      </c>
      <c r="C121" s="40">
        <v>732</v>
      </c>
      <c r="D121" s="40">
        <v>62004</v>
      </c>
      <c r="E121" s="34">
        <f t="shared" si="8"/>
        <v>9.3927963907994971E-3</v>
      </c>
      <c r="F121" s="34">
        <f t="shared" si="9"/>
        <v>1.0564996093150965</v>
      </c>
      <c r="H121" s="76" t="s">
        <v>306</v>
      </c>
      <c r="I121" s="76"/>
      <c r="J121" s="76"/>
      <c r="K121" s="76"/>
      <c r="L121" s="76"/>
      <c r="M121" s="76"/>
    </row>
    <row r="122" spans="2:13" x14ac:dyDescent="0.25">
      <c r="B122" s="35">
        <v>44024</v>
      </c>
      <c r="C122" s="40">
        <v>381</v>
      </c>
      <c r="D122" s="40">
        <v>58621</v>
      </c>
      <c r="E122" s="34">
        <f t="shared" si="8"/>
        <v>1.038781163434903E-2</v>
      </c>
      <c r="F122" s="34">
        <f t="shared" si="9"/>
        <v>0.96916641867539599</v>
      </c>
      <c r="H122" s="75" t="s">
        <v>308</v>
      </c>
      <c r="I122" s="75"/>
      <c r="J122" t="s">
        <v>309</v>
      </c>
      <c r="K122" t="s">
        <v>310</v>
      </c>
      <c r="L122" t="s">
        <v>311</v>
      </c>
      <c r="M122" t="s">
        <v>312</v>
      </c>
    </row>
    <row r="123" spans="2:13" x14ac:dyDescent="0.25">
      <c r="B123" s="35">
        <v>44025</v>
      </c>
      <c r="C123" s="40">
        <v>465</v>
      </c>
      <c r="D123" s="40">
        <v>65789</v>
      </c>
      <c r="E123" s="34">
        <f t="shared" si="8"/>
        <v>2.0314704286489418E-2</v>
      </c>
      <c r="F123" s="34">
        <f t="shared" si="9"/>
        <v>1.0504151270471238</v>
      </c>
      <c r="I123">
        <v>365</v>
      </c>
      <c r="J123" s="37">
        <f>SUM(C2:C135)/365</f>
        <v>409.39178082191779</v>
      </c>
      <c r="K123" s="38">
        <f>J123*365</f>
        <v>149428</v>
      </c>
      <c r="L123" s="39">
        <f>328000000/J123/100</f>
        <v>8011.8853226972187</v>
      </c>
      <c r="M123" s="39">
        <f>L123/365</f>
        <v>21.950370747115667</v>
      </c>
    </row>
    <row r="124" spans="2:13" x14ac:dyDescent="0.25">
      <c r="B124" s="35">
        <v>44026</v>
      </c>
      <c r="C124" s="40">
        <v>936</v>
      </c>
      <c r="D124" s="40">
        <v>66048</v>
      </c>
      <c r="E124" s="34">
        <f t="shared" si="8"/>
        <v>1.9136380130249615E-2</v>
      </c>
      <c r="F124" s="34">
        <f t="shared" si="9"/>
        <v>1.0305921375264149</v>
      </c>
      <c r="H124" s="36">
        <v>43831</v>
      </c>
      <c r="I124" s="40">
        <f ca="1">TODAY()-H124-1</f>
        <v>206</v>
      </c>
      <c r="J124" s="37">
        <f ca="1">SUM(C2:C135)/I124</f>
        <v>725.37864077669906</v>
      </c>
      <c r="K124" s="37">
        <f ca="1">J124*365</f>
        <v>264763.20388349518</v>
      </c>
      <c r="L124" s="39">
        <f ca="1">328000000/J124/100</f>
        <v>4521.7763739058273</v>
      </c>
      <c r="M124" s="39">
        <f ca="1">L124/365</f>
        <v>12.388428421659802</v>
      </c>
    </row>
    <row r="125" spans="2:13" x14ac:dyDescent="0.25">
      <c r="B125" s="35">
        <v>44027</v>
      </c>
      <c r="C125" s="40">
        <v>1002</v>
      </c>
      <c r="D125" s="40">
        <v>72005</v>
      </c>
      <c r="E125" s="34">
        <f t="shared" si="8"/>
        <v>1.6741420673829145E-2</v>
      </c>
      <c r="F125" s="34">
        <f t="shared" si="9"/>
        <v>1.0997471193644601</v>
      </c>
      <c r="H125" s="36">
        <v>43880</v>
      </c>
      <c r="I125" s="40">
        <f ca="1">TODAY()-H125-1</f>
        <v>157</v>
      </c>
      <c r="J125" s="37">
        <f ca="1">SUM(C2:C135)/I125</f>
        <v>951.77070063694271</v>
      </c>
      <c r="K125" s="37">
        <f ca="1">J125*365</f>
        <v>347396.30573248409</v>
      </c>
      <c r="L125" s="39">
        <f ca="1">328000000/J125/100</f>
        <v>3446.2082072971598</v>
      </c>
      <c r="M125" s="39">
        <f ca="1">L125/365</f>
        <v>9.4416663213620815</v>
      </c>
    </row>
    <row r="126" spans="2:13" x14ac:dyDescent="0.25">
      <c r="B126" s="35">
        <v>44028</v>
      </c>
      <c r="C126" s="40">
        <v>963</v>
      </c>
      <c r="D126" s="40">
        <v>73388</v>
      </c>
      <c r="E126" s="34">
        <f t="shared" si="8"/>
        <v>1.5867424814237072E-2</v>
      </c>
      <c r="F126" s="34">
        <f t="shared" si="9"/>
        <v>1.092703554100648</v>
      </c>
      <c r="H126" s="36">
        <v>43905</v>
      </c>
      <c r="I126" s="40">
        <f ca="1">TODAY()-H126-1</f>
        <v>132</v>
      </c>
      <c r="J126" s="37">
        <f ca="1">SUM(C3:C135)/I126</f>
        <v>1131.590909090909</v>
      </c>
      <c r="K126" s="37">
        <f ca="1">J126*365</f>
        <v>413030.68181818177</v>
      </c>
      <c r="L126" s="39">
        <f ca="1">328000000/J126/100</f>
        <v>2898.5740108455516</v>
      </c>
      <c r="M126" s="39">
        <f ca="1">L126/365</f>
        <v>7.9412986598508262</v>
      </c>
    </row>
    <row r="127" spans="2:13" x14ac:dyDescent="0.25">
      <c r="B127" s="35">
        <v>44029</v>
      </c>
      <c r="C127" s="40">
        <v>946</v>
      </c>
      <c r="D127" s="40">
        <v>74987</v>
      </c>
      <c r="E127" s="34">
        <f t="shared" si="8"/>
        <v>1.6260325206504129E-2</v>
      </c>
      <c r="F127" s="34">
        <f t="shared" si="9"/>
        <v>1.1101150067041421</v>
      </c>
      <c r="H127" s="36">
        <v>43922</v>
      </c>
      <c r="I127" s="40">
        <f ca="1">TODAY()-H127-1</f>
        <v>115</v>
      </c>
      <c r="J127" s="37">
        <f ca="1">SUM(C20:C135)/I127</f>
        <v>1254.1478260869565</v>
      </c>
      <c r="K127" s="37">
        <f ca="1">J127*365</f>
        <v>457763.95652173914</v>
      </c>
      <c r="L127" s="39">
        <f ca="1">328000000/J127/100</f>
        <v>2615.3216804065814</v>
      </c>
      <c r="M127" s="39">
        <f ca="1">L127/365</f>
        <v>7.1652648778262504</v>
      </c>
    </row>
    <row r="128" spans="2:13" x14ac:dyDescent="0.25">
      <c r="B128" s="35">
        <v>44030</v>
      </c>
      <c r="C128" s="40">
        <v>813</v>
      </c>
      <c r="D128" s="40">
        <v>63259</v>
      </c>
      <c r="E128" s="34">
        <f t="shared" si="8"/>
        <v>8.9495177687027548E-3</v>
      </c>
      <c r="F128" s="34">
        <f t="shared" si="9"/>
        <v>0.93401350356572599</v>
      </c>
      <c r="H128" t="s">
        <v>319</v>
      </c>
      <c r="J128" s="37">
        <f>SUM(C2:C19)/31</f>
        <v>167.7741935483871</v>
      </c>
    </row>
    <row r="129" spans="2:13" x14ac:dyDescent="0.25">
      <c r="B129" s="35">
        <v>44031</v>
      </c>
      <c r="C129" s="40">
        <v>412</v>
      </c>
      <c r="D129" s="40">
        <v>65279</v>
      </c>
      <c r="E129" s="34">
        <f t="shared" si="8"/>
        <v>1.0320852455141714E-2</v>
      </c>
      <c r="F129" s="34">
        <f t="shared" si="9"/>
        <v>0.95049037451508567</v>
      </c>
      <c r="H129" t="s">
        <v>320</v>
      </c>
      <c r="J129" s="37">
        <f>AVERAGE(C20:C49)</f>
        <v>1996.5333333333333</v>
      </c>
    </row>
    <row r="130" spans="2:13" x14ac:dyDescent="0.25">
      <c r="B130" s="35">
        <v>44032</v>
      </c>
      <c r="C130" s="40">
        <v>524</v>
      </c>
      <c r="D130" s="40">
        <v>62879</v>
      </c>
      <c r="E130" s="34">
        <f t="shared" si="8"/>
        <v>2.0857204239472932E-2</v>
      </c>
      <c r="F130" s="34">
        <f t="shared" si="9"/>
        <v>0.92112086555263728</v>
      </c>
      <c r="H130" t="s">
        <v>321</v>
      </c>
      <c r="J130" s="37">
        <f>AVERAGE(C50:C80)</f>
        <v>1410.2258064516129</v>
      </c>
    </row>
    <row r="131" spans="2:13" x14ac:dyDescent="0.25">
      <c r="B131" s="35">
        <v>44033</v>
      </c>
      <c r="C131" s="40">
        <v>1165</v>
      </c>
      <c r="D131" s="40">
        <v>67479</v>
      </c>
      <c r="E131" s="34">
        <f t="shared" si="8"/>
        <v>1.9342515008507498E-2</v>
      </c>
      <c r="F131" s="34">
        <f t="shared" si="9"/>
        <v>0.98555529590465618</v>
      </c>
      <c r="H131" t="s">
        <v>322</v>
      </c>
      <c r="J131" s="37">
        <f>AVERAGE(C81:C110)</f>
        <v>708.86666666666667</v>
      </c>
    </row>
    <row r="132" spans="2:13" x14ac:dyDescent="0.25">
      <c r="B132" s="35">
        <v>44034</v>
      </c>
      <c r="C132" s="40">
        <v>1205</v>
      </c>
      <c r="D132" s="40">
        <v>71967</v>
      </c>
      <c r="E132" s="34">
        <f t="shared" si="8"/>
        <v>1.8936564134212491E-2</v>
      </c>
      <c r="F132" s="34">
        <f t="shared" si="9"/>
        <v>1.0511875101723986</v>
      </c>
      <c r="H132" s="34" t="s">
        <v>327</v>
      </c>
      <c r="J132" s="37">
        <f>AVERAGE(C111:C141)</f>
        <v>829.48934388468206</v>
      </c>
    </row>
    <row r="133" spans="2:13" x14ac:dyDescent="0.25">
      <c r="B133" s="35">
        <v>44035</v>
      </c>
      <c r="C133" s="40">
        <v>1166</v>
      </c>
      <c r="D133" s="40">
        <v>69443</v>
      </c>
      <c r="E133" s="34">
        <f t="shared" si="8"/>
        <v>1.5786269680954094E-2</v>
      </c>
      <c r="F133" s="34">
        <f t="shared" si="9"/>
        <v>1.0227396574323628</v>
      </c>
      <c r="H133" s="76" t="s">
        <v>323</v>
      </c>
      <c r="I133" s="76"/>
      <c r="J133" s="76"/>
      <c r="K133" s="76"/>
      <c r="L133" s="76"/>
      <c r="M133" s="76"/>
    </row>
    <row r="134" spans="2:13" x14ac:dyDescent="0.25">
      <c r="B134" s="35">
        <v>44036</v>
      </c>
      <c r="C134" s="40">
        <v>1141</v>
      </c>
      <c r="D134" s="40">
        <v>77978</v>
      </c>
      <c r="E134" s="34">
        <f t="shared" si="8"/>
        <v>1.4644216502161151E-2</v>
      </c>
      <c r="F134" s="34">
        <f t="shared" si="9"/>
        <v>1.1412591681929565</v>
      </c>
      <c r="K134" t="s">
        <v>310</v>
      </c>
      <c r="L134" t="s">
        <v>324</v>
      </c>
      <c r="M134" t="s">
        <v>325</v>
      </c>
    </row>
    <row r="135" spans="2:13" x14ac:dyDescent="0.25">
      <c r="B135" s="35">
        <v>44037</v>
      </c>
      <c r="C135" s="40">
        <v>908</v>
      </c>
      <c r="D135" s="40">
        <v>67413</v>
      </c>
      <c r="E135" s="34">
        <f t="shared" ref="E129:E135" si="10">AVERAGE(E121:E134)</f>
        <v>1.5495571637543611E-2</v>
      </c>
      <c r="F135" s="34">
        <f t="shared" si="9"/>
        <v>0.97813812344798701</v>
      </c>
      <c r="I135">
        <v>365</v>
      </c>
      <c r="J135" s="37">
        <f>SUM(D2:D135)/365</f>
        <v>11823.857534246576</v>
      </c>
      <c r="K135" s="38">
        <f>J135*365</f>
        <v>4315708</v>
      </c>
      <c r="L135" s="39">
        <f>328000000/J135</f>
        <v>27740.523686959357</v>
      </c>
      <c r="M135" s="39">
        <f>L135/365</f>
        <v>76.001434758792755</v>
      </c>
    </row>
    <row r="136" spans="2:13" x14ac:dyDescent="0.25">
      <c r="B136" s="35">
        <v>44038</v>
      </c>
      <c r="C136" s="39">
        <f>$E$135*D122</f>
        <v>908.36590496444398</v>
      </c>
      <c r="D136" s="39">
        <f>D135*AVERAGE($F$129:$F$135)</f>
        <v>67899.249922948089</v>
      </c>
      <c r="E136" t="s">
        <v>326</v>
      </c>
      <c r="F136" s="37"/>
      <c r="H136" s="36">
        <v>43831</v>
      </c>
      <c r="I136" s="40">
        <f ca="1">TODAY()-H136-1</f>
        <v>206</v>
      </c>
      <c r="J136" s="37">
        <f ca="1">SUM(D2:D135)/I136</f>
        <v>20950.038834951458</v>
      </c>
      <c r="K136" s="37">
        <f ca="1">J136*365</f>
        <v>7646764.1747572822</v>
      </c>
      <c r="L136" s="39">
        <f ca="1">328000000/J136</f>
        <v>15656.295560311308</v>
      </c>
      <c r="M136" s="39">
        <f ca="1">L136/365</f>
        <v>42.89396043920906</v>
      </c>
    </row>
    <row r="137" spans="2:13" x14ac:dyDescent="0.25">
      <c r="B137" s="35">
        <v>44039</v>
      </c>
      <c r="C137" s="39">
        <f t="shared" ref="C137:C200" si="11">$E$135*D123</f>
        <v>1019.4381624623567</v>
      </c>
      <c r="D137" s="39">
        <f t="shared" ref="D137:D200" si="12">D136*AVERAGE($F$129:$F$135)</f>
        <v>68389.007166258234</v>
      </c>
      <c r="E137" s="37">
        <f>SUM(C$2:C137)</f>
        <v>151355.8040674268</v>
      </c>
      <c r="F137" s="37">
        <f>SUM(D$2:D137)</f>
        <v>4451996.257089206</v>
      </c>
      <c r="H137" s="36">
        <v>43880</v>
      </c>
      <c r="I137" s="40">
        <f ca="1">TODAY()-H137-1</f>
        <v>157</v>
      </c>
      <c r="J137" s="37">
        <f ca="1">SUM(D2:D135)/I137</f>
        <v>27488.585987261147</v>
      </c>
      <c r="K137" s="37">
        <f ca="1">J137*365</f>
        <v>10033333.885350319</v>
      </c>
      <c r="L137" s="39">
        <f ca="1">328000000/J137</f>
        <v>11932.225257130463</v>
      </c>
      <c r="M137" s="39">
        <f ca="1">L137/365</f>
        <v>32.691028101727298</v>
      </c>
    </row>
    <row r="138" spans="2:13" x14ac:dyDescent="0.25">
      <c r="B138" s="35">
        <v>44040</v>
      </c>
      <c r="C138" s="39">
        <f t="shared" si="11"/>
        <v>1023.4515155164804</v>
      </c>
      <c r="D138" s="39">
        <f t="shared" si="12"/>
        <v>68882.297028229805</v>
      </c>
      <c r="E138" s="37">
        <f>SUM(C$2:C138)</f>
        <v>152379.25558294327</v>
      </c>
      <c r="F138" s="37">
        <f>SUM(D$2:D138)</f>
        <v>4520878.5541174356</v>
      </c>
      <c r="H138" s="36">
        <v>43905</v>
      </c>
      <c r="I138" s="40">
        <f ca="1">TODAY()-H138-1</f>
        <v>132</v>
      </c>
      <c r="J138" s="37">
        <f ca="1">SUM(D3:D135)/I138</f>
        <v>32673.75</v>
      </c>
      <c r="K138" s="37">
        <f ca="1">J138*365</f>
        <v>11925918.75</v>
      </c>
      <c r="L138" s="39">
        <f ca="1">328000000/J138</f>
        <v>10038.639580703164</v>
      </c>
      <c r="M138" s="39">
        <f ca="1">L138/365</f>
        <v>27.503122138912779</v>
      </c>
    </row>
    <row r="139" spans="2:13" x14ac:dyDescent="0.25">
      <c r="B139" s="35">
        <v>44041</v>
      </c>
      <c r="C139" s="39">
        <f t="shared" si="11"/>
        <v>1115.7586357613277</v>
      </c>
      <c r="D139" s="39">
        <f t="shared" si="12"/>
        <v>69379.144989638793</v>
      </c>
      <c r="E139" s="37">
        <f>SUM(C$2:C139)</f>
        <v>153495.0142187046</v>
      </c>
      <c r="F139" s="37">
        <f>SUM(D$2:D139)</f>
        <v>4590257.6991070742</v>
      </c>
      <c r="H139" s="36">
        <v>43922</v>
      </c>
      <c r="I139" s="40">
        <f ca="1">TODAY()-H139-1</f>
        <v>115</v>
      </c>
      <c r="J139" s="37">
        <f ca="1">SUM(D20:D135)/I139</f>
        <v>35839.956521739128</v>
      </c>
      <c r="K139" s="37">
        <f ca="1">J139*365</f>
        <v>13081584.130434781</v>
      </c>
      <c r="L139" s="39">
        <f ca="1">328000000/J139</f>
        <v>9151.7968165237016</v>
      </c>
      <c r="M139" s="39">
        <f ca="1">L139/365</f>
        <v>25.073415935681375</v>
      </c>
    </row>
    <row r="140" spans="2:13" x14ac:dyDescent="0.25">
      <c r="B140" s="35">
        <v>44042</v>
      </c>
      <c r="C140" s="39">
        <f t="shared" si="11"/>
        <v>1137.1890113360505</v>
      </c>
      <c r="D140" s="39">
        <f t="shared" si="12"/>
        <v>69879.57671505402</v>
      </c>
      <c r="E140" s="37">
        <f>SUM(C$2:C140)</f>
        <v>154632.20323004064</v>
      </c>
      <c r="F140" s="37">
        <f>SUM(D$2:D140)</f>
        <v>4660137.2758221282</v>
      </c>
      <c r="H140" t="s">
        <v>319</v>
      </c>
      <c r="J140" s="37">
        <f>SUM(D2:D19)/31</f>
        <v>6261.7096774193551</v>
      </c>
    </row>
    <row r="141" spans="2:13" x14ac:dyDescent="0.25">
      <c r="B141" s="35">
        <v>44043</v>
      </c>
      <c r="C141" s="39">
        <f t="shared" si="11"/>
        <v>1161.9664303844827</v>
      </c>
      <c r="D141" s="39">
        <f t="shared" si="12"/>
        <v>70383.618054162798</v>
      </c>
      <c r="E141" s="37">
        <f>SUM(C$2:C141)</f>
        <v>155794.16966042513</v>
      </c>
      <c r="F141" s="37">
        <f>SUM(D$2:D141)</f>
        <v>4730520.8938762909</v>
      </c>
      <c r="H141" t="s">
        <v>320</v>
      </c>
      <c r="J141" s="37">
        <f>AVERAGE(D20:D49)</f>
        <v>30199.7</v>
      </c>
    </row>
    <row r="142" spans="2:13" x14ac:dyDescent="0.25">
      <c r="B142" s="35">
        <v>44044</v>
      </c>
      <c r="C142" s="39">
        <f t="shared" si="11"/>
        <v>980.23436621937128</v>
      </c>
      <c r="D142" s="39">
        <f t="shared" si="12"/>
        <v>70891.295043106249</v>
      </c>
      <c r="E142" s="37">
        <f>SUM(C$2:C142)</f>
        <v>156774.40402664451</v>
      </c>
      <c r="F142" s="37">
        <f>SUM(D$2:D142)</f>
        <v>4801412.1889193971</v>
      </c>
      <c r="H142" t="s">
        <v>321</v>
      </c>
      <c r="J142" s="37">
        <f>AVERAGE(D50:D80)</f>
        <v>24349.774193548386</v>
      </c>
    </row>
    <row r="143" spans="2:13" x14ac:dyDescent="0.25">
      <c r="B143" s="35">
        <v>44045</v>
      </c>
      <c r="C143" s="39">
        <f t="shared" si="11"/>
        <v>1011.5354209272094</v>
      </c>
      <c r="D143" s="39">
        <f t="shared" si="12"/>
        <v>71402.633905824128</v>
      </c>
      <c r="E143" s="37">
        <f>SUM(C$2:C143)</f>
        <v>157785.93944757173</v>
      </c>
      <c r="F143" s="37">
        <f>SUM(D$2:D143)</f>
        <v>4872814.8228252213</v>
      </c>
      <c r="H143" t="s">
        <v>322</v>
      </c>
      <c r="J143" s="37">
        <f>AVERAGE(D81:D110)</f>
        <v>29130.266666666666</v>
      </c>
    </row>
    <row r="144" spans="2:13" x14ac:dyDescent="0.25">
      <c r="B144" s="35">
        <v>44046</v>
      </c>
      <c r="C144" s="39">
        <f t="shared" si="11"/>
        <v>974.34604899710473</v>
      </c>
      <c r="D144" s="39">
        <f t="shared" si="12"/>
        <v>71917.66105540948</v>
      </c>
      <c r="E144" s="37">
        <f>SUM(C$2:C144)</f>
        <v>158760.28549656883</v>
      </c>
      <c r="F144" s="37">
        <f>SUM(D$2:D144)</f>
        <v>4944732.4838806307</v>
      </c>
      <c r="H144" s="34" t="s">
        <v>327</v>
      </c>
      <c r="J144" s="37">
        <f>AVERAGE(D111:D141)</f>
        <v>64569.867544396511</v>
      </c>
    </row>
    <row r="145" spans="2:13" x14ac:dyDescent="0.25">
      <c r="B145" s="35">
        <v>44047</v>
      </c>
      <c r="C145" s="39">
        <f t="shared" si="11"/>
        <v>1045.6256785298053</v>
      </c>
      <c r="D145" s="39">
        <f t="shared" si="12"/>
        <v>72436.403095472968</v>
      </c>
      <c r="E145" s="37">
        <f>SUM(C$2:C145)</f>
        <v>159805.91117509865</v>
      </c>
      <c r="F145" s="37">
        <f>SUM(D$2:D145)</f>
        <v>5017168.8869761033</v>
      </c>
      <c r="H145" s="34" t="s">
        <v>332</v>
      </c>
      <c r="I145" s="34"/>
      <c r="J145" s="37">
        <f>AVERAGE(D111:D135)</f>
        <v>63474.12</v>
      </c>
      <c r="K145" s="37">
        <f>J145*365</f>
        <v>23168053.800000001</v>
      </c>
      <c r="L145" s="39">
        <f>328000000/J145</f>
        <v>5167.4603759768543</v>
      </c>
      <c r="M145" s="39">
        <f>L145/365</f>
        <v>14.157425687607819</v>
      </c>
    </row>
    <row r="146" spans="2:13" x14ac:dyDescent="0.25">
      <c r="B146" s="35">
        <v>44048</v>
      </c>
      <c r="C146" s="39">
        <f t="shared" si="11"/>
        <v>1115.1698040391011</v>
      </c>
      <c r="D146" s="39">
        <f t="shared" si="12"/>
        <v>72958.886821517066</v>
      </c>
      <c r="E146" s="37">
        <f>SUM(C$2:C146)</f>
        <v>160921.08097913774</v>
      </c>
      <c r="F146" s="37">
        <f>SUM(D$2:D146)</f>
        <v>5090127.7737976201</v>
      </c>
    </row>
    <row r="147" spans="2:13" x14ac:dyDescent="0.25">
      <c r="B147" s="35">
        <v>44049</v>
      </c>
      <c r="C147" s="39">
        <f t="shared" si="11"/>
        <v>1076.0589812259409</v>
      </c>
      <c r="D147" s="39">
        <f t="shared" si="12"/>
        <v>73485.139222320198</v>
      </c>
      <c r="E147" s="37">
        <f>SUM(C$2:C147)</f>
        <v>161997.13996036368</v>
      </c>
      <c r="F147" s="37">
        <f>SUM(D$2:D147)</f>
        <v>5163612.9130199403</v>
      </c>
    </row>
    <row r="148" spans="2:13" x14ac:dyDescent="0.25">
      <c r="B148" s="35">
        <v>44050</v>
      </c>
      <c r="C148" s="39">
        <f t="shared" si="11"/>
        <v>1208.3136851523757</v>
      </c>
      <c r="D148" s="39">
        <f t="shared" si="12"/>
        <v>74015.187481330824</v>
      </c>
      <c r="E148" s="37">
        <f>SUM(C$2:C148)</f>
        <v>163205.45364551607</v>
      </c>
      <c r="F148" s="37">
        <f>SUM(D$2:D148)</f>
        <v>5237628.100501271</v>
      </c>
    </row>
    <row r="149" spans="2:13" x14ac:dyDescent="0.25">
      <c r="B149" s="35">
        <v>44051</v>
      </c>
      <c r="C149" s="39">
        <f t="shared" si="11"/>
        <v>1044.6029708017275</v>
      </c>
      <c r="D149" s="39">
        <f t="shared" si="12"/>
        <v>74549.058978071596</v>
      </c>
      <c r="E149" s="37">
        <f>SUM(C$2:C149)</f>
        <v>164250.0566163178</v>
      </c>
      <c r="F149" s="37">
        <f>SUM(D$2:D149)</f>
        <v>5312177.1594793424</v>
      </c>
    </row>
    <row r="150" spans="2:13" x14ac:dyDescent="0.25">
      <c r="B150" s="35">
        <v>44052</v>
      </c>
      <c r="C150" s="39">
        <f t="shared" si="11"/>
        <v>1052.1376913165197</v>
      </c>
      <c r="D150" s="39">
        <f t="shared" si="12"/>
        <v>75086.781289553663</v>
      </c>
      <c r="E150" s="37">
        <f>SUM(C$2:C150)</f>
        <v>165302.19430763432</v>
      </c>
      <c r="F150" s="37">
        <f>SUM(D$2:D150)</f>
        <v>5387263.9407688957</v>
      </c>
    </row>
    <row r="151" spans="2:13" x14ac:dyDescent="0.25">
      <c r="B151" s="35">
        <v>44053</v>
      </c>
      <c r="C151" s="39">
        <f t="shared" si="11"/>
        <v>1059.7267597652378</v>
      </c>
      <c r="D151" s="39">
        <f t="shared" si="12"/>
        <v>75628.382191701108</v>
      </c>
      <c r="E151" s="37">
        <f>SUM(C$2:C151)</f>
        <v>166361.92106739955</v>
      </c>
      <c r="F151" s="37">
        <f>SUM(D$2:D151)</f>
        <v>5462892.3229605965</v>
      </c>
    </row>
    <row r="152" spans="2:13" x14ac:dyDescent="0.25">
      <c r="B152" s="35">
        <v>44054</v>
      </c>
      <c r="C152" s="39">
        <f t="shared" si="11"/>
        <v>1067.3705681594924</v>
      </c>
      <c r="D152" s="39">
        <f t="shared" si="12"/>
        <v>76173.88966078576</v>
      </c>
      <c r="E152" s="37">
        <f>SUM(C$2:C152)</f>
        <v>167429.29163555906</v>
      </c>
      <c r="F152" s="37">
        <f>SUM(D$2:D152)</f>
        <v>5539066.2126213824</v>
      </c>
    </row>
    <row r="153" spans="2:13" x14ac:dyDescent="0.25">
      <c r="B153" s="35">
        <v>44055</v>
      </c>
      <c r="C153" s="39">
        <f t="shared" si="11"/>
        <v>1075.0695113384729</v>
      </c>
      <c r="D153" s="39">
        <f t="shared" si="12"/>
        <v>76723.331874872267</v>
      </c>
      <c r="E153" s="37">
        <f>SUM(C$2:C153)</f>
        <v>168504.36114689754</v>
      </c>
      <c r="F153" s="37">
        <f>SUM(D$2:D153)</f>
        <v>5615789.544496255</v>
      </c>
    </row>
    <row r="154" spans="2:13" x14ac:dyDescent="0.25">
      <c r="B154" s="35">
        <v>44056</v>
      </c>
      <c r="C154" s="39">
        <f t="shared" si="11"/>
        <v>1082.8239869893441</v>
      </c>
      <c r="D154" s="39">
        <f t="shared" si="12"/>
        <v>77276.737215273635</v>
      </c>
      <c r="E154" s="37">
        <f>SUM(C$2:C154)</f>
        <v>169587.18513388687</v>
      </c>
      <c r="F154" s="37">
        <f>SUM(D$2:D154)</f>
        <v>5693066.281711529</v>
      </c>
    </row>
    <row r="155" spans="2:13" x14ac:dyDescent="0.25">
      <c r="B155" s="35">
        <v>44057</v>
      </c>
      <c r="C155" s="39">
        <f t="shared" si="11"/>
        <v>1090.6343956677874</v>
      </c>
      <c r="D155" s="39">
        <f t="shared" si="12"/>
        <v>77834.134268017267</v>
      </c>
      <c r="E155" s="37">
        <f>SUM(C$2:C155)</f>
        <v>170677.81952955466</v>
      </c>
      <c r="F155" s="37">
        <f>SUM(D$2:D155)</f>
        <v>5770900.4159795465</v>
      </c>
    </row>
    <row r="156" spans="2:13" x14ac:dyDescent="0.25">
      <c r="B156" s="35">
        <v>44058</v>
      </c>
      <c r="C156" s="39">
        <f t="shared" si="11"/>
        <v>1098.5011408186931</v>
      </c>
      <c r="D156" s="39">
        <f t="shared" si="12"/>
        <v>78395.551825321571</v>
      </c>
      <c r="E156" s="37">
        <f>SUM(C$2:C156)</f>
        <v>171776.32067037336</v>
      </c>
      <c r="F156" s="37">
        <f>SUM(D$2:D156)</f>
        <v>5849295.9678048678</v>
      </c>
    </row>
    <row r="157" spans="2:13" x14ac:dyDescent="0.25">
      <c r="B157" s="35">
        <v>44059</v>
      </c>
      <c r="C157" s="39">
        <f t="shared" si="11"/>
        <v>1106.4246287969981</v>
      </c>
      <c r="D157" s="39">
        <f t="shared" si="12"/>
        <v>78961.018887083192</v>
      </c>
      <c r="E157" s="37">
        <f>SUM(C$2:C157)</f>
        <v>172882.74529917035</v>
      </c>
      <c r="F157" s="37">
        <f>SUM(D$2:D157)</f>
        <v>5928256.9866919508</v>
      </c>
    </row>
    <row r="158" spans="2:13" x14ac:dyDescent="0.25">
      <c r="B158" s="35">
        <v>44060</v>
      </c>
      <c r="C158" s="39">
        <f t="shared" si="11"/>
        <v>1114.4052688886779</v>
      </c>
      <c r="D158" s="39">
        <f t="shared" si="12"/>
        <v>79530.564662375007</v>
      </c>
      <c r="E158" s="37">
        <f>SUM(C$2:C158)</f>
        <v>173997.15056805903</v>
      </c>
      <c r="F158" s="37">
        <f>SUM(D$2:D158)</f>
        <v>6007787.5513543254</v>
      </c>
    </row>
    <row r="159" spans="2:13" x14ac:dyDescent="0.25">
      <c r="B159" s="35">
        <v>44061</v>
      </c>
      <c r="C159" s="39">
        <f t="shared" si="11"/>
        <v>1122.4434733318872</v>
      </c>
      <c r="D159" s="39">
        <f t="shared" si="12"/>
        <v>80104.218570954923</v>
      </c>
      <c r="E159" s="37">
        <f>SUM(C$2:C159)</f>
        <v>175119.59404139093</v>
      </c>
      <c r="F159" s="37">
        <f>SUM(D$2:D159)</f>
        <v>6087891.7699252805</v>
      </c>
    </row>
    <row r="160" spans="2:13" x14ac:dyDescent="0.25">
      <c r="B160" s="35">
        <v>44062</v>
      </c>
      <c r="C160" s="39">
        <f t="shared" si="11"/>
        <v>1130.5396573382543</v>
      </c>
      <c r="D160" s="39">
        <f t="shared" si="12"/>
        <v>80682.010244785546</v>
      </c>
      <c r="E160" s="37">
        <f>SUM(C$2:C160)</f>
        <v>176250.13369872919</v>
      </c>
      <c r="F160" s="37">
        <f>SUM(D$2:D160)</f>
        <v>6168573.7801700663</v>
      </c>
    </row>
    <row r="161" spans="2:6" x14ac:dyDescent="0.25">
      <c r="B161" s="35">
        <v>44063</v>
      </c>
      <c r="C161" s="39">
        <f t="shared" si="11"/>
        <v>1138.6942391143284</v>
      </c>
      <c r="D161" s="39">
        <f t="shared" si="12"/>
        <v>81263.969529564798</v>
      </c>
      <c r="E161" s="37">
        <f>SUM(C$2:C161)</f>
        <v>177388.82793784351</v>
      </c>
      <c r="F161" s="37">
        <f>SUM(D$2:D161)</f>
        <v>6249837.7496996308</v>
      </c>
    </row>
    <row r="162" spans="2:6" x14ac:dyDescent="0.25">
      <c r="B162" s="35">
        <v>44064</v>
      </c>
      <c r="C162" s="39">
        <f t="shared" si="11"/>
        <v>1146.9076398831828</v>
      </c>
      <c r="D162" s="39">
        <f t="shared" si="12"/>
        <v>81850.126486267618</v>
      </c>
      <c r="E162" s="37">
        <f>SUM(C$2:C162)</f>
        <v>178535.73557772671</v>
      </c>
      <c r="F162" s="37">
        <f>SUM(D$2:D162)</f>
        <v>6331687.8761858987</v>
      </c>
    </row>
    <row r="163" spans="2:6" x14ac:dyDescent="0.25">
      <c r="B163" s="35">
        <v>44065</v>
      </c>
      <c r="C163" s="39">
        <f t="shared" si="11"/>
        <v>1155.1802839061722</v>
      </c>
      <c r="D163" s="39">
        <f t="shared" si="12"/>
        <v>82440.511392698711</v>
      </c>
      <c r="E163" s="37">
        <f>SUM(C$2:C163)</f>
        <v>179690.91586163288</v>
      </c>
      <c r="F163" s="37">
        <f>SUM(D$2:D163)</f>
        <v>6414128.3875785973</v>
      </c>
    </row>
    <row r="164" spans="2:6" x14ac:dyDescent="0.25">
      <c r="B164" s="35">
        <v>44066</v>
      </c>
      <c r="C164" s="39">
        <f t="shared" si="11"/>
        <v>1163.512598504848</v>
      </c>
      <c r="D164" s="39">
        <f t="shared" si="12"/>
        <v>83035.154745056585</v>
      </c>
      <c r="E164" s="37">
        <f>SUM(C$2:C164)</f>
        <v>180854.42846013771</v>
      </c>
      <c r="F164" s="37">
        <f>SUM(D$2:D164)</f>
        <v>6497163.5423236536</v>
      </c>
    </row>
    <row r="165" spans="2:6" x14ac:dyDescent="0.25">
      <c r="B165" s="35">
        <v>44067</v>
      </c>
      <c r="C165" s="39">
        <f t="shared" si="11"/>
        <v>1171.905014083032</v>
      </c>
      <c r="D165" s="39">
        <f t="shared" si="12"/>
        <v>83634.087259508786</v>
      </c>
      <c r="E165" s="37">
        <f>SUM(C$2:C165)</f>
        <v>182026.33347422074</v>
      </c>
      <c r="F165" s="37">
        <f>SUM(D$2:D165)</f>
        <v>6580797.6295831623</v>
      </c>
    </row>
    <row r="166" spans="2:6" x14ac:dyDescent="0.25">
      <c r="B166" s="35">
        <v>44068</v>
      </c>
      <c r="C166" s="39">
        <f t="shared" si="11"/>
        <v>1180.3579641490483</v>
      </c>
      <c r="D166" s="39">
        <f t="shared" si="12"/>
        <v>84237.33987377859</v>
      </c>
      <c r="E166" s="37">
        <f>SUM(C$2:C166)</f>
        <v>183206.69143836977</v>
      </c>
      <c r="F166" s="37">
        <f>SUM(D$2:D166)</f>
        <v>6665034.9694569409</v>
      </c>
    </row>
    <row r="167" spans="2:6" x14ac:dyDescent="0.25">
      <c r="B167" s="35">
        <v>44069</v>
      </c>
      <c r="C167" s="39">
        <f t="shared" si="11"/>
        <v>1188.8718853381165</v>
      </c>
      <c r="D167" s="39">
        <f t="shared" si="12"/>
        <v>84844.943748743026</v>
      </c>
      <c r="E167" s="37">
        <f>SUM(C$2:C167)</f>
        <v>184395.5633237079</v>
      </c>
      <c r="F167" s="37">
        <f>SUM(D$2:D167)</f>
        <v>6749879.9132056842</v>
      </c>
    </row>
    <row r="168" spans="2:6" x14ac:dyDescent="0.25">
      <c r="B168" s="35">
        <v>44070</v>
      </c>
      <c r="C168" s="39">
        <f t="shared" si="11"/>
        <v>1197.447217434905</v>
      </c>
      <c r="D168" s="39">
        <f t="shared" si="12"/>
        <v>85456.930270042503</v>
      </c>
      <c r="E168" s="37">
        <f>SUM(C$2:C168)</f>
        <v>185593.01054114281</v>
      </c>
      <c r="F168" s="37">
        <f>SUM(D$2:D168)</f>
        <v>6835336.8434757264</v>
      </c>
    </row>
    <row r="169" spans="2:6" x14ac:dyDescent="0.25">
      <c r="B169" s="35">
        <v>44071</v>
      </c>
      <c r="C169" s="39">
        <f t="shared" si="11"/>
        <v>1206.0844033962496</v>
      </c>
      <c r="D169" s="39">
        <f t="shared" si="12"/>
        <v>86073.331049702043</v>
      </c>
      <c r="E169" s="37">
        <f>SUM(C$2:C169)</f>
        <v>186799.09494453907</v>
      </c>
      <c r="F169" s="37">
        <f>SUM(D$2:D169)</f>
        <v>6921410.1745254286</v>
      </c>
    </row>
    <row r="170" spans="2:6" x14ac:dyDescent="0.25">
      <c r="B170" s="35">
        <v>44072</v>
      </c>
      <c r="C170" s="39">
        <f t="shared" si="11"/>
        <v>1214.7838893740332</v>
      </c>
      <c r="D170" s="39">
        <f t="shared" si="12"/>
        <v>86694.177927764191</v>
      </c>
      <c r="E170" s="37">
        <f>SUM(C$2:C170)</f>
        <v>188013.8788339131</v>
      </c>
      <c r="F170" s="37">
        <f>SUM(D$2:D170)</f>
        <v>7008104.3524531927</v>
      </c>
    </row>
    <row r="171" spans="2:6" x14ac:dyDescent="0.25">
      <c r="B171" s="35">
        <v>44073</v>
      </c>
      <c r="C171" s="39">
        <f t="shared" si="11"/>
        <v>1223.5461247382318</v>
      </c>
      <c r="D171" s="39">
        <f t="shared" si="12"/>
        <v>87319.502973933675</v>
      </c>
      <c r="E171" s="37">
        <f>SUM(C$2:C171)</f>
        <v>189237.42495865133</v>
      </c>
      <c r="F171" s="37">
        <f>SUM(D$2:D171)</f>
        <v>7095423.8554271264</v>
      </c>
    </row>
    <row r="172" spans="2:6" x14ac:dyDescent="0.25">
      <c r="B172" s="35">
        <v>44074</v>
      </c>
      <c r="C172" s="39">
        <f t="shared" si="11"/>
        <v>1232.3715621001263</v>
      </c>
      <c r="D172" s="39">
        <f t="shared" si="12"/>
        <v>87949.338489233996</v>
      </c>
      <c r="E172" s="37">
        <f>SUM(C$2:C172)</f>
        <v>190469.79652075146</v>
      </c>
      <c r="F172" s="37">
        <f>SUM(D$2:D172)</f>
        <v>7183373.1939163608</v>
      </c>
    </row>
    <row r="173" spans="2:6" x14ac:dyDescent="0.25">
      <c r="B173" s="35">
        <v>44075</v>
      </c>
      <c r="C173" s="39">
        <f t="shared" si="11"/>
        <v>1241.2606573356834</v>
      </c>
      <c r="D173" s="39">
        <f t="shared" si="12"/>
        <v>88583.717007675921</v>
      </c>
      <c r="E173" s="37">
        <f>SUM(C$2:C173)</f>
        <v>191711.05717808715</v>
      </c>
      <c r="F173" s="37">
        <f>SUM(D$2:D173)</f>
        <v>7271956.910924037</v>
      </c>
    </row>
    <row r="174" spans="2:6" x14ac:dyDescent="0.25">
      <c r="B174" s="35">
        <v>44076</v>
      </c>
      <c r="C174" s="39">
        <f t="shared" si="11"/>
        <v>1250.2138696091019</v>
      </c>
      <c r="D174" s="39">
        <f t="shared" si="12"/>
        <v>89222.67129793801</v>
      </c>
      <c r="E174" s="37">
        <f>SUM(C$2:C174)</f>
        <v>192961.27104769627</v>
      </c>
      <c r="F174" s="37">
        <f>SUM(D$2:D174)</f>
        <v>7361179.5822219746</v>
      </c>
    </row>
    <row r="175" spans="2:6" x14ac:dyDescent="0.25">
      <c r="B175" s="35">
        <v>44077</v>
      </c>
      <c r="C175" s="39">
        <f t="shared" si="11"/>
        <v>1259.2316613965324</v>
      </c>
      <c r="D175" s="39">
        <f t="shared" si="12"/>
        <v>89866.234365059267</v>
      </c>
      <c r="E175" s="37">
        <f>SUM(C$2:C175)</f>
        <v>194220.50270909281</v>
      </c>
      <c r="F175" s="37">
        <f>SUM(D$2:D175)</f>
        <v>7451045.8165870337</v>
      </c>
    </row>
    <row r="176" spans="2:6" x14ac:dyDescent="0.25">
      <c r="B176" s="35">
        <v>44078</v>
      </c>
      <c r="C176" s="39">
        <f t="shared" si="11"/>
        <v>1268.3144985099657</v>
      </c>
      <c r="D176" s="39">
        <f t="shared" si="12"/>
        <v>90514.439452144026</v>
      </c>
      <c r="E176" s="37">
        <f>SUM(C$2:C176)</f>
        <v>195488.81720760278</v>
      </c>
      <c r="F176" s="37">
        <f>SUM(D$2:D176)</f>
        <v>7541560.256039178</v>
      </c>
    </row>
    <row r="177" spans="2:6" x14ac:dyDescent="0.25">
      <c r="B177" s="35">
        <v>44079</v>
      </c>
      <c r="C177" s="39">
        <f t="shared" si="11"/>
        <v>1277.4628501212931</v>
      </c>
      <c r="D177" s="39">
        <f t="shared" si="12"/>
        <v>91167.320042079125</v>
      </c>
      <c r="E177" s="37">
        <f>SUM(C$2:C177)</f>
        <v>196766.28005772407</v>
      </c>
      <c r="F177" s="37">
        <f>SUM(D$2:D177)</f>
        <v>7632727.5760812573</v>
      </c>
    </row>
    <row r="178" spans="2:6" x14ac:dyDescent="0.25">
      <c r="B178" s="35">
        <v>44080</v>
      </c>
      <c r="C178" s="39">
        <f t="shared" si="11"/>
        <v>1286.6771887865436</v>
      </c>
      <c r="D178" s="39">
        <f t="shared" si="12"/>
        <v>91824.909859263425</v>
      </c>
      <c r="E178" s="37">
        <f>SUM(C$2:C178)</f>
        <v>198052.9572465106</v>
      </c>
      <c r="F178" s="37">
        <f>SUM(D$2:D178)</f>
        <v>7724552.4859405207</v>
      </c>
    </row>
    <row r="179" spans="2:6" x14ac:dyDescent="0.25">
      <c r="B179" s="35">
        <v>44081</v>
      </c>
      <c r="C179" s="39">
        <f t="shared" si="11"/>
        <v>1295.9579904702919</v>
      </c>
      <c r="D179" s="39">
        <f t="shared" si="12"/>
        <v>92487.242871349852</v>
      </c>
      <c r="E179" s="37">
        <f>SUM(C$2:C179)</f>
        <v>199348.91523698089</v>
      </c>
      <c r="F179" s="37">
        <f>SUM(D$2:D179)</f>
        <v>7817039.7288118703</v>
      </c>
    </row>
    <row r="180" spans="2:6" x14ac:dyDescent="0.25">
      <c r="B180" s="35">
        <v>44082</v>
      </c>
      <c r="C180" s="39">
        <f t="shared" si="11"/>
        <v>1305.305734570245</v>
      </c>
      <c r="D180" s="39">
        <f t="shared" si="12"/>
        <v>93154.353290999992</v>
      </c>
      <c r="E180" s="37">
        <f>SUM(C$2:C180)</f>
        <v>200654.22097155114</v>
      </c>
      <c r="F180" s="37">
        <f>SUM(D$2:D180)</f>
        <v>7910194.0821028706</v>
      </c>
    </row>
    <row r="181" spans="2:6" x14ac:dyDescent="0.25">
      <c r="B181" s="35">
        <v>44083</v>
      </c>
      <c r="C181" s="39">
        <f t="shared" si="11"/>
        <v>1314.7209039420056</v>
      </c>
      <c r="D181" s="39">
        <f t="shared" si="12"/>
        <v>93826.275577651351</v>
      </c>
      <c r="E181" s="37">
        <f>SUM(C$2:C181)</f>
        <v>201968.94187549315</v>
      </c>
      <c r="F181" s="37">
        <f>SUM(D$2:D181)</f>
        <v>8004020.3576805219</v>
      </c>
    </row>
    <row r="182" spans="2:6" x14ac:dyDescent="0.25">
      <c r="B182" s="35">
        <v>44084</v>
      </c>
      <c r="C182" s="39">
        <f t="shared" si="11"/>
        <v>1324.2039849240127</v>
      </c>
      <c r="D182" s="39">
        <f t="shared" si="12"/>
        <v>94503.044439297315</v>
      </c>
      <c r="E182" s="37">
        <f>SUM(C$2:C182)</f>
        <v>203293.14586041716</v>
      </c>
      <c r="F182" s="37">
        <f>SUM(D$2:D182)</f>
        <v>8098523.4021198191</v>
      </c>
    </row>
    <row r="183" spans="2:6" x14ac:dyDescent="0.25">
      <c r="B183" s="35">
        <v>44085</v>
      </c>
      <c r="C183" s="39">
        <f t="shared" si="11"/>
        <v>1333.7554673626648</v>
      </c>
      <c r="D183" s="39">
        <f t="shared" si="12"/>
        <v>95184.694834280017</v>
      </c>
      <c r="E183" s="37">
        <f>SUM(C$2:C183)</f>
        <v>204626.90132777984</v>
      </c>
      <c r="F183" s="37">
        <f>SUM(D$2:D183)</f>
        <v>8193708.0969540989</v>
      </c>
    </row>
    <row r="184" spans="2:6" x14ac:dyDescent="0.25">
      <c r="B184" s="35">
        <v>44086</v>
      </c>
      <c r="C184" s="39">
        <f t="shared" si="11"/>
        <v>1343.3758446376221</v>
      </c>
      <c r="D184" s="39">
        <f t="shared" si="12"/>
        <v>95871.261973096072</v>
      </c>
      <c r="E184" s="37">
        <f>SUM(C$2:C184)</f>
        <v>205970.27717241747</v>
      </c>
      <c r="F184" s="37">
        <f>SUM(D$2:D184)</f>
        <v>8289579.358927195</v>
      </c>
    </row>
    <row r="185" spans="2:6" x14ac:dyDescent="0.25">
      <c r="B185" s="35">
        <v>44087</v>
      </c>
      <c r="C185" s="39">
        <f t="shared" si="11"/>
        <v>1353.0656136872917</v>
      </c>
      <c r="D185" s="39">
        <f t="shared" si="12"/>
        <v>96562.781320215392</v>
      </c>
      <c r="E185" s="37">
        <f>SUM(C$2:C185)</f>
        <v>207323.34278610477</v>
      </c>
      <c r="F185" s="37">
        <f>SUM(D$2:D185)</f>
        <v>8386142.1402474102</v>
      </c>
    </row>
    <row r="186" spans="2:6" x14ac:dyDescent="0.25">
      <c r="B186" s="35">
        <v>44088</v>
      </c>
      <c r="C186" s="39">
        <f t="shared" si="11"/>
        <v>1362.8252750344971</v>
      </c>
      <c r="D186" s="39">
        <f t="shared" si="12"/>
        <v>97259.28859591308</v>
      </c>
      <c r="E186" s="37">
        <f>SUM(C$2:C186)</f>
        <v>208686.16806113927</v>
      </c>
      <c r="F186" s="37">
        <f>SUM(D$2:D186)</f>
        <v>8483401.4288433231</v>
      </c>
    </row>
    <row r="187" spans="2:6" x14ac:dyDescent="0.25">
      <c r="B187" s="35">
        <v>44089</v>
      </c>
      <c r="C187" s="39">
        <f t="shared" si="11"/>
        <v>1372.6553328123325</v>
      </c>
      <c r="D187" s="39">
        <f t="shared" si="12"/>
        <v>97960.819778114572</v>
      </c>
      <c r="E187" s="37">
        <f>SUM(C$2:C187)</f>
        <v>210058.82339395161</v>
      </c>
      <c r="F187" s="37">
        <f>SUM(D$2:D187)</f>
        <v>8581362.2486214377</v>
      </c>
    </row>
    <row r="188" spans="2:6" x14ac:dyDescent="0.25">
      <c r="B188" s="35">
        <v>44090</v>
      </c>
      <c r="C188" s="39">
        <f t="shared" si="11"/>
        <v>1382.5562947902047</v>
      </c>
      <c r="D188" s="39">
        <f t="shared" si="12"/>
        <v>98667.411104254046</v>
      </c>
      <c r="E188" s="37">
        <f>SUM(C$2:C188)</f>
        <v>211441.37968874181</v>
      </c>
      <c r="F188" s="37">
        <f>SUM(D$2:D188)</f>
        <v>8680029.6597256921</v>
      </c>
    </row>
    <row r="189" spans="2:6" x14ac:dyDescent="0.25">
      <c r="B189" s="35">
        <v>44091</v>
      </c>
      <c r="C189" s="39">
        <f t="shared" si="11"/>
        <v>1392.5286724000593</v>
      </c>
      <c r="D189" s="39">
        <f t="shared" si="12"/>
        <v>99379.099073146266</v>
      </c>
      <c r="E189" s="37">
        <f>SUM(C$2:C189)</f>
        <v>212833.90836114186</v>
      </c>
      <c r="F189" s="37">
        <f>SUM(D$2:D189)</f>
        <v>8779408.7587988377</v>
      </c>
    </row>
    <row r="190" spans="2:6" x14ac:dyDescent="0.25">
      <c r="B190" s="35">
        <v>44092</v>
      </c>
      <c r="C190" s="39">
        <f t="shared" si="11"/>
        <v>1402.5729807628015</v>
      </c>
      <c r="D190" s="39">
        <f t="shared" si="12"/>
        <v>100095.92044687193</v>
      </c>
      <c r="E190" s="37">
        <f>SUM(C$2:C190)</f>
        <v>214236.48134190467</v>
      </c>
      <c r="F190" s="37">
        <f>SUM(D$2:D190)</f>
        <v>8879504.6792457104</v>
      </c>
    </row>
    <row r="191" spans="2:6" x14ac:dyDescent="0.25">
      <c r="B191" s="35">
        <v>44093</v>
      </c>
      <c r="C191" s="39">
        <f t="shared" si="11"/>
        <v>1412.6897387149024</v>
      </c>
      <c r="D191" s="39">
        <f t="shared" si="12"/>
        <v>100817.91225267659</v>
      </c>
      <c r="E191" s="37">
        <f>SUM(C$2:C191)</f>
        <v>215649.17108061956</v>
      </c>
      <c r="F191" s="37">
        <f>SUM(D$2:D191)</f>
        <v>8980322.5914983861</v>
      </c>
    </row>
    <row r="192" spans="2:6" x14ac:dyDescent="0.25">
      <c r="B192" s="35">
        <v>44094</v>
      </c>
      <c r="C192" s="39">
        <f t="shared" si="11"/>
        <v>1422.8794688352011</v>
      </c>
      <c r="D192" s="39">
        <f t="shared" si="12"/>
        <v>101545.11178488331</v>
      </c>
      <c r="E192" s="37">
        <f>SUM(C$2:C192)</f>
        <v>217072.05054945475</v>
      </c>
      <c r="F192" s="37">
        <f>SUM(D$2:D192)</f>
        <v>9081867.703283269</v>
      </c>
    </row>
    <row r="193" spans="2:6" x14ac:dyDescent="0.25">
      <c r="B193" s="35">
        <v>44095</v>
      </c>
      <c r="C193" s="39">
        <f t="shared" si="11"/>
        <v>1433.1426974718963</v>
      </c>
      <c r="D193" s="39">
        <f t="shared" si="12"/>
        <v>102277.55660681907</v>
      </c>
      <c r="E193" s="37">
        <f>SUM(C$2:C193)</f>
        <v>218505.19324692665</v>
      </c>
      <c r="F193" s="37">
        <f>SUM(D$2:D193)</f>
        <v>9184145.2598900888</v>
      </c>
    </row>
    <row r="194" spans="2:6" x14ac:dyDescent="0.25">
      <c r="B194" s="35">
        <v>44096</v>
      </c>
      <c r="C194" s="39">
        <f t="shared" si="11"/>
        <v>1443.4799547697369</v>
      </c>
      <c r="D194" s="39">
        <f t="shared" si="12"/>
        <v>103015.28455275508</v>
      </c>
      <c r="E194" s="37">
        <f>SUM(C$2:C194)</f>
        <v>219948.67320169639</v>
      </c>
      <c r="F194" s="37">
        <f>SUM(D$2:D194)</f>
        <v>9287160.5444428436</v>
      </c>
    </row>
    <row r="195" spans="2:6" x14ac:dyDescent="0.25">
      <c r="B195" s="35">
        <v>44097</v>
      </c>
      <c r="C195" s="39">
        <f t="shared" si="11"/>
        <v>1453.891774697405</v>
      </c>
      <c r="D195" s="39">
        <f t="shared" si="12"/>
        <v>103758.33372986117</v>
      </c>
      <c r="E195" s="37">
        <f>SUM(C$2:C195)</f>
        <v>221402.5649763938</v>
      </c>
      <c r="F195" s="37">
        <f>SUM(D$2:D195)</f>
        <v>9390918.8781727049</v>
      </c>
    </row>
    <row r="196" spans="2:6" x14ac:dyDescent="0.25">
      <c r="B196" s="35">
        <v>44098</v>
      </c>
      <c r="C196" s="39">
        <f t="shared" si="11"/>
        <v>1464.3786950750989</v>
      </c>
      <c r="D196" s="39">
        <f t="shared" si="12"/>
        <v>104506.74252017413</v>
      </c>
      <c r="E196" s="37">
        <f>SUM(C$2:C196)</f>
        <v>222866.94367146891</v>
      </c>
      <c r="F196" s="37">
        <f>SUM(D$2:D196)</f>
        <v>9495425.620692879</v>
      </c>
    </row>
    <row r="197" spans="2:6" x14ac:dyDescent="0.25">
      <c r="B197" s="35">
        <v>44099</v>
      </c>
      <c r="C197" s="39">
        <f t="shared" si="11"/>
        <v>1474.9412576023133</v>
      </c>
      <c r="D197" s="39">
        <f t="shared" si="12"/>
        <v>105260.54958258035</v>
      </c>
      <c r="E197" s="37">
        <f>SUM(C$2:C197)</f>
        <v>224341.88492907121</v>
      </c>
      <c r="F197" s="37">
        <f>SUM(D$2:D197)</f>
        <v>9600686.1702754591</v>
      </c>
    </row>
    <row r="198" spans="2:6" x14ac:dyDescent="0.25">
      <c r="B198" s="35">
        <v>44100</v>
      </c>
      <c r="C198" s="39">
        <f t="shared" si="11"/>
        <v>1485.5800078858208</v>
      </c>
      <c r="D198" s="39">
        <f t="shared" si="12"/>
        <v>106019.79385481276</v>
      </c>
      <c r="E198" s="37">
        <f>SUM(C$2:C198)</f>
        <v>225827.46493695703</v>
      </c>
      <c r="F198" s="37">
        <f>SUM(D$2:D198)</f>
        <v>9706705.9641302712</v>
      </c>
    </row>
    <row r="199" spans="2:6" x14ac:dyDescent="0.25">
      <c r="B199" s="35">
        <v>44101</v>
      </c>
      <c r="C199" s="39">
        <f t="shared" si="11"/>
        <v>1496.2954954678557</v>
      </c>
      <c r="D199" s="39">
        <f t="shared" si="12"/>
        <v>106784.51455546211</v>
      </c>
      <c r="E199" s="37">
        <f>SUM(C$2:C199)</f>
        <v>227323.76043242487</v>
      </c>
      <c r="F199" s="37">
        <f>SUM(D$2:D199)</f>
        <v>9813490.4786857329</v>
      </c>
    </row>
    <row r="200" spans="2:6" x14ac:dyDescent="0.25">
      <c r="B200" s="35">
        <v>44102</v>
      </c>
      <c r="C200" s="39">
        <f t="shared" si="11"/>
        <v>1507.0882738544994</v>
      </c>
      <c r="D200" s="39">
        <f t="shared" si="12"/>
        <v>107554.75118600285</v>
      </c>
      <c r="E200" s="37">
        <f>SUM(C$2:C200)</f>
        <v>228830.84870627936</v>
      </c>
      <c r="F200" s="37">
        <f>SUM(D$2:D200)</f>
        <v>9921045.229871735</v>
      </c>
    </row>
    <row r="201" spans="2:6" x14ac:dyDescent="0.25">
      <c r="B201" s="35">
        <v>44103</v>
      </c>
      <c r="C201" s="39">
        <f t="shared" ref="C201:C203" si="13">$E$135*D187</f>
        <v>1517.9589005442733</v>
      </c>
      <c r="D201" s="39">
        <f t="shared" ref="D201:D203" si="14">D200*AVERAGE($F$129:$F$135)</f>
        <v>108330.5435328335</v>
      </c>
      <c r="E201" s="37">
        <f>SUM(C$2:C201)</f>
        <v>230348.80760682363</v>
      </c>
      <c r="F201" s="37">
        <f>SUM(D$2:D201)</f>
        <v>10029375.773404568</v>
      </c>
    </row>
    <row r="202" spans="2:6" x14ac:dyDescent="0.25">
      <c r="B202" s="35">
        <v>44104</v>
      </c>
      <c r="C202" s="39">
        <f t="shared" si="13"/>
        <v>1528.9079370569345</v>
      </c>
      <c r="D202" s="39">
        <f t="shared" si="14"/>
        <v>109111.93166933188</v>
      </c>
      <c r="E202" s="37">
        <f>SUM(C$2:C202)</f>
        <v>231877.71554388056</v>
      </c>
      <c r="F202" s="37">
        <f>SUM(D$2:D202)</f>
        <v>10138487.705073901</v>
      </c>
    </row>
    <row r="203" spans="2:6" x14ac:dyDescent="0.25">
      <c r="B203" s="35">
        <v>44105</v>
      </c>
      <c r="C203" s="39">
        <f t="shared" si="13"/>
        <v>1539.9359489624819</v>
      </c>
      <c r="D203" s="39">
        <f t="shared" si="14"/>
        <v>109898.95595792503</v>
      </c>
      <c r="E203" s="37">
        <f>SUM(C$2:C203)</f>
        <v>233417.65149284306</v>
      </c>
      <c r="F203" s="37">
        <f>SUM(D$2:D203)</f>
        <v>10248386.661031825</v>
      </c>
    </row>
  </sheetData>
  <mergeCells count="3">
    <mergeCell ref="H122:I122"/>
    <mergeCell ref="H121:M121"/>
    <mergeCell ref="H133:M133"/>
  </mergeCells>
  <phoneticPr fontId="9" type="noConversion"/>
  <conditionalFormatting sqref="C2:C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8"/>
  <sheetViews>
    <sheetView tabSelected="1" topLeftCell="A32" zoomScaleNormal="100" workbookViewId="0">
      <selection activeCell="O130" sqref="O130"/>
    </sheetView>
  </sheetViews>
  <sheetFormatPr defaultColWidth="8.7109375" defaultRowHeight="15" x14ac:dyDescent="0.25"/>
  <cols>
    <col min="2" max="2" width="14.28515625" customWidth="1"/>
    <col min="3" max="3" width="12" customWidth="1"/>
    <col min="4" max="4" width="16.140625" customWidth="1"/>
    <col min="5" max="5" width="12" customWidth="1"/>
    <col min="6" max="6" width="14.28515625" customWidth="1"/>
    <col min="7" max="7" width="10.140625" bestFit="1" customWidth="1"/>
    <col min="8" max="8" width="4" bestFit="1" customWidth="1"/>
    <col min="9" max="9" width="4.85546875" bestFit="1" customWidth="1"/>
    <col min="10" max="10" width="12.140625" bestFit="1" customWidth="1"/>
    <col min="11" max="11" width="12.5703125" bestFit="1" customWidth="1"/>
    <col min="12" max="12" width="13.140625" bestFit="1" customWidth="1"/>
    <col min="13" max="13" width="8.140625" customWidth="1"/>
    <col min="14" max="14" width="11.7109375" customWidth="1"/>
    <col min="15" max="15" width="12.42578125" customWidth="1"/>
    <col min="16" max="16" width="13.140625" customWidth="1"/>
    <col min="1023" max="1023" width="11.5703125" customWidth="1"/>
  </cols>
  <sheetData>
    <row r="1" spans="1:7" x14ac:dyDescent="0.25">
      <c r="A1" t="s">
        <v>300</v>
      </c>
      <c r="B1" t="s">
        <v>4</v>
      </c>
      <c r="C1" t="s">
        <v>2</v>
      </c>
      <c r="D1" t="s">
        <v>301</v>
      </c>
      <c r="E1" t="s">
        <v>302</v>
      </c>
    </row>
    <row r="2" spans="1:7" x14ac:dyDescent="0.25">
      <c r="A2" t="s">
        <v>303</v>
      </c>
      <c r="B2">
        <v>0</v>
      </c>
      <c r="C2" s="34">
        <v>7</v>
      </c>
      <c r="E2" t="s">
        <v>304</v>
      </c>
      <c r="F2" t="s">
        <v>305</v>
      </c>
    </row>
    <row r="3" spans="1:7" x14ac:dyDescent="0.25">
      <c r="A3" s="35">
        <v>43905</v>
      </c>
      <c r="B3">
        <v>0</v>
      </c>
      <c r="C3" s="34">
        <v>6</v>
      </c>
      <c r="D3" t="s">
        <v>307</v>
      </c>
      <c r="E3" s="36">
        <v>16682</v>
      </c>
      <c r="F3" s="36">
        <v>23841</v>
      </c>
    </row>
    <row r="4" spans="1:7" x14ac:dyDescent="0.25">
      <c r="A4" s="35">
        <v>43906</v>
      </c>
      <c r="B4">
        <v>0</v>
      </c>
      <c r="C4" s="34">
        <v>4</v>
      </c>
      <c r="D4" t="s">
        <v>313</v>
      </c>
      <c r="E4" s="36">
        <v>15321</v>
      </c>
      <c r="F4" s="36">
        <v>22383</v>
      </c>
    </row>
    <row r="5" spans="1:7" x14ac:dyDescent="0.25">
      <c r="A5" s="35">
        <v>43907</v>
      </c>
      <c r="B5">
        <v>0</v>
      </c>
      <c r="C5" s="34">
        <v>9</v>
      </c>
      <c r="D5" t="s">
        <v>314</v>
      </c>
      <c r="E5">
        <f>E3-E4</f>
        <v>1361</v>
      </c>
      <c r="F5">
        <f>F3-F4</f>
        <v>1458</v>
      </c>
    </row>
    <row r="6" spans="1:7" x14ac:dyDescent="0.25">
      <c r="A6" s="35">
        <v>43908</v>
      </c>
      <c r="B6">
        <v>0</v>
      </c>
      <c r="C6" s="34">
        <v>13</v>
      </c>
      <c r="D6" t="s">
        <v>315</v>
      </c>
      <c r="E6">
        <f>291557</f>
        <v>291557</v>
      </c>
      <c r="F6">
        <f>140414+74524</f>
        <v>214938</v>
      </c>
    </row>
    <row r="7" spans="1:7" x14ac:dyDescent="0.25">
      <c r="A7" s="35">
        <v>43909</v>
      </c>
      <c r="B7">
        <v>0</v>
      </c>
      <c r="C7" s="34">
        <v>5</v>
      </c>
      <c r="D7" t="s">
        <v>316</v>
      </c>
      <c r="E7" s="40">
        <f>E6/E5</f>
        <v>214.2226304188097</v>
      </c>
      <c r="F7" s="40">
        <f>F6/F5</f>
        <v>147.41975308641975</v>
      </c>
    </row>
    <row r="8" spans="1:7" x14ac:dyDescent="0.25">
      <c r="A8" s="35">
        <v>43910</v>
      </c>
      <c r="B8">
        <v>0</v>
      </c>
      <c r="C8" s="34">
        <v>11</v>
      </c>
      <c r="D8" t="s">
        <v>317</v>
      </c>
      <c r="E8">
        <f>E6+113842</f>
        <v>405399</v>
      </c>
      <c r="F8">
        <f>F6+224097+59297</f>
        <v>498332</v>
      </c>
    </row>
    <row r="9" spans="1:7" x14ac:dyDescent="0.25">
      <c r="A9" s="35">
        <v>43911</v>
      </c>
      <c r="B9">
        <v>0</v>
      </c>
      <c r="C9" s="34">
        <v>10</v>
      </c>
      <c r="D9" t="s">
        <v>318</v>
      </c>
      <c r="E9" s="40">
        <f>E8/E5</f>
        <v>297.86847905951504</v>
      </c>
      <c r="F9" s="40">
        <f>F8/F5</f>
        <v>341.79149519890262</v>
      </c>
    </row>
    <row r="10" spans="1:7" x14ac:dyDescent="0.25">
      <c r="A10" s="35">
        <v>43912</v>
      </c>
      <c r="B10">
        <v>0</v>
      </c>
      <c r="C10" s="34">
        <v>13</v>
      </c>
    </row>
    <row r="11" spans="1:7" x14ac:dyDescent="0.25">
      <c r="A11" s="35">
        <v>43913</v>
      </c>
      <c r="B11">
        <v>1</v>
      </c>
      <c r="C11" s="34">
        <v>23</v>
      </c>
    </row>
    <row r="12" spans="1:7" x14ac:dyDescent="0.25">
      <c r="A12" s="35">
        <v>43914</v>
      </c>
      <c r="B12">
        <v>0</v>
      </c>
      <c r="C12" s="34">
        <v>7</v>
      </c>
    </row>
    <row r="13" spans="1:7" x14ac:dyDescent="0.25">
      <c r="A13" s="35">
        <v>43915</v>
      </c>
      <c r="B13">
        <v>0</v>
      </c>
      <c r="C13" s="34">
        <v>29</v>
      </c>
    </row>
    <row r="14" spans="1:7" x14ac:dyDescent="0.25">
      <c r="A14" s="35">
        <v>43916</v>
      </c>
      <c r="B14">
        <v>0</v>
      </c>
      <c r="C14" s="34">
        <v>21</v>
      </c>
      <c r="E14">
        <f t="shared" ref="E14:E45" si="0">AVERAGE(C12:C14)/AVERAGE(C1:C14)</f>
        <v>1.5632911392405064</v>
      </c>
      <c r="F14" t="str">
        <f>IF(E14&gt;1,"Red","Green")</f>
        <v>Red</v>
      </c>
    </row>
    <row r="15" spans="1:7" x14ac:dyDescent="0.25">
      <c r="A15" s="35">
        <v>43917</v>
      </c>
      <c r="B15">
        <v>1</v>
      </c>
      <c r="C15" s="34">
        <v>29</v>
      </c>
      <c r="E15">
        <f t="shared" si="0"/>
        <v>1.9714795008912653</v>
      </c>
      <c r="F15" s="34" t="str">
        <f t="shared" ref="F15:F78" si="1">IF(E15&gt;1,"Red","Green")</f>
        <v>Red</v>
      </c>
      <c r="G15" s="34"/>
    </row>
    <row r="16" spans="1:7" x14ac:dyDescent="0.25">
      <c r="A16" s="35">
        <v>43918</v>
      </c>
      <c r="B16">
        <v>0</v>
      </c>
      <c r="C16" s="34">
        <v>27</v>
      </c>
      <c r="E16">
        <f t="shared" si="0"/>
        <v>1.7359098228663445</v>
      </c>
      <c r="F16" s="34" t="str">
        <f t="shared" si="1"/>
        <v>Red</v>
      </c>
      <c r="G16" s="34"/>
    </row>
    <row r="17" spans="1:10" x14ac:dyDescent="0.25">
      <c r="A17" s="35">
        <v>43919</v>
      </c>
      <c r="B17">
        <v>1</v>
      </c>
      <c r="C17" s="34">
        <v>44</v>
      </c>
      <c r="E17">
        <f t="shared" si="0"/>
        <v>1.9047619047619049</v>
      </c>
      <c r="F17" s="34" t="str">
        <f t="shared" si="1"/>
        <v>Red</v>
      </c>
      <c r="G17" s="34"/>
    </row>
    <row r="18" spans="1:10" x14ac:dyDescent="0.25">
      <c r="A18" s="35">
        <v>43920</v>
      </c>
      <c r="B18">
        <v>0</v>
      </c>
      <c r="C18" s="34">
        <v>56</v>
      </c>
      <c r="E18">
        <f t="shared" si="0"/>
        <v>1.9955106621773289</v>
      </c>
      <c r="F18" s="34" t="str">
        <f t="shared" si="1"/>
        <v>Red</v>
      </c>
      <c r="G18" s="34"/>
    </row>
    <row r="19" spans="1:10" x14ac:dyDescent="0.25">
      <c r="A19" s="35">
        <v>43921</v>
      </c>
      <c r="B19">
        <v>0</v>
      </c>
      <c r="C19" s="34">
        <v>53</v>
      </c>
      <c r="D19">
        <f t="shared" ref="D19:D50" si="2">AVERAGE(B16:B20)/AVERAGE(C1:C15)</f>
        <v>2.9946524064171122E-2</v>
      </c>
      <c r="E19">
        <f t="shared" si="0"/>
        <v>2.0938416422287389</v>
      </c>
      <c r="F19" s="34" t="str">
        <f t="shared" si="1"/>
        <v>Red</v>
      </c>
      <c r="G19" s="34"/>
    </row>
    <row r="20" spans="1:10" x14ac:dyDescent="0.25">
      <c r="A20" s="35">
        <v>43922</v>
      </c>
      <c r="B20">
        <v>1</v>
      </c>
      <c r="C20" s="34">
        <v>48</v>
      </c>
      <c r="D20">
        <f t="shared" si="2"/>
        <v>4.2056074766355138E-2</v>
      </c>
      <c r="E20">
        <f t="shared" si="0"/>
        <v>1.948581560283688</v>
      </c>
      <c r="F20" s="34" t="str">
        <f t="shared" si="1"/>
        <v>Red</v>
      </c>
      <c r="G20" s="34"/>
    </row>
    <row r="21" spans="1:10" x14ac:dyDescent="0.25">
      <c r="A21" s="35">
        <v>43923</v>
      </c>
      <c r="B21">
        <v>1</v>
      </c>
      <c r="C21" s="34">
        <v>64</v>
      </c>
      <c r="D21">
        <f t="shared" si="2"/>
        <v>4.7808764940239043E-2</v>
      </c>
      <c r="E21">
        <f t="shared" si="0"/>
        <v>1.7701149425287355</v>
      </c>
      <c r="F21" s="34" t="str">
        <f t="shared" si="1"/>
        <v>Red</v>
      </c>
      <c r="G21" s="34"/>
    </row>
    <row r="22" spans="1:10" x14ac:dyDescent="0.25">
      <c r="A22" s="35">
        <v>43924</v>
      </c>
      <c r="B22">
        <v>2</v>
      </c>
      <c r="C22" s="34">
        <v>61</v>
      </c>
      <c r="D22">
        <f t="shared" si="2"/>
        <v>5.9800664451827239E-2</v>
      </c>
      <c r="E22">
        <f t="shared" si="0"/>
        <v>1.6646048109965634</v>
      </c>
      <c r="F22" s="34" t="str">
        <f t="shared" si="1"/>
        <v>Red</v>
      </c>
      <c r="G22" s="34"/>
    </row>
    <row r="23" spans="1:10" x14ac:dyDescent="0.25">
      <c r="A23" s="35">
        <v>43925</v>
      </c>
      <c r="B23">
        <v>2</v>
      </c>
      <c r="C23" s="34">
        <v>81</v>
      </c>
      <c r="D23">
        <f t="shared" si="2"/>
        <v>6.8571428571428575E-2</v>
      </c>
      <c r="E23">
        <f t="shared" si="0"/>
        <v>1.7290167865707435</v>
      </c>
      <c r="F23" s="34" t="str">
        <f t="shared" si="1"/>
        <v>Red</v>
      </c>
      <c r="G23" s="34"/>
    </row>
    <row r="24" spans="1:10" x14ac:dyDescent="0.25">
      <c r="A24" s="35">
        <v>43926</v>
      </c>
      <c r="B24" s="40">
        <v>2</v>
      </c>
      <c r="C24" s="34">
        <v>48</v>
      </c>
      <c r="D24">
        <f t="shared" si="2"/>
        <v>5.3984575835475578E-2</v>
      </c>
      <c r="E24">
        <f t="shared" si="0"/>
        <v>1.5002820078962211</v>
      </c>
      <c r="F24" s="34" t="str">
        <f t="shared" si="1"/>
        <v>Red</v>
      </c>
      <c r="G24" s="34"/>
    </row>
    <row r="25" spans="1:10" x14ac:dyDescent="0.25">
      <c r="A25" s="35">
        <v>43927</v>
      </c>
      <c r="B25" s="40">
        <v>0</v>
      </c>
      <c r="C25" s="34">
        <v>46</v>
      </c>
      <c r="D25">
        <f t="shared" si="2"/>
        <v>6.8181818181818191E-2</v>
      </c>
      <c r="E25">
        <f t="shared" si="0"/>
        <v>1.3300760043431055</v>
      </c>
      <c r="F25" s="34" t="str">
        <f t="shared" si="1"/>
        <v>Red</v>
      </c>
      <c r="G25" s="34"/>
    </row>
    <row r="26" spans="1:10" x14ac:dyDescent="0.25">
      <c r="A26" s="35">
        <v>43928</v>
      </c>
      <c r="B26" s="40">
        <v>4</v>
      </c>
      <c r="C26" s="34">
        <v>32</v>
      </c>
      <c r="D26">
        <f t="shared" si="2"/>
        <v>7.8629032258064516E-2</v>
      </c>
      <c r="E26">
        <f t="shared" si="0"/>
        <v>0.92018779342723001</v>
      </c>
      <c r="F26" s="34" t="str">
        <f t="shared" si="1"/>
        <v>Green</v>
      </c>
      <c r="G26" s="34"/>
      <c r="H26" s="34"/>
      <c r="I26" s="34"/>
      <c r="J26" s="34"/>
    </row>
    <row r="27" spans="1:10" x14ac:dyDescent="0.25">
      <c r="A27" s="35">
        <v>43929</v>
      </c>
      <c r="B27" s="40">
        <v>5</v>
      </c>
      <c r="C27" s="34">
        <v>41</v>
      </c>
      <c r="D27">
        <f t="shared" si="2"/>
        <v>7.4204946996466431E-2</v>
      </c>
      <c r="E27">
        <f t="shared" si="0"/>
        <v>0.8530465949820788</v>
      </c>
      <c r="F27" s="34" t="str">
        <f t="shared" si="1"/>
        <v>Green</v>
      </c>
    </row>
    <row r="28" spans="1:10" x14ac:dyDescent="0.25">
      <c r="A28" s="35">
        <v>43930</v>
      </c>
      <c r="B28" s="40">
        <v>3</v>
      </c>
      <c r="C28" s="34">
        <v>31</v>
      </c>
      <c r="D28">
        <f t="shared" si="2"/>
        <v>6.456953642384107E-2</v>
      </c>
      <c r="E28">
        <f t="shared" si="0"/>
        <v>0.73424104891578412</v>
      </c>
      <c r="F28" s="34" t="str">
        <f t="shared" si="1"/>
        <v>Green</v>
      </c>
    </row>
    <row r="29" spans="1:10" x14ac:dyDescent="0.25">
      <c r="A29" s="35">
        <v>43931</v>
      </c>
      <c r="B29" s="40">
        <v>1</v>
      </c>
      <c r="C29" s="34">
        <v>66</v>
      </c>
      <c r="D29">
        <f t="shared" si="2"/>
        <v>6.5934065934065922E-2</v>
      </c>
      <c r="E29">
        <f t="shared" si="0"/>
        <v>0.92263610315186251</v>
      </c>
      <c r="F29" s="34" t="str">
        <f t="shared" si="1"/>
        <v>Green</v>
      </c>
    </row>
    <row r="30" spans="1:10" x14ac:dyDescent="0.25">
      <c r="A30" s="35">
        <v>43932</v>
      </c>
      <c r="B30" s="40">
        <v>1</v>
      </c>
      <c r="C30" s="34">
        <v>45</v>
      </c>
      <c r="D30">
        <f t="shared" si="2"/>
        <v>4.6439628482972131E-2</v>
      </c>
      <c r="E30">
        <f t="shared" si="0"/>
        <v>0.92551210428305397</v>
      </c>
      <c r="F30" s="34" t="str">
        <f t="shared" si="1"/>
        <v>Green</v>
      </c>
    </row>
    <row r="31" spans="1:10" x14ac:dyDescent="0.25">
      <c r="A31" s="35">
        <v>43933</v>
      </c>
      <c r="B31" s="40">
        <v>0</v>
      </c>
      <c r="C31" s="34">
        <v>57</v>
      </c>
      <c r="D31">
        <f t="shared" si="2"/>
        <v>2.2058823529411763E-2</v>
      </c>
      <c r="E31">
        <f t="shared" si="0"/>
        <v>1.075445816186557</v>
      </c>
      <c r="F31" s="34" t="str">
        <f t="shared" si="1"/>
        <v>Red</v>
      </c>
    </row>
    <row r="32" spans="1:10" x14ac:dyDescent="0.25">
      <c r="A32" s="35">
        <v>43934</v>
      </c>
      <c r="B32" s="40">
        <v>0</v>
      </c>
      <c r="C32" s="34">
        <v>35</v>
      </c>
      <c r="D32">
        <f t="shared" si="2"/>
        <v>2.6392961876832842E-2</v>
      </c>
      <c r="E32">
        <f t="shared" si="0"/>
        <v>0.90301318267419961</v>
      </c>
      <c r="F32" s="34" t="str">
        <f t="shared" si="1"/>
        <v>Green</v>
      </c>
    </row>
    <row r="33" spans="1:6" x14ac:dyDescent="0.25">
      <c r="A33" s="35">
        <v>43935</v>
      </c>
      <c r="B33" s="40">
        <v>4</v>
      </c>
      <c r="C33" s="34">
        <v>73</v>
      </c>
      <c r="D33">
        <f t="shared" si="2"/>
        <v>4.1265474552957357E-2</v>
      </c>
      <c r="E33">
        <f t="shared" si="0"/>
        <v>1.0576923076923077</v>
      </c>
      <c r="F33" s="34" t="str">
        <f t="shared" si="1"/>
        <v>Red</v>
      </c>
    </row>
    <row r="34" spans="1:6" x14ac:dyDescent="0.25">
      <c r="A34" s="35">
        <v>43936</v>
      </c>
      <c r="B34" s="40">
        <v>5</v>
      </c>
      <c r="C34" s="34">
        <v>53</v>
      </c>
      <c r="D34">
        <f t="shared" si="2"/>
        <v>4.4414535666218037E-2</v>
      </c>
      <c r="E34">
        <f t="shared" si="0"/>
        <v>1.0250113688040019</v>
      </c>
      <c r="F34" s="34" t="str">
        <f t="shared" si="1"/>
        <v>Red</v>
      </c>
    </row>
    <row r="35" spans="1:6" x14ac:dyDescent="0.25">
      <c r="A35" s="35">
        <v>43937</v>
      </c>
      <c r="B35" s="40">
        <v>2</v>
      </c>
      <c r="C35" s="34">
        <v>71</v>
      </c>
      <c r="D35">
        <f t="shared" si="2"/>
        <v>5.4333764553686929E-2</v>
      </c>
      <c r="E35">
        <f t="shared" si="0"/>
        <v>1.2423423423423425</v>
      </c>
      <c r="F35" s="34" t="str">
        <f t="shared" si="1"/>
        <v>Red</v>
      </c>
    </row>
    <row r="36" spans="1:6" x14ac:dyDescent="0.25">
      <c r="A36" s="35">
        <v>43938</v>
      </c>
      <c r="B36" s="40">
        <v>3</v>
      </c>
      <c r="C36" s="34">
        <v>78</v>
      </c>
      <c r="D36">
        <f t="shared" si="2"/>
        <v>5.8900523560209431E-2</v>
      </c>
      <c r="E36">
        <f t="shared" si="0"/>
        <v>1.2452664024658739</v>
      </c>
      <c r="F36" s="34" t="str">
        <f t="shared" si="1"/>
        <v>Red</v>
      </c>
    </row>
    <row r="37" spans="1:6" x14ac:dyDescent="0.25">
      <c r="A37" s="35">
        <v>43939</v>
      </c>
      <c r="B37" s="40">
        <v>1</v>
      </c>
      <c r="C37" s="34">
        <v>56</v>
      </c>
      <c r="D37">
        <f t="shared" si="2"/>
        <v>5.3777208706786164E-2</v>
      </c>
      <c r="E37">
        <f t="shared" si="0"/>
        <v>1.3069216757741347</v>
      </c>
      <c r="F37" s="34" t="str">
        <f t="shared" si="1"/>
        <v>Red</v>
      </c>
    </row>
    <row r="38" spans="1:6" x14ac:dyDescent="0.25">
      <c r="A38" s="35">
        <v>43940</v>
      </c>
      <c r="B38" s="40">
        <v>3</v>
      </c>
      <c r="C38" s="34">
        <v>50</v>
      </c>
      <c r="D38">
        <f t="shared" si="2"/>
        <v>3.8412291933418691E-2</v>
      </c>
      <c r="E38">
        <f t="shared" si="0"/>
        <v>1.1698455949137148</v>
      </c>
      <c r="F38" s="34" t="str">
        <f t="shared" si="1"/>
        <v>Red</v>
      </c>
    </row>
    <row r="39" spans="1:6" x14ac:dyDescent="0.25">
      <c r="A39" s="35">
        <v>43941</v>
      </c>
      <c r="B39" s="40">
        <v>1</v>
      </c>
      <c r="C39" s="34">
        <v>56</v>
      </c>
      <c r="D39">
        <f t="shared" si="2"/>
        <v>2.9850746268656716E-2</v>
      </c>
      <c r="E39">
        <f t="shared" si="0"/>
        <v>1.0161290322580645</v>
      </c>
      <c r="F39" s="34" t="str">
        <f t="shared" si="1"/>
        <v>Red</v>
      </c>
    </row>
    <row r="40" spans="1:6" x14ac:dyDescent="0.25">
      <c r="A40" s="35">
        <v>43942</v>
      </c>
      <c r="B40" s="40">
        <v>0</v>
      </c>
      <c r="C40" s="34">
        <v>44</v>
      </c>
      <c r="D40">
        <f t="shared" si="2"/>
        <v>4.0342298288508563E-2</v>
      </c>
      <c r="E40">
        <f t="shared" si="0"/>
        <v>0.92592592592592593</v>
      </c>
      <c r="F40" s="34" t="str">
        <f t="shared" si="1"/>
        <v>Green</v>
      </c>
    </row>
    <row r="41" spans="1:6" x14ac:dyDescent="0.25">
      <c r="A41" s="35">
        <v>43943</v>
      </c>
      <c r="B41" s="40">
        <v>6</v>
      </c>
      <c r="C41" s="34">
        <v>99</v>
      </c>
      <c r="D41">
        <f t="shared" si="2"/>
        <v>4.797047970479705E-2</v>
      </c>
      <c r="E41">
        <f t="shared" si="0"/>
        <v>1.1408681408681407</v>
      </c>
      <c r="F41" s="34" t="str">
        <f t="shared" si="1"/>
        <v>Red</v>
      </c>
    </row>
    <row r="42" spans="1:6" x14ac:dyDescent="0.25">
      <c r="A42" s="35">
        <v>43944</v>
      </c>
      <c r="B42" s="40">
        <v>3</v>
      </c>
      <c r="C42" s="34">
        <v>84</v>
      </c>
      <c r="D42">
        <f t="shared" si="2"/>
        <v>4.6035805626598467E-2</v>
      </c>
      <c r="E42">
        <f t="shared" si="0"/>
        <v>1.221837754709727</v>
      </c>
      <c r="F42" s="34" t="str">
        <f t="shared" si="1"/>
        <v>Red</v>
      </c>
    </row>
    <row r="43" spans="1:6" x14ac:dyDescent="0.25">
      <c r="A43" s="35">
        <v>43945</v>
      </c>
      <c r="B43" s="40">
        <v>2</v>
      </c>
      <c r="C43" s="34">
        <v>53</v>
      </c>
      <c r="D43">
        <f t="shared" si="2"/>
        <v>6.8354430379746839E-2</v>
      </c>
      <c r="E43">
        <f t="shared" si="0"/>
        <v>1.2896174863387979</v>
      </c>
      <c r="F43" s="34" t="str">
        <f t="shared" si="1"/>
        <v>Red</v>
      </c>
    </row>
    <row r="44" spans="1:6" x14ac:dyDescent="0.25">
      <c r="A44" s="35">
        <v>43946</v>
      </c>
      <c r="B44" s="40">
        <v>7</v>
      </c>
      <c r="C44" s="34">
        <v>69</v>
      </c>
      <c r="D44">
        <f t="shared" si="2"/>
        <v>6.8527918781725886E-2</v>
      </c>
      <c r="E44">
        <f t="shared" si="0"/>
        <v>1.0949126803340927</v>
      </c>
      <c r="F44" s="34" t="str">
        <f t="shared" si="1"/>
        <v>Red</v>
      </c>
    </row>
    <row r="45" spans="1:6" x14ac:dyDescent="0.25">
      <c r="A45" s="35">
        <v>43947</v>
      </c>
      <c r="B45" s="40">
        <v>0</v>
      </c>
      <c r="C45" s="34">
        <v>77</v>
      </c>
      <c r="D45">
        <f t="shared" si="2"/>
        <v>4.2105263157894736E-2</v>
      </c>
      <c r="E45">
        <f t="shared" si="0"/>
        <v>1.0341499628804751</v>
      </c>
      <c r="F45" s="34" t="str">
        <f t="shared" si="1"/>
        <v>Red</v>
      </c>
    </row>
    <row r="46" spans="1:6" x14ac:dyDescent="0.25">
      <c r="A46" s="35">
        <v>43948</v>
      </c>
      <c r="B46" s="40">
        <v>0</v>
      </c>
      <c r="C46" s="34">
        <v>75</v>
      </c>
      <c r="D46">
        <f t="shared" si="2"/>
        <v>3.0066815144766147E-2</v>
      </c>
      <c r="E46">
        <f t="shared" ref="E46:E77" si="3">AVERAGE(C44:C46)/AVERAGE(C33:C46)</f>
        <v>1.099502487562189</v>
      </c>
      <c r="F46" s="34" t="str">
        <f t="shared" si="1"/>
        <v>Red</v>
      </c>
    </row>
    <row r="47" spans="1:6" x14ac:dyDescent="0.25">
      <c r="A47" s="35">
        <v>43949</v>
      </c>
      <c r="B47" s="40">
        <v>0</v>
      </c>
      <c r="C47" s="34">
        <v>82</v>
      </c>
      <c r="D47">
        <f t="shared" si="2"/>
        <v>4.2391304347826085E-2</v>
      </c>
      <c r="E47">
        <f t="shared" si="3"/>
        <v>1.1531151003167899</v>
      </c>
      <c r="F47" s="34" t="str">
        <f t="shared" si="1"/>
        <v>Red</v>
      </c>
    </row>
    <row r="48" spans="1:6" x14ac:dyDescent="0.25">
      <c r="A48" s="35">
        <v>43950</v>
      </c>
      <c r="B48" s="40">
        <v>6</v>
      </c>
      <c r="C48" s="34">
        <v>50</v>
      </c>
      <c r="D48">
        <f t="shared" si="2"/>
        <v>3.9003250270855903E-2</v>
      </c>
      <c r="E48">
        <f t="shared" si="3"/>
        <v>1.0233050847457628</v>
      </c>
      <c r="F48" s="34" t="str">
        <f t="shared" si="1"/>
        <v>Red</v>
      </c>
    </row>
    <row r="49" spans="1:6" x14ac:dyDescent="0.25">
      <c r="A49" s="35">
        <v>43951</v>
      </c>
      <c r="B49" s="40">
        <v>6</v>
      </c>
      <c r="C49" s="34">
        <v>96</v>
      </c>
      <c r="D49">
        <f t="shared" si="2"/>
        <v>3.7696335078534031E-2</v>
      </c>
      <c r="E49">
        <f t="shared" si="3"/>
        <v>1.0980392156862746</v>
      </c>
      <c r="F49" s="34" t="str">
        <f t="shared" si="1"/>
        <v>Red</v>
      </c>
    </row>
    <row r="50" spans="1:6" x14ac:dyDescent="0.25">
      <c r="A50" s="35">
        <v>43952</v>
      </c>
      <c r="B50" s="40">
        <v>0</v>
      </c>
      <c r="C50" s="34">
        <v>164</v>
      </c>
      <c r="D50">
        <f t="shared" si="2"/>
        <v>4.6248715313463522E-2</v>
      </c>
      <c r="E50">
        <f t="shared" si="3"/>
        <v>1.3712480252764612</v>
      </c>
      <c r="F50" s="34" t="str">
        <f t="shared" si="1"/>
        <v>Red</v>
      </c>
    </row>
    <row r="51" spans="1:6" x14ac:dyDescent="0.25">
      <c r="A51" s="35">
        <v>43953</v>
      </c>
      <c r="B51" s="40">
        <v>3</v>
      </c>
      <c r="C51" s="34">
        <v>121</v>
      </c>
      <c r="D51">
        <f t="shared" ref="D51:D82" si="4">AVERAGE(B48:B52)/AVERAGE(C33:C47)</f>
        <v>4.9999999999999996E-2</v>
      </c>
      <c r="E51">
        <f t="shared" si="3"/>
        <v>1.5874999999999999</v>
      </c>
      <c r="F51" s="34" t="str">
        <f t="shared" si="1"/>
        <v>Red</v>
      </c>
    </row>
    <row r="52" spans="1:6" x14ac:dyDescent="0.25">
      <c r="A52" s="35">
        <v>43954</v>
      </c>
      <c r="B52" s="40">
        <v>2</v>
      </c>
      <c r="C52" s="34">
        <v>90</v>
      </c>
      <c r="D52">
        <f t="shared" si="4"/>
        <v>3.3099297893681046E-2</v>
      </c>
      <c r="E52">
        <f t="shared" si="3"/>
        <v>1.5086206896551724</v>
      </c>
      <c r="F52" s="34" t="str">
        <f t="shared" si="1"/>
        <v>Red</v>
      </c>
    </row>
    <row r="53" spans="1:6" x14ac:dyDescent="0.25">
      <c r="A53" s="35">
        <v>43955</v>
      </c>
      <c r="B53" s="40">
        <v>0</v>
      </c>
      <c r="C53" s="34">
        <v>72</v>
      </c>
      <c r="D53">
        <f t="shared" si="4"/>
        <v>3.1730769230769236E-2</v>
      </c>
      <c r="E53">
        <f t="shared" si="3"/>
        <v>1.123015873015873</v>
      </c>
      <c r="F53" s="34" t="str">
        <f t="shared" si="1"/>
        <v>Red</v>
      </c>
    </row>
    <row r="54" spans="1:6" x14ac:dyDescent="0.25">
      <c r="A54" s="35">
        <v>43956</v>
      </c>
      <c r="B54" s="40">
        <v>6</v>
      </c>
      <c r="C54" s="34">
        <v>50</v>
      </c>
      <c r="D54">
        <f t="shared" si="4"/>
        <v>7.9435127978817299E-2</v>
      </c>
      <c r="E54">
        <f t="shared" si="3"/>
        <v>0.83699943598420756</v>
      </c>
      <c r="F54" s="34" t="str">
        <f t="shared" si="1"/>
        <v>Green</v>
      </c>
    </row>
    <row r="55" spans="1:6" x14ac:dyDescent="0.25">
      <c r="A55" s="35">
        <v>43957</v>
      </c>
      <c r="B55" s="40">
        <v>19</v>
      </c>
      <c r="C55" s="34">
        <v>108</v>
      </c>
      <c r="D55">
        <f t="shared" si="4"/>
        <v>7.6530612244897947E-2</v>
      </c>
      <c r="E55">
        <f t="shared" si="3"/>
        <v>0.90120347047299199</v>
      </c>
      <c r="F55" s="34" t="str">
        <f t="shared" si="1"/>
        <v>Green</v>
      </c>
    </row>
    <row r="56" spans="1:6" x14ac:dyDescent="0.25">
      <c r="A56" s="35">
        <v>43958</v>
      </c>
      <c r="B56" s="40">
        <v>3</v>
      </c>
      <c r="C56" s="34">
        <v>104</v>
      </c>
      <c r="D56">
        <f t="shared" si="4"/>
        <v>8.677685950413222E-2</v>
      </c>
      <c r="E56">
        <f t="shared" si="3"/>
        <v>1.0096339113680153</v>
      </c>
      <c r="F56" s="34" t="str">
        <f t="shared" si="1"/>
        <v>Red</v>
      </c>
    </row>
    <row r="57" spans="1:6" x14ac:dyDescent="0.25">
      <c r="A57" s="35">
        <v>43959</v>
      </c>
      <c r="B57" s="40">
        <v>7</v>
      </c>
      <c r="C57" s="34">
        <v>104</v>
      </c>
      <c r="D57">
        <f t="shared" si="4"/>
        <v>0.10957792207792207</v>
      </c>
      <c r="E57">
        <f t="shared" si="3"/>
        <v>1.1685155837295298</v>
      </c>
      <c r="F57" s="34" t="str">
        <f t="shared" si="1"/>
        <v>Red</v>
      </c>
    </row>
    <row r="58" spans="1:6" x14ac:dyDescent="0.25">
      <c r="A58" s="35">
        <v>43960</v>
      </c>
      <c r="B58" s="40">
        <v>10</v>
      </c>
      <c r="C58" s="34">
        <v>71</v>
      </c>
      <c r="D58">
        <f t="shared" si="4"/>
        <v>0.10032626427406198</v>
      </c>
      <c r="E58">
        <f t="shared" si="3"/>
        <v>1.0300632911392404</v>
      </c>
      <c r="F58" s="34" t="str">
        <f t="shared" si="1"/>
        <v>Red</v>
      </c>
    </row>
    <row r="59" spans="1:6" x14ac:dyDescent="0.25">
      <c r="A59" s="35">
        <v>43961</v>
      </c>
      <c r="B59" s="40">
        <v>2</v>
      </c>
      <c r="C59" s="34">
        <v>61</v>
      </c>
      <c r="D59">
        <f t="shared" si="4"/>
        <v>5.1162790697674425E-2</v>
      </c>
      <c r="E59">
        <f t="shared" si="3"/>
        <v>0.88247863247863256</v>
      </c>
      <c r="F59" s="34" t="str">
        <f t="shared" si="1"/>
        <v>Green</v>
      </c>
    </row>
    <row r="60" spans="1:6" x14ac:dyDescent="0.25">
      <c r="A60" s="35">
        <v>43962</v>
      </c>
      <c r="B60" s="40">
        <v>0</v>
      </c>
      <c r="C60" s="34">
        <v>89</v>
      </c>
      <c r="D60">
        <f t="shared" si="4"/>
        <v>6.4864864864864868E-2</v>
      </c>
      <c r="E60">
        <f t="shared" si="3"/>
        <v>0.81722134178552575</v>
      </c>
      <c r="F60" s="34" t="str">
        <f t="shared" si="1"/>
        <v>Green</v>
      </c>
    </row>
    <row r="61" spans="1:6" x14ac:dyDescent="0.25">
      <c r="A61" s="35">
        <v>43963</v>
      </c>
      <c r="B61" s="40">
        <v>9</v>
      </c>
      <c r="C61" s="34">
        <v>81</v>
      </c>
      <c r="D61">
        <f t="shared" si="4"/>
        <v>6.6159695817490483E-2</v>
      </c>
      <c r="E61">
        <f t="shared" si="3"/>
        <v>0.85487708168120546</v>
      </c>
      <c r="F61" s="34" t="str">
        <f t="shared" si="1"/>
        <v>Green</v>
      </c>
    </row>
    <row r="62" spans="1:6" x14ac:dyDescent="0.25">
      <c r="A62" s="35">
        <v>43964</v>
      </c>
      <c r="B62" s="40">
        <v>8</v>
      </c>
      <c r="C62" s="34">
        <v>63</v>
      </c>
      <c r="D62">
        <f t="shared" si="4"/>
        <v>4.5011252813203305E-2</v>
      </c>
      <c r="E62">
        <f t="shared" si="3"/>
        <v>0.85347985347985356</v>
      </c>
      <c r="F62" s="34" t="str">
        <f t="shared" si="1"/>
        <v>Green</v>
      </c>
    </row>
    <row r="63" spans="1:6" x14ac:dyDescent="0.25">
      <c r="A63" s="35">
        <v>43965</v>
      </c>
      <c r="B63" s="40">
        <v>1</v>
      </c>
      <c r="C63" s="34">
        <v>84</v>
      </c>
      <c r="D63">
        <f t="shared" si="4"/>
        <v>5.886792452830189E-2</v>
      </c>
      <c r="E63">
        <f t="shared" si="3"/>
        <v>0.84310618066561016</v>
      </c>
      <c r="F63" s="34" t="str">
        <f t="shared" si="1"/>
        <v>Green</v>
      </c>
    </row>
    <row r="64" spans="1:6" x14ac:dyDescent="0.25">
      <c r="A64" s="35">
        <v>43966</v>
      </c>
      <c r="B64" s="40">
        <v>8</v>
      </c>
      <c r="C64" s="34">
        <v>88</v>
      </c>
      <c r="D64">
        <f t="shared" si="4"/>
        <v>8.5265519820493629E-2</v>
      </c>
      <c r="E64">
        <f t="shared" si="3"/>
        <v>0.92467678471051151</v>
      </c>
      <c r="F64" s="34" t="str">
        <f t="shared" si="1"/>
        <v>Green</v>
      </c>
    </row>
    <row r="65" spans="1:6" x14ac:dyDescent="0.25">
      <c r="A65" s="35">
        <v>43967</v>
      </c>
      <c r="B65" s="40">
        <v>12</v>
      </c>
      <c r="C65" s="34">
        <v>98</v>
      </c>
      <c r="D65">
        <f t="shared" si="4"/>
        <v>6.7014147431124355E-2</v>
      </c>
      <c r="E65">
        <f t="shared" si="3"/>
        <v>1.0834049871023217</v>
      </c>
      <c r="F65" s="34" t="str">
        <f t="shared" si="1"/>
        <v>Red</v>
      </c>
    </row>
    <row r="66" spans="1:6" x14ac:dyDescent="0.25">
      <c r="A66" s="35">
        <v>43968</v>
      </c>
      <c r="B66" s="40">
        <v>1</v>
      </c>
      <c r="C66" s="34">
        <v>41</v>
      </c>
      <c r="D66">
        <f t="shared" si="4"/>
        <v>4.9848942598187312E-2</v>
      </c>
      <c r="E66">
        <f t="shared" si="3"/>
        <v>0.95092758827049684</v>
      </c>
      <c r="F66" s="34" t="str">
        <f t="shared" si="1"/>
        <v>Green</v>
      </c>
    </row>
    <row r="67" spans="1:6" x14ac:dyDescent="0.25">
      <c r="A67" s="35">
        <v>43969</v>
      </c>
      <c r="B67" s="40">
        <v>0</v>
      </c>
      <c r="C67" s="34">
        <v>57</v>
      </c>
      <c r="D67">
        <f t="shared" si="4"/>
        <v>6.848306332842416E-2</v>
      </c>
      <c r="E67">
        <f t="shared" si="3"/>
        <v>0.83227176220806787</v>
      </c>
      <c r="F67" s="34" t="str">
        <f t="shared" si="1"/>
        <v>Green</v>
      </c>
    </row>
    <row r="68" spans="1:6" x14ac:dyDescent="0.25">
      <c r="A68" s="35">
        <v>43970</v>
      </c>
      <c r="B68" s="40">
        <v>10</v>
      </c>
      <c r="C68" s="34">
        <v>69</v>
      </c>
      <c r="D68">
        <f t="shared" si="4"/>
        <v>6.8888888888888888E-2</v>
      </c>
      <c r="E68">
        <f t="shared" si="3"/>
        <v>0.69707811568276679</v>
      </c>
      <c r="F68" s="34" t="str">
        <f t="shared" si="1"/>
        <v>Green</v>
      </c>
    </row>
    <row r="69" spans="1:6" x14ac:dyDescent="0.25">
      <c r="A69" s="35">
        <v>43971</v>
      </c>
      <c r="B69" s="40">
        <v>8</v>
      </c>
      <c r="C69" s="34">
        <v>149</v>
      </c>
      <c r="D69">
        <f t="shared" si="4"/>
        <v>6.5420560747663545E-2</v>
      </c>
      <c r="E69">
        <f t="shared" si="3"/>
        <v>1.1072763876905378</v>
      </c>
      <c r="F69" s="34" t="str">
        <f t="shared" si="1"/>
        <v>Red</v>
      </c>
    </row>
    <row r="70" spans="1:6" x14ac:dyDescent="0.25">
      <c r="A70" s="35">
        <v>43972</v>
      </c>
      <c r="B70" s="40">
        <v>9</v>
      </c>
      <c r="C70" s="34">
        <v>67</v>
      </c>
      <c r="D70">
        <f t="shared" si="4"/>
        <v>7.9734219269102999E-2</v>
      </c>
      <c r="E70">
        <f t="shared" si="3"/>
        <v>1.1853832442067738</v>
      </c>
      <c r="F70" s="34" t="str">
        <f t="shared" si="1"/>
        <v>Red</v>
      </c>
    </row>
    <row r="71" spans="1:6" x14ac:dyDescent="0.25">
      <c r="A71" s="35">
        <v>43973</v>
      </c>
      <c r="B71" s="40">
        <v>5</v>
      </c>
      <c r="C71" s="40">
        <v>81</v>
      </c>
      <c r="D71">
        <f t="shared" si="4"/>
        <v>9.2228864218616577E-2</v>
      </c>
      <c r="E71">
        <f t="shared" si="3"/>
        <v>1.2611464968152866</v>
      </c>
      <c r="F71" s="34" t="str">
        <f t="shared" si="1"/>
        <v>Red</v>
      </c>
    </row>
    <row r="72" spans="1:6" x14ac:dyDescent="0.25">
      <c r="A72" s="35">
        <v>43974</v>
      </c>
      <c r="B72" s="40">
        <v>4</v>
      </c>
      <c r="C72" s="40">
        <v>77</v>
      </c>
      <c r="D72">
        <f t="shared" si="4"/>
        <v>6.9349315068493164E-2</v>
      </c>
      <c r="E72">
        <f t="shared" si="3"/>
        <v>0.95022624434389136</v>
      </c>
      <c r="F72" s="34" t="str">
        <f t="shared" si="1"/>
        <v>Green</v>
      </c>
    </row>
    <row r="73" spans="1:6" x14ac:dyDescent="0.25">
      <c r="A73" s="35">
        <v>43975</v>
      </c>
      <c r="B73" s="40">
        <v>1</v>
      </c>
      <c r="C73" s="40">
        <v>63</v>
      </c>
      <c r="D73" s="34">
        <f t="shared" si="4"/>
        <v>4.7355958958168902E-2</v>
      </c>
      <c r="E73">
        <f t="shared" si="3"/>
        <v>0.93164709424872039</v>
      </c>
      <c r="F73" s="34" t="str">
        <f t="shared" si="1"/>
        <v>Green</v>
      </c>
    </row>
    <row r="74" spans="1:6" x14ac:dyDescent="0.25">
      <c r="A74" s="35">
        <v>43976</v>
      </c>
      <c r="B74" s="40">
        <v>1</v>
      </c>
      <c r="C74" s="40">
        <v>50</v>
      </c>
      <c r="D74" s="34">
        <f t="shared" si="4"/>
        <v>3.6704730831973897E-2</v>
      </c>
      <c r="E74" s="34">
        <f t="shared" si="3"/>
        <v>0.83021223470661665</v>
      </c>
      <c r="F74" s="34" t="str">
        <f t="shared" si="1"/>
        <v>Green</v>
      </c>
    </row>
    <row r="75" spans="1:6" x14ac:dyDescent="0.25">
      <c r="A75" s="35">
        <v>43977</v>
      </c>
      <c r="B75" s="40">
        <v>4</v>
      </c>
      <c r="C75" s="40">
        <v>34</v>
      </c>
      <c r="D75" s="34">
        <f t="shared" si="4"/>
        <v>4.738154613466334E-2</v>
      </c>
      <c r="E75" s="34">
        <f t="shared" si="3"/>
        <v>0.67189030362389812</v>
      </c>
      <c r="F75" s="34" t="str">
        <f t="shared" si="1"/>
        <v>Green</v>
      </c>
    </row>
    <row r="76" spans="1:6" x14ac:dyDescent="0.25">
      <c r="A76" s="35">
        <v>43978</v>
      </c>
      <c r="B76" s="40">
        <v>9</v>
      </c>
      <c r="C76" s="40">
        <v>56</v>
      </c>
      <c r="D76" s="34">
        <f t="shared" si="4"/>
        <v>6.1224489795918359E-2</v>
      </c>
      <c r="E76" s="34">
        <f t="shared" si="3"/>
        <v>0.64431295200525962</v>
      </c>
      <c r="F76" s="34" t="str">
        <f t="shared" si="1"/>
        <v>Green</v>
      </c>
    </row>
    <row r="77" spans="1:6" x14ac:dyDescent="0.25">
      <c r="A77" s="35">
        <v>43979</v>
      </c>
      <c r="B77" s="40">
        <v>9</v>
      </c>
      <c r="C77" s="40">
        <v>101</v>
      </c>
      <c r="D77" s="34">
        <f t="shared" si="4"/>
        <v>7.448630136986302E-2</v>
      </c>
      <c r="E77" s="34">
        <f t="shared" si="3"/>
        <v>0.86453281603621079</v>
      </c>
      <c r="F77" s="34" t="str">
        <f t="shared" si="1"/>
        <v>Green</v>
      </c>
    </row>
    <row r="78" spans="1:6" x14ac:dyDescent="0.25">
      <c r="A78" s="35">
        <v>43980</v>
      </c>
      <c r="B78" s="40">
        <v>6</v>
      </c>
      <c r="C78" s="40">
        <v>107</v>
      </c>
      <c r="D78" s="34">
        <f t="shared" si="4"/>
        <v>8.2973206568712182E-2</v>
      </c>
      <c r="E78" s="34">
        <f t="shared" ref="E78:E109" si="5">AVERAGE(C76:C78)/AVERAGE(C65:C78)</f>
        <v>1.1733333333333333</v>
      </c>
      <c r="F78" s="34" t="str">
        <f t="shared" si="1"/>
        <v>Red</v>
      </c>
    </row>
    <row r="79" spans="1:6" x14ac:dyDescent="0.25">
      <c r="A79" s="35">
        <v>43981</v>
      </c>
      <c r="B79" s="40">
        <v>4</v>
      </c>
      <c r="C79" s="40">
        <v>55</v>
      </c>
      <c r="D79" s="34">
        <f t="shared" si="4"/>
        <v>8.4392014519056258E-2</v>
      </c>
      <c r="E79" s="34">
        <f t="shared" si="5"/>
        <v>1.2188017212843429</v>
      </c>
      <c r="F79" s="34" t="str">
        <f t="shared" ref="F79:F130" si="6">IF(E79&gt;1,"Red","Green")</f>
        <v>Red</v>
      </c>
    </row>
    <row r="80" spans="1:6" x14ac:dyDescent="0.25">
      <c r="A80" s="35">
        <v>43982</v>
      </c>
      <c r="B80" s="40">
        <v>3</v>
      </c>
      <c r="C80" s="40">
        <v>106</v>
      </c>
      <c r="D80" s="34">
        <f t="shared" si="4"/>
        <v>6.1281337047353765E-2</v>
      </c>
      <c r="E80" s="34">
        <f t="shared" si="5"/>
        <v>1.1666666666666667</v>
      </c>
      <c r="F80" s="34" t="str">
        <f t="shared" si="6"/>
        <v>Red</v>
      </c>
    </row>
    <row r="81" spans="1:6" x14ac:dyDescent="0.25">
      <c r="A81" s="35">
        <v>43983</v>
      </c>
      <c r="B81" s="40">
        <v>0</v>
      </c>
      <c r="C81" s="40">
        <v>39</v>
      </c>
      <c r="D81" s="34">
        <f t="shared" si="4"/>
        <v>6.4573991031390138E-2</v>
      </c>
      <c r="E81" s="34">
        <f t="shared" si="5"/>
        <v>0.8855154965211891</v>
      </c>
      <c r="F81" s="34" t="str">
        <f t="shared" si="6"/>
        <v>Green</v>
      </c>
    </row>
    <row r="82" spans="1:6" x14ac:dyDescent="0.25">
      <c r="A82" s="35">
        <v>43984</v>
      </c>
      <c r="B82" s="40">
        <v>11</v>
      </c>
      <c r="C82" s="40">
        <v>65</v>
      </c>
      <c r="D82" s="34">
        <f t="shared" si="4"/>
        <v>7.1177504393673124E-2</v>
      </c>
      <c r="E82" s="34">
        <f t="shared" si="5"/>
        <v>0.93333333333333335</v>
      </c>
      <c r="F82" s="34" t="str">
        <f t="shared" si="6"/>
        <v>Green</v>
      </c>
    </row>
    <row r="83" spans="1:6" x14ac:dyDescent="0.25">
      <c r="A83" s="35">
        <v>43985</v>
      </c>
      <c r="B83" s="40">
        <v>9</v>
      </c>
      <c r="C83" s="40">
        <v>47</v>
      </c>
      <c r="D83" s="34">
        <f t="shared" ref="D83:D114" si="7">AVERAGE(B80:B84)/AVERAGE(C65:C79)</f>
        <v>8.4162895927601802E-2</v>
      </c>
      <c r="E83" s="34">
        <f t="shared" si="5"/>
        <v>0.7433192686357244</v>
      </c>
      <c r="F83" s="34" t="str">
        <f t="shared" si="6"/>
        <v>Green</v>
      </c>
    </row>
    <row r="84" spans="1:6" x14ac:dyDescent="0.25">
      <c r="A84" s="35">
        <v>43986</v>
      </c>
      <c r="B84" s="40">
        <v>8</v>
      </c>
      <c r="C84" s="40">
        <v>81</v>
      </c>
      <c r="D84" s="34">
        <f t="shared" si="7"/>
        <v>8.8948787061994605E-2</v>
      </c>
      <c r="E84" s="34">
        <f t="shared" si="5"/>
        <v>0.9362439362439362</v>
      </c>
      <c r="F84" s="34" t="str">
        <f t="shared" si="6"/>
        <v>Green</v>
      </c>
    </row>
    <row r="85" spans="1:6" x14ac:dyDescent="0.25">
      <c r="A85" s="35">
        <v>43987</v>
      </c>
      <c r="B85" s="40">
        <v>5</v>
      </c>
      <c r="C85" s="40">
        <v>80</v>
      </c>
      <c r="D85" s="34">
        <f t="shared" si="7"/>
        <v>0.10261026102610261</v>
      </c>
      <c r="E85" s="34">
        <f t="shared" si="5"/>
        <v>1.0100589663544919</v>
      </c>
      <c r="F85" s="34" t="str">
        <f t="shared" si="6"/>
        <v>Red</v>
      </c>
    </row>
    <row r="86" spans="1:6" x14ac:dyDescent="0.25">
      <c r="A86" s="35">
        <v>43988</v>
      </c>
      <c r="B86" s="40">
        <v>5</v>
      </c>
      <c r="C86" s="40">
        <v>74</v>
      </c>
      <c r="D86" s="34">
        <f t="shared" si="7"/>
        <v>8.0428954423592505E-2</v>
      </c>
      <c r="E86" s="34">
        <f t="shared" si="5"/>
        <v>1.1447459986082114</v>
      </c>
      <c r="F86" s="34" t="str">
        <f t="shared" si="6"/>
        <v>Red</v>
      </c>
    </row>
    <row r="87" spans="1:6" x14ac:dyDescent="0.25">
      <c r="A87" s="35">
        <v>43989</v>
      </c>
      <c r="B87" s="40">
        <v>3</v>
      </c>
      <c r="C87" s="40">
        <v>26</v>
      </c>
      <c r="D87" s="34">
        <f t="shared" si="7"/>
        <v>5.7429352780309931E-2</v>
      </c>
      <c r="E87" s="34">
        <f t="shared" si="5"/>
        <v>0.91205211726384361</v>
      </c>
      <c r="F87" s="34" t="str">
        <f t="shared" si="6"/>
        <v>Green</v>
      </c>
    </row>
    <row r="88" spans="1:6" x14ac:dyDescent="0.25">
      <c r="A88" s="35">
        <v>43990</v>
      </c>
      <c r="B88" s="40">
        <v>0</v>
      </c>
      <c r="C88" s="40">
        <v>37</v>
      </c>
      <c r="D88" s="34">
        <f t="shared" si="7"/>
        <v>6.1224489795918373E-2</v>
      </c>
      <c r="E88" s="34">
        <f t="shared" si="5"/>
        <v>0.70411160058737143</v>
      </c>
      <c r="F88" s="34" t="str">
        <f t="shared" si="6"/>
        <v>Green</v>
      </c>
    </row>
    <row r="89" spans="1:6" x14ac:dyDescent="0.25">
      <c r="A89" s="35">
        <v>43991</v>
      </c>
      <c r="B89" s="40">
        <v>8</v>
      </c>
      <c r="C89" s="40">
        <v>53</v>
      </c>
      <c r="D89" s="34">
        <f t="shared" si="7"/>
        <v>6.6218809980806134E-2</v>
      </c>
      <c r="E89" s="34">
        <f t="shared" si="5"/>
        <v>0.5839626033800791</v>
      </c>
      <c r="F89" s="34" t="str">
        <f t="shared" si="6"/>
        <v>Green</v>
      </c>
    </row>
    <row r="90" spans="1:6" x14ac:dyDescent="0.25">
      <c r="A90" s="35">
        <v>43992</v>
      </c>
      <c r="B90" s="40">
        <v>7</v>
      </c>
      <c r="C90" s="40">
        <v>54</v>
      </c>
      <c r="D90" s="34">
        <f t="shared" si="7"/>
        <v>7.2463768115942032E-2</v>
      </c>
      <c r="E90" s="34">
        <f t="shared" si="5"/>
        <v>0.7264864864864865</v>
      </c>
      <c r="F90" s="34" t="str">
        <f t="shared" si="6"/>
        <v>Green</v>
      </c>
    </row>
    <row r="91" spans="1:6" x14ac:dyDescent="0.25">
      <c r="A91" s="35">
        <v>43993</v>
      </c>
      <c r="B91" s="40">
        <v>7</v>
      </c>
      <c r="C91" s="40">
        <v>34</v>
      </c>
      <c r="D91" s="34">
        <f t="shared" si="7"/>
        <v>8.8414634146341473E-2</v>
      </c>
      <c r="E91" s="34">
        <f t="shared" si="5"/>
        <v>0.76689976689976691</v>
      </c>
      <c r="F91" s="34" t="str">
        <f t="shared" si="6"/>
        <v>Green</v>
      </c>
    </row>
    <row r="92" spans="1:6" x14ac:dyDescent="0.25">
      <c r="A92" s="35">
        <v>43994</v>
      </c>
      <c r="B92" s="40">
        <v>7</v>
      </c>
      <c r="C92" s="40">
        <v>46</v>
      </c>
      <c r="D92" s="34">
        <f t="shared" si="7"/>
        <v>0.10020876826722339</v>
      </c>
      <c r="E92" s="34">
        <f t="shared" si="5"/>
        <v>0.78460895023002919</v>
      </c>
      <c r="F92" s="34" t="str">
        <f t="shared" si="6"/>
        <v>Green</v>
      </c>
    </row>
    <row r="93" spans="1:6" x14ac:dyDescent="0.25">
      <c r="A93" s="35">
        <v>43995</v>
      </c>
      <c r="B93" s="40">
        <v>3</v>
      </c>
      <c r="C93" s="40">
        <v>49</v>
      </c>
      <c r="D93" s="34">
        <f t="shared" si="7"/>
        <v>8.1165452653485959E-2</v>
      </c>
      <c r="E93" s="34">
        <f t="shared" si="5"/>
        <v>0.76106194690265483</v>
      </c>
      <c r="F93" s="34" t="str">
        <f t="shared" si="6"/>
        <v>Green</v>
      </c>
    </row>
    <row r="94" spans="1:6" x14ac:dyDescent="0.25">
      <c r="A94" s="35">
        <v>43996</v>
      </c>
      <c r="B94" s="40">
        <v>2</v>
      </c>
      <c r="C94" s="40">
        <v>21</v>
      </c>
      <c r="D94" s="34">
        <f t="shared" si="7"/>
        <v>5.810397553516819E-2</v>
      </c>
      <c r="E94" s="34">
        <f t="shared" si="5"/>
        <v>0.76676109537299331</v>
      </c>
      <c r="F94" s="34" t="str">
        <f t="shared" si="6"/>
        <v>Green</v>
      </c>
    </row>
    <row r="95" spans="1:6" x14ac:dyDescent="0.25">
      <c r="A95" s="35">
        <v>43997</v>
      </c>
      <c r="B95" s="40">
        <v>0</v>
      </c>
      <c r="C95" s="40">
        <v>27</v>
      </c>
      <c r="D95" s="34">
        <f t="shared" si="7"/>
        <v>5.6308654848800842E-2</v>
      </c>
      <c r="E95" s="34">
        <f t="shared" si="5"/>
        <v>0.65225744476464942</v>
      </c>
      <c r="F95" s="34" t="str">
        <f t="shared" si="6"/>
        <v>Green</v>
      </c>
    </row>
    <row r="96" spans="1:6" x14ac:dyDescent="0.25">
      <c r="A96" s="35">
        <v>43998</v>
      </c>
      <c r="B96" s="40">
        <v>6</v>
      </c>
      <c r="C96" s="40">
        <v>27</v>
      </c>
      <c r="D96" s="34">
        <f t="shared" si="7"/>
        <v>4.9778761061946904E-2</v>
      </c>
      <c r="E96" s="34">
        <f t="shared" si="5"/>
        <v>0.53353658536585369</v>
      </c>
      <c r="F96" s="34" t="str">
        <f t="shared" si="6"/>
        <v>Green</v>
      </c>
    </row>
    <row r="97" spans="1:6" x14ac:dyDescent="0.25">
      <c r="A97" s="35">
        <v>43999</v>
      </c>
      <c r="B97" s="40">
        <v>4</v>
      </c>
      <c r="C97" s="40">
        <v>73</v>
      </c>
      <c r="D97" s="34">
        <f t="shared" si="7"/>
        <v>4.6099290780141848E-2</v>
      </c>
      <c r="E97" s="34">
        <f t="shared" si="5"/>
        <v>0.86901270772238515</v>
      </c>
      <c r="F97" s="34" t="str">
        <f t="shared" si="6"/>
        <v>Green</v>
      </c>
    </row>
    <row r="98" spans="1:6" x14ac:dyDescent="0.25">
      <c r="A98" s="35">
        <v>44000</v>
      </c>
      <c r="B98" s="40">
        <v>1</v>
      </c>
      <c r="C98" s="40">
        <v>17</v>
      </c>
      <c r="D98" s="34">
        <f t="shared" si="7"/>
        <v>6.2807881773399007E-2</v>
      </c>
      <c r="E98" s="34">
        <f t="shared" si="5"/>
        <v>0.8834951456310679</v>
      </c>
      <c r="F98" s="34" t="str">
        <f t="shared" si="6"/>
        <v>Green</v>
      </c>
    </row>
    <row r="99" spans="1:6" x14ac:dyDescent="0.25">
      <c r="A99" s="35">
        <v>44001</v>
      </c>
      <c r="B99" s="40">
        <v>6</v>
      </c>
      <c r="C99" s="40">
        <v>37</v>
      </c>
      <c r="D99" s="34">
        <f t="shared" si="7"/>
        <v>7.7762619372442013E-2</v>
      </c>
      <c r="E99" s="34">
        <f t="shared" si="5"/>
        <v>1.0307246376811596</v>
      </c>
      <c r="F99" s="34" t="str">
        <f t="shared" si="6"/>
        <v>Red</v>
      </c>
    </row>
    <row r="100" spans="1:6" x14ac:dyDescent="0.25">
      <c r="A100" s="35">
        <v>44002</v>
      </c>
      <c r="B100" s="40">
        <v>2</v>
      </c>
      <c r="C100" s="40">
        <v>37</v>
      </c>
      <c r="D100" s="34">
        <f t="shared" si="7"/>
        <v>5.4091539528432729E-2</v>
      </c>
      <c r="E100" s="34">
        <f t="shared" si="5"/>
        <v>0.78934324659231714</v>
      </c>
      <c r="F100" s="34" t="str">
        <f t="shared" si="6"/>
        <v>Green</v>
      </c>
    </row>
    <row r="101" spans="1:6" x14ac:dyDescent="0.25">
      <c r="A101" s="35">
        <v>44003</v>
      </c>
      <c r="B101" s="40">
        <v>0</v>
      </c>
      <c r="C101" s="40">
        <v>27</v>
      </c>
      <c r="D101" s="34">
        <f t="shared" si="7"/>
        <v>3.7037037037037035E-2</v>
      </c>
      <c r="E101" s="34">
        <f t="shared" si="5"/>
        <v>0.87445887445887438</v>
      </c>
      <c r="F101" s="34" t="str">
        <f t="shared" si="6"/>
        <v>Green</v>
      </c>
    </row>
    <row r="102" spans="1:6" x14ac:dyDescent="0.25">
      <c r="A102" s="35">
        <v>44004</v>
      </c>
      <c r="B102" s="40">
        <v>0</v>
      </c>
      <c r="C102" s="40">
        <v>15</v>
      </c>
      <c r="D102" s="34">
        <f t="shared" si="7"/>
        <v>5.1502145922746781E-2</v>
      </c>
      <c r="E102" s="34">
        <f t="shared" si="5"/>
        <v>0.71308833010960659</v>
      </c>
      <c r="F102" s="34" t="str">
        <f t="shared" si="6"/>
        <v>Green</v>
      </c>
    </row>
    <row r="103" spans="1:6" x14ac:dyDescent="0.25">
      <c r="A103" s="35">
        <v>44005</v>
      </c>
      <c r="B103" s="40">
        <v>4</v>
      </c>
      <c r="C103" s="40">
        <v>15</v>
      </c>
      <c r="D103" s="34">
        <f t="shared" si="7"/>
        <v>4.5801526717557252E-2</v>
      </c>
      <c r="E103" s="34">
        <f t="shared" si="5"/>
        <v>0.55532359081419624</v>
      </c>
      <c r="F103" s="34" t="str">
        <f t="shared" si="6"/>
        <v>Green</v>
      </c>
    </row>
    <row r="104" spans="1:6" x14ac:dyDescent="0.25">
      <c r="A104" s="35">
        <v>44006</v>
      </c>
      <c r="B104" s="40">
        <v>4</v>
      </c>
      <c r="C104" s="40">
        <v>27</v>
      </c>
      <c r="D104" s="34">
        <f t="shared" si="7"/>
        <v>8.8235294117647065E-2</v>
      </c>
      <c r="E104" s="34">
        <f t="shared" si="5"/>
        <v>0.58849557522123896</v>
      </c>
      <c r="F104" s="34" t="str">
        <f t="shared" si="6"/>
        <v>Green</v>
      </c>
    </row>
    <row r="105" spans="1:6" x14ac:dyDescent="0.25">
      <c r="A105" s="35">
        <v>44007</v>
      </c>
      <c r="B105" s="40">
        <v>10</v>
      </c>
      <c r="C105" s="40">
        <v>40</v>
      </c>
      <c r="D105" s="34">
        <f t="shared" si="7"/>
        <v>0.13805309734513277</v>
      </c>
      <c r="E105" s="34">
        <f t="shared" si="5"/>
        <v>0.83551673944687044</v>
      </c>
      <c r="F105" s="34" t="str">
        <f t="shared" si="6"/>
        <v>Green</v>
      </c>
    </row>
    <row r="106" spans="1:6" x14ac:dyDescent="0.25">
      <c r="A106" s="35">
        <v>44008</v>
      </c>
      <c r="B106" s="40">
        <v>8</v>
      </c>
      <c r="C106" s="40">
        <v>34</v>
      </c>
      <c r="D106" s="34">
        <f t="shared" si="7"/>
        <v>0.15162454873646211</v>
      </c>
      <c r="E106" s="34">
        <f t="shared" si="5"/>
        <v>1.0568011958146486</v>
      </c>
      <c r="F106" s="34" t="str">
        <f t="shared" si="6"/>
        <v>Red</v>
      </c>
    </row>
    <row r="107" spans="1:6" x14ac:dyDescent="0.25">
      <c r="A107" s="35">
        <v>44009</v>
      </c>
      <c r="B107" s="40">
        <v>2</v>
      </c>
      <c r="C107" s="40">
        <v>51</v>
      </c>
      <c r="D107" s="34">
        <f t="shared" si="7"/>
        <v>0.13533834586466165</v>
      </c>
      <c r="E107" s="34">
        <f t="shared" si="5"/>
        <v>1.3020833333333333</v>
      </c>
      <c r="F107" s="34" t="str">
        <f t="shared" si="6"/>
        <v>Red</v>
      </c>
    </row>
    <row r="108" spans="1:6" x14ac:dyDescent="0.25">
      <c r="A108" s="35">
        <v>44010</v>
      </c>
      <c r="B108" s="40">
        <v>0</v>
      </c>
      <c r="C108" s="40">
        <v>31</v>
      </c>
      <c r="D108" s="34">
        <f t="shared" si="7"/>
        <v>0.11857707509881422</v>
      </c>
      <c r="E108" s="34">
        <f t="shared" si="5"/>
        <v>1.1819505094614264</v>
      </c>
      <c r="F108" s="34" t="str">
        <f t="shared" si="6"/>
        <v>Red</v>
      </c>
    </row>
    <row r="109" spans="1:6" x14ac:dyDescent="0.25">
      <c r="A109" s="35">
        <v>44011</v>
      </c>
      <c r="B109" s="40">
        <v>0</v>
      </c>
      <c r="C109" s="40">
        <v>14</v>
      </c>
      <c r="D109" s="34">
        <f t="shared" si="7"/>
        <v>8.5365853658536592E-2</v>
      </c>
      <c r="E109" s="34">
        <f t="shared" si="5"/>
        <v>1.0067415730337079</v>
      </c>
      <c r="F109" s="34" t="str">
        <f t="shared" si="6"/>
        <v>Red</v>
      </c>
    </row>
    <row r="110" spans="1:6" x14ac:dyDescent="0.25">
      <c r="A110" s="35">
        <v>44012</v>
      </c>
      <c r="B110" s="40">
        <v>4</v>
      </c>
      <c r="C110" s="40">
        <v>22</v>
      </c>
      <c r="D110" s="34">
        <f t="shared" si="7"/>
        <v>4.8780487804878057E-2</v>
      </c>
      <c r="E110" s="34">
        <f t="shared" ref="E110:E117" si="8">AVERAGE(C108:C110)/AVERAGE(C97:C110)</f>
        <v>0.71060606060606057</v>
      </c>
      <c r="F110" s="34" t="str">
        <f t="shared" si="6"/>
        <v>Green</v>
      </c>
    </row>
    <row r="111" spans="1:6" x14ac:dyDescent="0.25">
      <c r="A111" s="35">
        <v>44013</v>
      </c>
      <c r="B111" s="40">
        <v>2</v>
      </c>
      <c r="C111" s="40">
        <v>20</v>
      </c>
      <c r="D111" s="34">
        <f t="shared" si="7"/>
        <v>4.8289738430583505E-2</v>
      </c>
      <c r="E111" s="34">
        <f t="shared" si="8"/>
        <v>0.67527993109388462</v>
      </c>
      <c r="F111" s="34" t="str">
        <f t="shared" si="6"/>
        <v>Green</v>
      </c>
    </row>
    <row r="112" spans="1:6" x14ac:dyDescent="0.25">
      <c r="A112" s="35">
        <v>44014</v>
      </c>
      <c r="B112" s="40">
        <v>2</v>
      </c>
      <c r="C112" s="40">
        <v>21</v>
      </c>
      <c r="D112" s="34">
        <f t="shared" si="7"/>
        <v>5.6367432150313153E-2</v>
      </c>
      <c r="E112" s="34">
        <f t="shared" si="8"/>
        <v>0.751918158567775</v>
      </c>
      <c r="F112" s="34" t="str">
        <f t="shared" si="6"/>
        <v>Green</v>
      </c>
    </row>
    <row r="113" spans="1:6" x14ac:dyDescent="0.25">
      <c r="A113" s="35">
        <v>44015</v>
      </c>
      <c r="B113" s="40">
        <v>1</v>
      </c>
      <c r="C113" s="40">
        <v>38</v>
      </c>
      <c r="D113" s="34">
        <f t="shared" si="7"/>
        <v>8.2627118644067798E-2</v>
      </c>
      <c r="E113" s="34">
        <f t="shared" si="8"/>
        <v>0.94047619047619047</v>
      </c>
      <c r="F113" s="34" t="str">
        <f t="shared" si="6"/>
        <v>Green</v>
      </c>
    </row>
    <row r="114" spans="1:6" x14ac:dyDescent="0.25">
      <c r="A114" s="35">
        <v>44016</v>
      </c>
      <c r="B114" s="40">
        <v>4</v>
      </c>
      <c r="C114" s="40">
        <v>0</v>
      </c>
      <c r="D114" s="34">
        <f t="shared" si="7"/>
        <v>6.4239828693790149E-2</v>
      </c>
      <c r="E114" s="34">
        <f t="shared" si="8"/>
        <v>0.7755868544600939</v>
      </c>
      <c r="F114" s="34" t="str">
        <f t="shared" si="6"/>
        <v>Green</v>
      </c>
    </row>
    <row r="115" spans="1:6" x14ac:dyDescent="0.25">
      <c r="A115" s="35">
        <v>44017</v>
      </c>
      <c r="B115" s="40">
        <v>1</v>
      </c>
      <c r="C115" s="40">
        <v>43</v>
      </c>
      <c r="D115" s="34">
        <f t="shared" ref="D115:D116" si="9">AVERAGE(B112:B116)/AVERAGE(C97:C111)</f>
        <v>5.8695652173913045E-2</v>
      </c>
      <c r="E115" s="34">
        <f t="shared" si="8"/>
        <v>1.0188679245283019</v>
      </c>
      <c r="F115" s="34" t="str">
        <f t="shared" si="6"/>
        <v>Red</v>
      </c>
    </row>
    <row r="116" spans="1:6" x14ac:dyDescent="0.25">
      <c r="A116" s="35">
        <v>44018</v>
      </c>
      <c r="B116" s="40">
        <v>1</v>
      </c>
      <c r="C116" s="40">
        <v>21</v>
      </c>
      <c r="D116" s="34">
        <f t="shared" si="9"/>
        <v>6.6176470588235295E-2</v>
      </c>
      <c r="E116" s="34">
        <f t="shared" si="8"/>
        <v>0.79221927497789568</v>
      </c>
      <c r="F116" s="34" t="str">
        <f t="shared" si="6"/>
        <v>Green</v>
      </c>
    </row>
    <row r="117" spans="1:6" x14ac:dyDescent="0.25">
      <c r="A117" s="35">
        <v>44019</v>
      </c>
      <c r="B117" s="40">
        <v>2</v>
      </c>
      <c r="C117" s="40">
        <v>19</v>
      </c>
      <c r="D117" s="34">
        <f t="shared" ref="D117:D134" si="10">AVERAGE(B114:B118)/AVERAGE(C99:C113)</f>
        <v>6.9930069930069921E-2</v>
      </c>
      <c r="E117" s="34">
        <f t="shared" si="8"/>
        <v>1.0166229221347332</v>
      </c>
      <c r="F117" s="34" t="str">
        <f t="shared" si="6"/>
        <v>Red</v>
      </c>
    </row>
    <row r="118" spans="1:6" x14ac:dyDescent="0.25">
      <c r="A118" s="35">
        <v>44020</v>
      </c>
      <c r="B118" s="40">
        <v>2</v>
      </c>
      <c r="C118" s="40">
        <v>20</v>
      </c>
      <c r="D118" s="34">
        <f t="shared" si="10"/>
        <v>5.3571428571428568E-2</v>
      </c>
      <c r="E118" s="34">
        <f t="shared" ref="E118:E135" si="11">AVERAGE(C116:C118)/AVERAGE(C105:C118)</f>
        <v>0.74866310160427807</v>
      </c>
      <c r="F118" s="34" t="str">
        <f t="shared" si="6"/>
        <v>Green</v>
      </c>
    </row>
    <row r="119" spans="1:6" x14ac:dyDescent="0.25">
      <c r="A119" s="35">
        <v>44021</v>
      </c>
      <c r="B119" s="40">
        <v>1</v>
      </c>
      <c r="C119" s="40">
        <v>21</v>
      </c>
      <c r="D119" s="34">
        <f t="shared" si="10"/>
        <v>6.78391959798995E-2</v>
      </c>
      <c r="E119" s="34">
        <f t="shared" si="11"/>
        <v>0.78873239436619713</v>
      </c>
      <c r="F119" s="34" t="str">
        <f t="shared" si="6"/>
        <v>Green</v>
      </c>
    </row>
    <row r="120" spans="1:6" x14ac:dyDescent="0.25">
      <c r="A120" s="35">
        <v>44022</v>
      </c>
      <c r="B120" s="40">
        <v>3</v>
      </c>
      <c r="C120" s="40">
        <v>18</v>
      </c>
      <c r="D120" s="34">
        <f t="shared" si="10"/>
        <v>6.887755102040817E-2</v>
      </c>
      <c r="E120" s="34">
        <f t="shared" si="11"/>
        <v>0.81219272369714846</v>
      </c>
      <c r="F120" s="34" t="str">
        <f t="shared" si="6"/>
        <v>Green</v>
      </c>
    </row>
    <row r="121" spans="1:6" x14ac:dyDescent="0.25">
      <c r="A121" s="35">
        <v>44023</v>
      </c>
      <c r="B121" s="40">
        <v>1</v>
      </c>
      <c r="C121" s="40">
        <v>33</v>
      </c>
      <c r="D121" s="34">
        <f t="shared" si="10"/>
        <v>5.3030303030303032E-2</v>
      </c>
      <c r="E121" s="34">
        <f t="shared" si="11"/>
        <v>1.0467289719626169</v>
      </c>
      <c r="F121" s="34" t="str">
        <f t="shared" si="6"/>
        <v>Red</v>
      </c>
    </row>
    <row r="122" spans="1:6" x14ac:dyDescent="0.25">
      <c r="A122" s="35">
        <v>44024</v>
      </c>
      <c r="B122" s="40">
        <v>0</v>
      </c>
      <c r="C122" s="40">
        <v>31</v>
      </c>
      <c r="D122" s="34">
        <f t="shared" si="10"/>
        <v>3.7406483790523692E-2</v>
      </c>
      <c r="E122" s="34">
        <f t="shared" si="11"/>
        <v>1.1921079958463137</v>
      </c>
      <c r="F122" s="34" t="str">
        <f t="shared" si="6"/>
        <v>Red</v>
      </c>
    </row>
    <row r="123" spans="1:6" x14ac:dyDescent="0.25">
      <c r="A123" s="35">
        <v>44025</v>
      </c>
      <c r="B123" s="40">
        <v>0</v>
      </c>
      <c r="C123" s="40">
        <v>16</v>
      </c>
      <c r="D123" s="34">
        <f t="shared" si="10"/>
        <v>3.7974683544303799E-2</v>
      </c>
      <c r="E123" s="34">
        <f t="shared" si="11"/>
        <v>1.1558307533539731</v>
      </c>
      <c r="F123" s="34" t="str">
        <f t="shared" si="6"/>
        <v>Red</v>
      </c>
    </row>
    <row r="124" spans="1:6" x14ac:dyDescent="0.25">
      <c r="A124" s="35">
        <v>44026</v>
      </c>
      <c r="B124" s="40">
        <v>1</v>
      </c>
      <c r="C124" s="40">
        <v>23</v>
      </c>
      <c r="D124" s="34">
        <f t="shared" si="10"/>
        <v>3.2171581769436998E-2</v>
      </c>
      <c r="E124" s="34">
        <f t="shared" si="11"/>
        <v>1.0082304526748971</v>
      </c>
      <c r="F124" s="34" t="str">
        <f t="shared" si="6"/>
        <v>Red</v>
      </c>
    </row>
    <row r="125" spans="1:6" x14ac:dyDescent="0.25">
      <c r="A125" s="35">
        <v>44027</v>
      </c>
      <c r="B125" s="40">
        <v>2</v>
      </c>
      <c r="C125" s="40">
        <v>24</v>
      </c>
      <c r="D125" s="34">
        <f t="shared" si="10"/>
        <v>3.2258064516129031E-2</v>
      </c>
      <c r="E125" s="34">
        <f t="shared" si="11"/>
        <v>0.89634146341463417</v>
      </c>
      <c r="F125" s="34" t="str">
        <f t="shared" si="6"/>
        <v>Green</v>
      </c>
    </row>
    <row r="126" spans="1:6" x14ac:dyDescent="0.25">
      <c r="A126" s="35">
        <v>44028</v>
      </c>
      <c r="B126" s="40">
        <v>1</v>
      </c>
      <c r="C126" s="40">
        <v>27</v>
      </c>
      <c r="D126" s="34">
        <f t="shared" si="10"/>
        <v>3.4090909090909095E-2</v>
      </c>
      <c r="E126" s="34">
        <f t="shared" si="11"/>
        <v>1.0339321357285429</v>
      </c>
      <c r="F126" s="34" t="str">
        <f>IF(E126&gt;1,"Red","Green")</f>
        <v>Red</v>
      </c>
    </row>
    <row r="127" spans="1:6" x14ac:dyDescent="0.25">
      <c r="A127" s="35">
        <v>44029</v>
      </c>
      <c r="B127" s="40">
        <v>0</v>
      </c>
      <c r="C127" s="40">
        <v>26</v>
      </c>
      <c r="D127" s="34">
        <f t="shared" si="10"/>
        <v>4.4510385756676561E-2</v>
      </c>
      <c r="E127" s="34">
        <f t="shared" si="11"/>
        <v>1.1159420289855073</v>
      </c>
      <c r="F127" s="34" t="str">
        <f t="shared" si="6"/>
        <v>Red</v>
      </c>
    </row>
    <row r="128" spans="1:6" x14ac:dyDescent="0.25">
      <c r="A128" s="35">
        <v>44030</v>
      </c>
      <c r="B128" s="40">
        <v>1</v>
      </c>
      <c r="C128" s="40">
        <v>26</v>
      </c>
      <c r="D128" s="34">
        <f t="shared" si="10"/>
        <v>5.2023121387283239E-2</v>
      </c>
      <c r="E128" s="34">
        <f t="shared" si="11"/>
        <v>1.0593869731800765</v>
      </c>
      <c r="F128" s="34" t="str">
        <f t="shared" si="6"/>
        <v>Red</v>
      </c>
    </row>
    <row r="129" spans="1:12" x14ac:dyDescent="0.25">
      <c r="A129" s="35">
        <v>44031</v>
      </c>
      <c r="B129" s="40">
        <v>2</v>
      </c>
      <c r="C129" s="40">
        <v>18</v>
      </c>
      <c r="D129" s="34">
        <f t="shared" si="10"/>
        <v>3.4482758620689655E-2</v>
      </c>
      <c r="E129" s="34">
        <f t="shared" si="11"/>
        <v>1.0113519091847265</v>
      </c>
      <c r="F129" s="34" t="str">
        <f t="shared" si="6"/>
        <v>Red</v>
      </c>
    </row>
    <row r="130" spans="1:12" x14ac:dyDescent="0.25">
      <c r="A130" s="35">
        <v>44032</v>
      </c>
      <c r="B130" s="40">
        <v>0</v>
      </c>
      <c r="C130" s="40">
        <v>46</v>
      </c>
      <c r="D130" s="34">
        <f t="shared" si="10"/>
        <v>4.2253521126760563E-2</v>
      </c>
      <c r="E130" s="34">
        <f t="shared" si="11"/>
        <v>1.2068965517241379</v>
      </c>
      <c r="F130" s="34" t="str">
        <f t="shared" si="6"/>
        <v>Red</v>
      </c>
    </row>
    <row r="131" spans="1:12" x14ac:dyDescent="0.25">
      <c r="A131" s="35">
        <v>44033</v>
      </c>
      <c r="B131" s="40">
        <v>2</v>
      </c>
      <c r="C131" s="40">
        <v>16</v>
      </c>
      <c r="D131" s="34">
        <f t="shared" si="10"/>
        <v>5.8333333333333327E-2</v>
      </c>
      <c r="E131" s="34">
        <f t="shared" si="11"/>
        <v>1.0821256038647344</v>
      </c>
      <c r="F131" s="72" t="s">
        <v>342</v>
      </c>
    </row>
    <row r="132" spans="1:12" x14ac:dyDescent="0.25">
      <c r="A132" s="35">
        <v>44034</v>
      </c>
      <c r="B132" s="40">
        <v>2</v>
      </c>
      <c r="C132" s="40">
        <v>36</v>
      </c>
      <c r="D132" s="34">
        <f t="shared" si="10"/>
        <v>7.7586206896551727E-2</v>
      </c>
      <c r="E132" s="34">
        <f t="shared" si="11"/>
        <v>1.2668513388734994</v>
      </c>
    </row>
    <row r="133" spans="1:12" x14ac:dyDescent="0.25">
      <c r="A133" s="35">
        <v>44035</v>
      </c>
      <c r="B133" s="40">
        <v>3</v>
      </c>
      <c r="C133" s="40">
        <v>25</v>
      </c>
      <c r="D133" s="34">
        <f t="shared" si="10"/>
        <v>7.3770491803278701E-2</v>
      </c>
      <c r="E133" s="34">
        <f t="shared" si="11"/>
        <v>0.98447488584474885</v>
      </c>
    </row>
    <row r="134" spans="1:12" x14ac:dyDescent="0.25">
      <c r="A134" s="35">
        <v>44036</v>
      </c>
      <c r="B134" s="40">
        <v>2</v>
      </c>
      <c r="C134" s="40">
        <v>59</v>
      </c>
      <c r="D134" s="34">
        <f t="shared" si="10"/>
        <v>8.943089430894309E-2</v>
      </c>
      <c r="E134" s="34">
        <f t="shared" si="11"/>
        <v>1.3793103448275863</v>
      </c>
    </row>
    <row r="135" spans="1:12" x14ac:dyDescent="0.25">
      <c r="A135" s="35">
        <v>44037</v>
      </c>
      <c r="B135" s="40">
        <v>2</v>
      </c>
      <c r="C135" s="40">
        <v>45</v>
      </c>
      <c r="D135" s="34">
        <f t="shared" ref="D129:D135" si="12">AVERAGE(D121:D134)</f>
        <v>4.9951624212508754E-2</v>
      </c>
      <c r="E135" s="34">
        <f t="shared" si="11"/>
        <v>1.4401913875598087</v>
      </c>
      <c r="G135" s="76" t="s">
        <v>306</v>
      </c>
      <c r="H135" s="76"/>
      <c r="I135" s="76"/>
      <c r="J135" s="76"/>
      <c r="K135" s="76"/>
      <c r="L135" s="76"/>
    </row>
    <row r="136" spans="1:12" x14ac:dyDescent="0.25">
      <c r="A136" s="35">
        <v>44038</v>
      </c>
      <c r="B136" s="39">
        <f>$D$135*AVERAGE(C129:C135)</f>
        <v>1.7483068474378063</v>
      </c>
      <c r="C136" s="39">
        <f>AVERAGE(C129:C135)*AVERAGE($E$129:$E$135)</f>
        <v>41.856010109396209</v>
      </c>
      <c r="D136" t="s">
        <v>326</v>
      </c>
      <c r="E136" s="37"/>
      <c r="G136" s="75" t="s">
        <v>308</v>
      </c>
      <c r="H136" s="75"/>
      <c r="I136" t="s">
        <v>309</v>
      </c>
      <c r="J136" t="s">
        <v>310</v>
      </c>
      <c r="K136" t="s">
        <v>311</v>
      </c>
      <c r="L136" t="s">
        <v>312</v>
      </c>
    </row>
    <row r="137" spans="1:12" x14ac:dyDescent="0.25">
      <c r="A137" s="35">
        <v>44039</v>
      </c>
      <c r="B137" s="39">
        <f t="shared" ref="B137:B141" si="13">$D$135*AVERAGE(C130:C136)</f>
        <v>1.9185420548941448</v>
      </c>
      <c r="C137" s="39">
        <f t="shared" ref="C137:C141" si="14">AVERAGE(C130:C136)*AVERAGE($E$129:$E$135)</f>
        <v>45.931591335146194</v>
      </c>
      <c r="D137" s="37">
        <f>SUM(B$2:B137)</f>
        <v>405.66684890233194</v>
      </c>
      <c r="E137" s="37">
        <f>SUM(C$2:C137)</f>
        <v>6708.7876014445428</v>
      </c>
      <c r="H137">
        <v>365</v>
      </c>
      <c r="I137" s="37">
        <f>SUM(B2:B135)/365</f>
        <v>1.1013698630136985</v>
      </c>
      <c r="J137" s="38">
        <f>I137*365</f>
        <v>401.99999999999994</v>
      </c>
      <c r="K137" s="39">
        <f>1360000/I137/100</f>
        <v>12348.258706467661</v>
      </c>
      <c r="L137" s="39">
        <f>K137/365</f>
        <v>33.830845771144276</v>
      </c>
    </row>
    <row r="138" spans="1:12" x14ac:dyDescent="0.25">
      <c r="A138" s="35">
        <v>44040</v>
      </c>
      <c r="B138" s="39">
        <f t="shared" si="13"/>
        <v>1.9180538943341938</v>
      </c>
      <c r="C138" s="39">
        <f t="shared" si="14"/>
        <v>45.919904340176025</v>
      </c>
      <c r="D138" s="37">
        <f>SUM(B$2:B138)</f>
        <v>407.58490279666614</v>
      </c>
      <c r="E138" s="37">
        <f>SUM(C$2:C138)</f>
        <v>6754.7075057847187</v>
      </c>
      <c r="G138" s="36">
        <v>43831</v>
      </c>
      <c r="H138" s="40">
        <f ca="1">TODAY()-G138-1</f>
        <v>206</v>
      </c>
      <c r="I138" s="37">
        <f ca="1">SUM(B2:B135)/H138</f>
        <v>1.9514563106796117</v>
      </c>
      <c r="J138" s="37">
        <f ca="1">I138*365</f>
        <v>712.28155339805824</v>
      </c>
      <c r="K138" s="39">
        <f ca="1">1360000/I138/100</f>
        <v>6969.1542288557221</v>
      </c>
      <c r="L138" s="39">
        <f ca="1">K138/365</f>
        <v>19.093573229741704</v>
      </c>
    </row>
    <row r="139" spans="1:12" x14ac:dyDescent="0.25">
      <c r="A139" s="35">
        <v>44041</v>
      </c>
      <c r="B139" s="39">
        <f t="shared" si="13"/>
        <v>2.1315607254877196</v>
      </c>
      <c r="C139" s="39">
        <f t="shared" si="14"/>
        <v>51.031446456643678</v>
      </c>
      <c r="D139" s="37">
        <f>SUM(B$2:B139)</f>
        <v>409.71646352215384</v>
      </c>
      <c r="E139" s="37">
        <f>SUM(C$2:C139)</f>
        <v>6805.7389522413623</v>
      </c>
      <c r="G139" s="36">
        <v>43880</v>
      </c>
      <c r="H139" s="40">
        <f ca="1">TODAY()-G139-1</f>
        <v>157</v>
      </c>
      <c r="I139" s="37">
        <f ca="1">SUM(B2:B135)/H139</f>
        <v>2.5605095541401273</v>
      </c>
      <c r="J139" s="37">
        <f ca="1">I139*365</f>
        <v>934.58598726114644</v>
      </c>
      <c r="K139" s="39">
        <f ca="1">1360000/I139/100</f>
        <v>5311.4427860696524</v>
      </c>
      <c r="L139" s="39">
        <f ca="1">K139/365</f>
        <v>14.551898044026444</v>
      </c>
    </row>
    <row r="140" spans="1:12" x14ac:dyDescent="0.25">
      <c r="A140" s="35">
        <v>44042</v>
      </c>
      <c r="B140" s="39">
        <f t="shared" si="13"/>
        <v>2.23882432045525</v>
      </c>
      <c r="C140" s="39">
        <f t="shared" si="14"/>
        <v>53.599431660105409</v>
      </c>
      <c r="D140" s="37">
        <f>SUM(B$2:B140)</f>
        <v>411.9552878426091</v>
      </c>
      <c r="E140" s="37">
        <f>SUM(C$2:C140)</f>
        <v>6859.3383839014678</v>
      </c>
      <c r="G140" s="36">
        <v>43905</v>
      </c>
      <c r="H140" s="40">
        <f ca="1">TODAY()-G140-1</f>
        <v>132</v>
      </c>
      <c r="I140" s="37">
        <f ca="1">SUM(B3:B135)/H140</f>
        <v>3.0454545454545454</v>
      </c>
      <c r="J140" s="37">
        <f ca="1">I140*365</f>
        <v>1111.590909090909</v>
      </c>
      <c r="K140" s="39">
        <f ca="1">1360000/I140/100</f>
        <v>4465.6716417910447</v>
      </c>
      <c r="L140" s="39">
        <f ca="1">K140/365</f>
        <v>12.23471682682478</v>
      </c>
    </row>
    <row r="141" spans="1:12" x14ac:dyDescent="0.25">
      <c r="A141" s="35">
        <v>44043</v>
      </c>
      <c r="B141" s="39">
        <f t="shared" si="13"/>
        <v>2.4429083294519516</v>
      </c>
      <c r="C141" s="39">
        <f t="shared" si="14"/>
        <v>58.485383091486469</v>
      </c>
      <c r="D141" s="37">
        <f>SUM(B$2:B141)</f>
        <v>414.39819617206103</v>
      </c>
      <c r="E141" s="37">
        <f>SUM(C$2:C141)</f>
        <v>6917.823766992954</v>
      </c>
      <c r="G141" s="36">
        <v>43922</v>
      </c>
      <c r="H141" s="40">
        <f ca="1">TODAY()-G141-1</f>
        <v>115</v>
      </c>
      <c r="I141" s="37">
        <f ca="1">SUM(B20:B135)/H141</f>
        <v>3.4695652173913043</v>
      </c>
      <c r="J141" s="37">
        <f ca="1">I141*365</f>
        <v>1266.391304347826</v>
      </c>
      <c r="K141" s="39">
        <f ca="1">1360000/I141/100</f>
        <v>3919.7994987468674</v>
      </c>
      <c r="L141" s="39">
        <f ca="1">K141/365</f>
        <v>10.739176708895528</v>
      </c>
    </row>
    <row r="142" spans="1:12" x14ac:dyDescent="0.25">
      <c r="A142" s="35"/>
      <c r="B142" s="39"/>
      <c r="C142" s="39"/>
      <c r="D142" s="37"/>
      <c r="E142" s="37"/>
      <c r="G142" t="s">
        <v>319</v>
      </c>
      <c r="I142" s="37">
        <f>SUM(B2:B19)/31</f>
        <v>9.6774193548387094E-2</v>
      </c>
      <c r="J142" s="37">
        <f t="shared" ref="J142:J146" si="15">I142*365</f>
        <v>35.322580645161288</v>
      </c>
      <c r="K142" s="39">
        <f t="shared" ref="K142:K146" si="16">1360000/I142/100</f>
        <v>140533.33333333334</v>
      </c>
      <c r="L142" s="39">
        <f t="shared" ref="L142:L146" si="17">K142/365</f>
        <v>385.02283105022832</v>
      </c>
    </row>
    <row r="143" spans="1:12" x14ac:dyDescent="0.25">
      <c r="A143" s="35"/>
      <c r="B143" s="39"/>
      <c r="C143" s="39"/>
      <c r="D143" s="37"/>
      <c r="E143" s="37"/>
      <c r="G143" t="s">
        <v>320</v>
      </c>
      <c r="I143" s="37">
        <f>AVERAGE(B20:B49)</f>
        <v>2.3666666666666667</v>
      </c>
      <c r="J143" s="37">
        <f t="shared" si="15"/>
        <v>863.83333333333337</v>
      </c>
      <c r="K143" s="39">
        <f t="shared" si="16"/>
        <v>5746.4788732394363</v>
      </c>
      <c r="L143" s="39">
        <f t="shared" si="17"/>
        <v>15.743777734902565</v>
      </c>
    </row>
    <row r="144" spans="1:12" x14ac:dyDescent="0.25">
      <c r="G144" t="s">
        <v>321</v>
      </c>
      <c r="I144" s="37">
        <f>AVERAGE(B50:B80)</f>
        <v>5.290322580645161</v>
      </c>
      <c r="J144" s="37">
        <f t="shared" si="15"/>
        <v>1930.9677419354837</v>
      </c>
      <c r="K144" s="39">
        <f t="shared" si="16"/>
        <v>2570.7317073170734</v>
      </c>
      <c r="L144" s="39">
        <f t="shared" si="17"/>
        <v>7.0431005679919823</v>
      </c>
    </row>
    <row r="145" spans="7:12" x14ac:dyDescent="0.25">
      <c r="G145" t="s">
        <v>322</v>
      </c>
      <c r="I145" s="37">
        <f>AVERAGE(B81:B110)</f>
        <v>4.2</v>
      </c>
      <c r="J145" s="37">
        <f t="shared" si="15"/>
        <v>1533</v>
      </c>
      <c r="K145" s="39">
        <f t="shared" si="16"/>
        <v>3238.0952380952381</v>
      </c>
      <c r="L145" s="39">
        <f t="shared" si="17"/>
        <v>8.8714938030006518</v>
      </c>
    </row>
    <row r="146" spans="7:12" x14ac:dyDescent="0.25">
      <c r="G146" s="34" t="s">
        <v>327</v>
      </c>
      <c r="H146" s="34"/>
      <c r="I146" s="37">
        <f>AVERAGE(B111:B141)</f>
        <v>1.625748263614873</v>
      </c>
      <c r="J146" s="37">
        <f t="shared" si="15"/>
        <v>593.39811621942863</v>
      </c>
      <c r="K146" s="39">
        <f t="shared" si="16"/>
        <v>8365.3787639669499</v>
      </c>
      <c r="L146" s="39">
        <f t="shared" si="17"/>
        <v>22.918845928676575</v>
      </c>
    </row>
    <row r="147" spans="7:12" x14ac:dyDescent="0.25">
      <c r="G147" s="76" t="s">
        <v>323</v>
      </c>
      <c r="H147" s="76"/>
      <c r="I147" s="76"/>
      <c r="J147" s="76"/>
      <c r="K147" s="76"/>
      <c r="L147" s="76"/>
    </row>
    <row r="148" spans="7:12" x14ac:dyDescent="0.25">
      <c r="G148" s="71" t="s">
        <v>308</v>
      </c>
      <c r="H148" s="71"/>
      <c r="I148" s="34" t="s">
        <v>309</v>
      </c>
      <c r="J148" t="s">
        <v>310</v>
      </c>
      <c r="K148" t="s">
        <v>324</v>
      </c>
      <c r="L148" t="s">
        <v>325</v>
      </c>
    </row>
    <row r="149" spans="7:12" x14ac:dyDescent="0.25">
      <c r="G149" s="34"/>
      <c r="H149" s="34">
        <v>365</v>
      </c>
      <c r="I149" s="37">
        <f>SUM(C2:C135)/365</f>
        <v>18.139726027397259</v>
      </c>
      <c r="J149" s="38">
        <f>I149*365</f>
        <v>6621</v>
      </c>
      <c r="K149" s="39">
        <f>1360000/I149</f>
        <v>74973.568947288935</v>
      </c>
      <c r="L149" s="39">
        <f>K149/365</f>
        <v>205.40703821175052</v>
      </c>
    </row>
    <row r="150" spans="7:12" x14ac:dyDescent="0.25">
      <c r="G150" s="36">
        <v>43831</v>
      </c>
      <c r="H150" s="40">
        <f ca="1">TODAY()-G150-1</f>
        <v>206</v>
      </c>
      <c r="I150" s="37">
        <f ca="1">SUM(C2:C135)/H150</f>
        <v>32.140776699029125</v>
      </c>
      <c r="J150" s="37">
        <f ca="1">I150*365</f>
        <v>11731.38349514563</v>
      </c>
      <c r="K150" s="39">
        <f ca="1">1360000/I150</f>
        <v>42313.849871620601</v>
      </c>
      <c r="L150" s="39">
        <f ca="1">K150/365</f>
        <v>115.92835581265918</v>
      </c>
    </row>
    <row r="151" spans="7:12" x14ac:dyDescent="0.25">
      <c r="G151" s="36">
        <v>43880</v>
      </c>
      <c r="H151" s="40">
        <f ca="1">TODAY()-G151-1</f>
        <v>157</v>
      </c>
      <c r="I151" s="37">
        <f ca="1">SUM(C2:C135)/H151</f>
        <v>42.171974522292992</v>
      </c>
      <c r="J151" s="37">
        <f ca="1">I151*365</f>
        <v>15392.770700636942</v>
      </c>
      <c r="K151" s="39">
        <f ca="1">1360000/I151</f>
        <v>32248.904999244827</v>
      </c>
      <c r="L151" s="39">
        <f ca="1">K151/365</f>
        <v>88.353164381492675</v>
      </c>
    </row>
    <row r="152" spans="7:12" x14ac:dyDescent="0.25">
      <c r="G152" s="36">
        <v>43905</v>
      </c>
      <c r="H152" s="40">
        <f ca="1">TODAY()-G152-1</f>
        <v>132</v>
      </c>
      <c r="I152" s="37">
        <f ca="1">SUM(C3:C135)/H152</f>
        <v>50.106060606060609</v>
      </c>
      <c r="J152" s="37">
        <f ca="1">I152*365</f>
        <v>18288.712121212124</v>
      </c>
      <c r="K152" s="39">
        <f ca="1">1360000/I152</f>
        <v>27142.425158754155</v>
      </c>
      <c r="L152" s="39">
        <f ca="1">K152/365</f>
        <v>74.362808654120968</v>
      </c>
    </row>
    <row r="153" spans="7:12" x14ac:dyDescent="0.25">
      <c r="G153" s="36">
        <v>43922</v>
      </c>
      <c r="H153" s="40">
        <f ca="1">TODAY()-G153-1</f>
        <v>115</v>
      </c>
      <c r="I153" s="37">
        <f ca="1">SUM(C20:C135)/H153</f>
        <v>54.382608695652173</v>
      </c>
      <c r="J153" s="37">
        <f ca="1">I153*365</f>
        <v>19849.652173913044</v>
      </c>
      <c r="K153" s="39">
        <f ca="1">1360000/I153</f>
        <v>25007.994883274703</v>
      </c>
      <c r="L153" s="39">
        <f ca="1">K153/365</f>
        <v>68.515054474725218</v>
      </c>
    </row>
    <row r="154" spans="7:12" x14ac:dyDescent="0.25">
      <c r="G154" t="s">
        <v>319</v>
      </c>
      <c r="I154" s="37">
        <f>SUM(C2:C19)/31</f>
        <v>11.838709677419354</v>
      </c>
      <c r="J154" s="37">
        <f>I154*365</f>
        <v>4321.1290322580644</v>
      </c>
      <c r="K154" s="39">
        <f t="shared" ref="K154:K158" si="18">1360000/I154</f>
        <v>114877.38419618529</v>
      </c>
      <c r="L154" s="39">
        <f t="shared" ref="L154:L158" si="19">K154/365</f>
        <v>314.73255944160354</v>
      </c>
    </row>
    <row r="155" spans="7:12" x14ac:dyDescent="0.25">
      <c r="G155" t="s">
        <v>320</v>
      </c>
      <c r="I155" s="37">
        <f>AVERAGE(C20:C49)</f>
        <v>60.7</v>
      </c>
      <c r="J155" s="37">
        <f t="shared" ref="J154:J158" si="20">I155*365</f>
        <v>22155.5</v>
      </c>
      <c r="K155" s="39">
        <f t="shared" si="18"/>
        <v>22405.271828665569</v>
      </c>
      <c r="L155" s="39">
        <f t="shared" si="19"/>
        <v>61.384306379905667</v>
      </c>
    </row>
    <row r="156" spans="7:12" x14ac:dyDescent="0.25">
      <c r="G156" t="s">
        <v>321</v>
      </c>
      <c r="I156" s="37">
        <f>AVERAGE(C50:C80)</f>
        <v>82.612903225806448</v>
      </c>
      <c r="J156" s="37">
        <f t="shared" si="20"/>
        <v>30153.709677419352</v>
      </c>
      <c r="K156" s="39">
        <f t="shared" si="18"/>
        <v>16462.319406481845</v>
      </c>
      <c r="L156" s="39">
        <f t="shared" si="19"/>
        <v>45.102244949265327</v>
      </c>
    </row>
    <row r="157" spans="7:12" x14ac:dyDescent="0.25">
      <c r="G157" t="s">
        <v>322</v>
      </c>
      <c r="I157" s="37">
        <f>AVERAGE(C81:C110)</f>
        <v>40</v>
      </c>
      <c r="J157" s="37">
        <f t="shared" si="20"/>
        <v>14600</v>
      </c>
      <c r="K157" s="39">
        <f t="shared" si="18"/>
        <v>34000</v>
      </c>
      <c r="L157" s="39">
        <f t="shared" si="19"/>
        <v>93.150684931506845</v>
      </c>
    </row>
    <row r="158" spans="7:12" x14ac:dyDescent="0.25">
      <c r="G158" s="34" t="s">
        <v>327</v>
      </c>
      <c r="H158" s="34"/>
      <c r="I158" s="37">
        <f>AVERAGE(C111:C141)</f>
        <v>31.252379580417873</v>
      </c>
      <c r="J158" s="37">
        <f t="shared" si="20"/>
        <v>11407.118546852524</v>
      </c>
      <c r="K158" s="39">
        <f t="shared" si="18"/>
        <v>43516.686353449681</v>
      </c>
      <c r="L158" s="39">
        <f t="shared" si="19"/>
        <v>119.22379822862926</v>
      </c>
    </row>
  </sheetData>
  <mergeCells count="3">
    <mergeCell ref="G136:H136"/>
    <mergeCell ref="G135:L135"/>
    <mergeCell ref="G147:L147"/>
  </mergeCells>
  <phoneticPr fontId="9" type="noConversion"/>
  <conditionalFormatting sqref="B2:B1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5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F131" r:id="rId1" location="stream/0" xr:uid="{D9E88217-9589-4D5B-96E9-C0E954772FEA}"/>
  </hyperlinks>
  <pageMargins left="0.7" right="0.7" top="0.75" bottom="0.75" header="0.51180555555555496" footer="0.51180555555555496"/>
  <pageSetup firstPageNumber="0" orientation="portrait" horizontalDpi="300" verticalDpi="30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International</vt:lpstr>
      <vt:lpstr>USA</vt:lpstr>
      <vt:lpstr>USA Analysis</vt:lpstr>
      <vt:lpstr>NH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Cummings</dc:creator>
  <dc:description/>
  <cp:lastModifiedBy>Jonathan Cummings</cp:lastModifiedBy>
  <cp:revision>2</cp:revision>
  <dcterms:created xsi:type="dcterms:W3CDTF">2020-04-01T17:24:35Z</dcterms:created>
  <dcterms:modified xsi:type="dcterms:W3CDTF">2020-07-26T16:39:10Z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