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than Currie\Documents\AUT\Code\JSteam\JSteam Toolbox\Examples\SymUtility Models\"/>
    </mc:Choice>
  </mc:AlternateContent>
  <bookViews>
    <workbookView xWindow="480" yWindow="120" windowWidth="27795" windowHeight="12585" activeTab="3"/>
  </bookViews>
  <sheets>
    <sheet name="PFD" sheetId="1" r:id="rId1"/>
    <sheet name="Control" sheetId="8" r:id="rId2"/>
    <sheet name="MATLAB" sheetId="7" r:id="rId3"/>
    <sheet name="Producers" sheetId="2" r:id="rId4"/>
    <sheet name="Turbines" sheetId="3" r:id="rId5"/>
    <sheet name="JSteamHidden" sheetId="4" r:id="rId6"/>
    <sheet name="PlantEquip" sheetId="5" r:id="rId7"/>
    <sheet name="Compositions" sheetId="6" r:id="rId8"/>
  </sheets>
  <calcPr calcId="162913" iterate="1" iterateCount="10000" iterateDelta="1E-4"/>
</workbook>
</file>

<file path=xl/calcChain.xml><?xml version="1.0" encoding="utf-8"?>
<calcChain xmlns="http://schemas.openxmlformats.org/spreadsheetml/2006/main">
  <c r="C28" i="8" l="1"/>
  <c r="D28" i="8"/>
  <c r="E28" i="8"/>
  <c r="B28" i="8"/>
  <c r="C3" i="6" a="1"/>
  <c r="C13" i="4"/>
  <c r="C12" i="4"/>
  <c r="C11" i="4"/>
  <c r="C10" i="4"/>
  <c r="C9" i="4"/>
  <c r="C8" i="4"/>
  <c r="C7" i="4"/>
  <c r="C6" i="4"/>
  <c r="C5" i="4"/>
  <c r="C4" i="4"/>
  <c r="C3" i="4"/>
  <c r="C2" i="4"/>
  <c r="C3" i="6" l="1"/>
  <c r="C4" i="6"/>
  <c r="M34" i="8"/>
  <c r="C24" i="8"/>
  <c r="B24" i="8"/>
  <c r="C19" i="8"/>
  <c r="B19" i="8"/>
  <c r="C9" i="8"/>
  <c r="D9" i="8"/>
  <c r="B9" i="8"/>
  <c r="B15" i="8"/>
  <c r="C15" i="8"/>
  <c r="B16" i="8"/>
  <c r="C16" i="8"/>
  <c r="C14" i="8"/>
  <c r="B14" i="8"/>
  <c r="B25" i="8" l="1"/>
  <c r="C25" i="8"/>
  <c r="M36" i="1" l="1"/>
  <c r="M37" i="1"/>
  <c r="M35" i="1"/>
  <c r="B20" i="8"/>
  <c r="E7" i="3" s="1"/>
  <c r="C20" i="8"/>
  <c r="F7" i="3" s="1"/>
  <c r="B21" i="8"/>
  <c r="E12" i="3" s="1"/>
  <c r="C21" i="8"/>
  <c r="F12" i="3" s="1"/>
  <c r="F6" i="3"/>
  <c r="E6" i="3"/>
  <c r="C13" i="3"/>
  <c r="D13" i="3"/>
  <c r="C12" i="3"/>
  <c r="D12" i="3"/>
  <c r="D6" i="3"/>
  <c r="C6" i="3"/>
  <c r="D6" i="2"/>
  <c r="C6" i="2"/>
  <c r="B6" i="2"/>
  <c r="R21" i="1"/>
  <c r="R12" i="1"/>
  <c r="I36" i="1"/>
  <c r="M34" i="1" l="1"/>
  <c r="E13" i="3"/>
  <c r="F4" i="7" l="1"/>
  <c r="F13" i="3" l="1"/>
  <c r="N32" i="6" l="1"/>
  <c r="M32" i="6"/>
  <c r="L32" i="6"/>
  <c r="K32" i="6"/>
  <c r="J32" i="6"/>
  <c r="I32" i="6"/>
  <c r="H32" i="6"/>
  <c r="G32" i="6"/>
  <c r="F32" i="6"/>
  <c r="E32" i="6"/>
  <c r="D32" i="6"/>
  <c r="C32" i="6"/>
  <c r="I3" i="6" a="1"/>
  <c r="J3" i="6" a="1"/>
  <c r="L3" i="6" a="1"/>
  <c r="F3" i="6" a="1"/>
  <c r="N3" i="6" a="1"/>
  <c r="D3" i="6" a="1"/>
  <c r="H3" i="6" a="1"/>
  <c r="M3" i="6" a="1"/>
  <c r="G3" i="6" a="1"/>
  <c r="E3" i="6" a="1"/>
  <c r="K3" i="6" a="1"/>
  <c r="F3" i="6" l="1"/>
  <c r="F4" i="6"/>
  <c r="L3" i="6"/>
  <c r="L4" i="6"/>
  <c r="E3" i="6"/>
  <c r="E4" i="6"/>
  <c r="I3" i="6"/>
  <c r="I4" i="6"/>
  <c r="H3" i="6"/>
  <c r="H4" i="6"/>
  <c r="N3" i="6"/>
  <c r="N4" i="6"/>
  <c r="B28" i="2"/>
  <c r="M3" i="6"/>
  <c r="M4" i="6"/>
  <c r="D3" i="6"/>
  <c r="D4" i="6"/>
  <c r="J3" i="6"/>
  <c r="J4" i="6"/>
  <c r="G4" i="6"/>
  <c r="G3" i="6"/>
  <c r="K4" i="6"/>
  <c r="K3" i="6"/>
  <c r="F11" i="3" l="1"/>
  <c r="F10" i="3"/>
  <c r="E11" i="3"/>
  <c r="E10" i="3"/>
  <c r="D11" i="3"/>
  <c r="D10" i="3"/>
  <c r="C11" i="3"/>
  <c r="C10" i="3"/>
  <c r="D14" i="2"/>
  <c r="C14" i="2"/>
  <c r="B14" i="2"/>
  <c r="G15" i="5"/>
  <c r="G4" i="5"/>
  <c r="D6" i="5"/>
  <c r="C6" i="5"/>
  <c r="B4" i="8"/>
  <c r="B5" i="8"/>
  <c r="B10" i="8"/>
  <c r="C10" i="8"/>
  <c r="D10" i="8"/>
  <c r="H10" i="8"/>
  <c r="I10" i="8"/>
  <c r="J10" i="8"/>
  <c r="B11" i="8"/>
  <c r="C11" i="8"/>
  <c r="D11" i="8"/>
  <c r="H35" i="8"/>
  <c r="I35" i="8"/>
  <c r="J35" i="8"/>
  <c r="G4" i="7"/>
  <c r="H2" i="1"/>
  <c r="H3" i="1"/>
  <c r="H4" i="1"/>
  <c r="C5" i="1"/>
  <c r="I6" i="1"/>
  <c r="I7" i="1"/>
  <c r="Q7" i="1"/>
  <c r="E9" i="1"/>
  <c r="Q9" i="1"/>
  <c r="F10" i="1"/>
  <c r="H10" i="1"/>
  <c r="J10" i="1"/>
  <c r="L10" i="1"/>
  <c r="N10" i="1"/>
  <c r="P10" i="1"/>
  <c r="R11" i="1"/>
  <c r="D12" i="1"/>
  <c r="F15" i="1"/>
  <c r="I15" i="1"/>
  <c r="M15" i="1"/>
  <c r="F16" i="1"/>
  <c r="I16" i="1"/>
  <c r="M16" i="1"/>
  <c r="Q16" i="1"/>
  <c r="E18" i="1"/>
  <c r="Q18" i="1"/>
  <c r="F19" i="1"/>
  <c r="H19" i="1"/>
  <c r="N19" i="1"/>
  <c r="P19" i="1"/>
  <c r="R20" i="1"/>
  <c r="D21" i="1"/>
  <c r="F24" i="1"/>
  <c r="I24" i="1"/>
  <c r="K24" i="1"/>
  <c r="O24" i="1"/>
  <c r="F25" i="1"/>
  <c r="I25" i="1"/>
  <c r="K25" i="1"/>
  <c r="O25" i="1"/>
  <c r="Q25" i="1"/>
  <c r="T26" i="1"/>
  <c r="E27" i="1"/>
  <c r="Q27" i="1"/>
  <c r="T27" i="1"/>
  <c r="C28" i="1"/>
  <c r="F28" i="1"/>
  <c r="P28" i="1"/>
  <c r="C29" i="1"/>
  <c r="H29" i="1"/>
  <c r="H30" i="1"/>
  <c r="F33" i="1"/>
  <c r="F34" i="1"/>
  <c r="N34" i="1"/>
  <c r="O34" i="1"/>
  <c r="I35" i="1"/>
  <c r="N35" i="1"/>
  <c r="O35" i="1"/>
  <c r="N36" i="1"/>
  <c r="O36" i="1"/>
  <c r="N37" i="1"/>
  <c r="O37" i="1"/>
  <c r="O39" i="1"/>
  <c r="C4" i="5"/>
  <c r="D4" i="5"/>
  <c r="C5" i="5"/>
  <c r="D5" i="5"/>
  <c r="G5" i="5"/>
  <c r="G6" i="5"/>
  <c r="C7" i="5"/>
  <c r="D7" i="5"/>
  <c r="G7" i="5" a="1"/>
  <c r="G7" i="5"/>
  <c r="C8" i="5"/>
  <c r="D8" i="5"/>
  <c r="G8" i="5"/>
  <c r="C9" i="5" a="1"/>
  <c r="C9" i="5"/>
  <c r="D9" i="5" a="1"/>
  <c r="D9" i="5"/>
  <c r="G9" i="5"/>
  <c r="C10" i="5"/>
  <c r="D10" i="5"/>
  <c r="G10" i="5"/>
  <c r="C11" i="5"/>
  <c r="D11" i="5"/>
  <c r="G14" i="5"/>
  <c r="C15" i="5"/>
  <c r="C16" i="5"/>
  <c r="G16" i="5"/>
  <c r="C17" i="5"/>
  <c r="C19" i="5" a="1"/>
  <c r="C19" i="5"/>
  <c r="G19" i="5" a="1"/>
  <c r="G19" i="5"/>
  <c r="C20" i="5"/>
  <c r="G20" i="5"/>
  <c r="C21" i="5"/>
  <c r="C22" i="5"/>
  <c r="B3" i="2"/>
  <c r="B9" i="2"/>
  <c r="C9" i="2"/>
  <c r="D9" i="2"/>
  <c r="F9" i="2"/>
  <c r="B11" i="2"/>
  <c r="C11" i="2"/>
  <c r="D11" i="2"/>
  <c r="B12" i="2"/>
  <c r="C12" i="2"/>
  <c r="D12" i="2"/>
  <c r="B16" i="2"/>
  <c r="C16" i="2"/>
  <c r="D16" i="2"/>
  <c r="B17" i="2" a="1"/>
  <c r="B17" i="2"/>
  <c r="C17" i="2" a="1"/>
  <c r="C17" i="2"/>
  <c r="D17" i="2" a="1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5" i="2"/>
  <c r="B26" i="2"/>
  <c r="B27" i="2"/>
  <c r="C9" i="3"/>
  <c r="D9" i="3"/>
  <c r="E9" i="3"/>
  <c r="F9" i="3"/>
  <c r="C14" i="3" a="1"/>
  <c r="C14" i="3"/>
  <c r="D14" i="3" a="1"/>
  <c r="D14" i="3"/>
  <c r="E14" i="3" a="1"/>
  <c r="E14" i="3"/>
  <c r="F14" i="3" a="1"/>
  <c r="F14" i="3"/>
  <c r="C15" i="3"/>
  <c r="D15" i="3"/>
  <c r="E15" i="3"/>
  <c r="F15" i="3"/>
  <c r="C18" i="3"/>
</calcChain>
</file>

<file path=xl/sharedStrings.xml><?xml version="1.0" encoding="utf-8"?>
<sst xmlns="http://schemas.openxmlformats.org/spreadsheetml/2006/main" count="322" uniqueCount="176">
  <si>
    <t>Units</t>
  </si>
  <si>
    <t>Pressure</t>
  </si>
  <si>
    <t>bar</t>
  </si>
  <si>
    <t>Temperature</t>
  </si>
  <si>
    <t>C</t>
  </si>
  <si>
    <t>tonne/hr</t>
  </si>
  <si>
    <t>Power</t>
  </si>
  <si>
    <t>kW</t>
  </si>
  <si>
    <t>Boilers</t>
  </si>
  <si>
    <t>BFW Enthalpy</t>
  </si>
  <si>
    <t>Steam Mass Flow</t>
  </si>
  <si>
    <t>Steam Temperature</t>
  </si>
  <si>
    <t>Steam Pressure</t>
  </si>
  <si>
    <t>Blowdown Ratio</t>
  </si>
  <si>
    <t>Firing Efficiency</t>
  </si>
  <si>
    <t>Steam Enthalpy</t>
  </si>
  <si>
    <t>BFW Mass Flow</t>
  </si>
  <si>
    <t>Blowdown Mass Flow</t>
  </si>
  <si>
    <t>Blowdown Enthalpy</t>
  </si>
  <si>
    <t>Duty</t>
  </si>
  <si>
    <t>Turbines</t>
  </si>
  <si>
    <t>BT1</t>
  </si>
  <si>
    <t>BT2</t>
  </si>
  <si>
    <t>Inlet Enthalpy</t>
  </si>
  <si>
    <t>Inlet Pressure</t>
  </si>
  <si>
    <t>Outlet Pressure</t>
  </si>
  <si>
    <t>Efficiency</t>
  </si>
  <si>
    <t>Outlet Mass Flow</t>
  </si>
  <si>
    <t>Outlet Enthalpy</t>
  </si>
  <si>
    <t>HP Vent</t>
  </si>
  <si>
    <t>MP Vent</t>
  </si>
  <si>
    <t>LP Vent</t>
  </si>
  <si>
    <t>Operating Pressure</t>
  </si>
  <si>
    <t>Inlet Mass Flow</t>
  </si>
  <si>
    <t>Vapour Mass Flow</t>
  </si>
  <si>
    <t>Vapour Enthalpy</t>
  </si>
  <si>
    <t>Liquid Mass Flow</t>
  </si>
  <si>
    <t>Liquid Enthalpy</t>
  </si>
  <si>
    <t>Make Up</t>
  </si>
  <si>
    <t>Deaerator</t>
  </si>
  <si>
    <t>Water Enthalpy</t>
  </si>
  <si>
    <t>Vent Ratio</t>
  </si>
  <si>
    <t>Water Mass Flow</t>
  </si>
  <si>
    <t>Pump</t>
  </si>
  <si>
    <t>LP</t>
  </si>
  <si>
    <t>Outlet Temperature</t>
  </si>
  <si>
    <t>HP</t>
  </si>
  <si>
    <t>MP</t>
  </si>
  <si>
    <t>Fuel</t>
  </si>
  <si>
    <t>Water</t>
  </si>
  <si>
    <t>Price</t>
  </si>
  <si>
    <t>Total</t>
  </si>
  <si>
    <t>TG1</t>
  </si>
  <si>
    <t>TG2</t>
  </si>
  <si>
    <t>Power Buy</t>
  </si>
  <si>
    <t>Producers</t>
  </si>
  <si>
    <t>Steam Demand:</t>
  </si>
  <si>
    <t>State</t>
  </si>
  <si>
    <t>Min</t>
  </si>
  <si>
    <t>Max</t>
  </si>
  <si>
    <t>Current</t>
  </si>
  <si>
    <t>BLR 1</t>
  </si>
  <si>
    <t>BLR 2</t>
  </si>
  <si>
    <t>BLR 3</t>
  </si>
  <si>
    <t>Plant Equipment</t>
  </si>
  <si>
    <t>Desuperheaters</t>
  </si>
  <si>
    <t>FlashDrum</t>
  </si>
  <si>
    <t>HP-MP</t>
  </si>
  <si>
    <t>MP-LP</t>
  </si>
  <si>
    <t>Total BFW Mass Flow</t>
  </si>
  <si>
    <t>Total Duty</t>
  </si>
  <si>
    <t>Max Shaftwork</t>
  </si>
  <si>
    <t>Fuel Gas</t>
  </si>
  <si>
    <t>Prices</t>
  </si>
  <si>
    <t>Status</t>
  </si>
  <si>
    <t>Fuel Compositions</t>
  </si>
  <si>
    <t>Do not modify sheet name or layout</t>
  </si>
  <si>
    <t>Fuel Name</t>
  </si>
  <si>
    <t>Description</t>
  </si>
  <si>
    <t>Basis</t>
  </si>
  <si>
    <t>Hydrocarbons</t>
  </si>
  <si>
    <t>Other Combustibles</t>
  </si>
  <si>
    <t>Inerts &amp; Non-Combustibles</t>
  </si>
  <si>
    <t>Sulfurous</t>
  </si>
  <si>
    <t>Composition Sum</t>
  </si>
  <si>
    <t>Methane</t>
  </si>
  <si>
    <t>CH4</t>
  </si>
  <si>
    <t>Ethylene</t>
  </si>
  <si>
    <t>C2H4</t>
  </si>
  <si>
    <t>Ethane</t>
  </si>
  <si>
    <t>C2H6</t>
  </si>
  <si>
    <t>Propylene</t>
  </si>
  <si>
    <t>C3H6</t>
  </si>
  <si>
    <t>Propane</t>
  </si>
  <si>
    <t>C3H8</t>
  </si>
  <si>
    <t>IsoButene</t>
  </si>
  <si>
    <t>iC4H8</t>
  </si>
  <si>
    <t>n-Butane</t>
  </si>
  <si>
    <t>C4H10</t>
  </si>
  <si>
    <t>IsoButane</t>
  </si>
  <si>
    <t>iC4H10</t>
  </si>
  <si>
    <t>n-Pentane</t>
  </si>
  <si>
    <t>C5H12</t>
  </si>
  <si>
    <t>IsoPentane</t>
  </si>
  <si>
    <t>iC5H12</t>
  </si>
  <si>
    <t>n-Hexane</t>
  </si>
  <si>
    <t>C6H14</t>
  </si>
  <si>
    <t>Hydrogen</t>
  </si>
  <si>
    <t>H2</t>
  </si>
  <si>
    <t>Carbon Monoxide</t>
  </si>
  <si>
    <t>CO</t>
  </si>
  <si>
    <t>Carbon</t>
  </si>
  <si>
    <t>Carbon Dioxide</t>
  </si>
  <si>
    <t>CO2</t>
  </si>
  <si>
    <t>Nitrogen</t>
  </si>
  <si>
    <t>N2</t>
  </si>
  <si>
    <t>Oxygen</t>
  </si>
  <si>
    <t>O2</t>
  </si>
  <si>
    <t>H2O</t>
  </si>
  <si>
    <t>Hydrogen Sulfide</t>
  </si>
  <si>
    <t>H2S</t>
  </si>
  <si>
    <t>Sulfur Dioxide</t>
  </si>
  <si>
    <t>SO2</t>
  </si>
  <si>
    <t>Mole Fraction</t>
  </si>
  <si>
    <t>100% Methane</t>
  </si>
  <si>
    <t>Power Sell</t>
  </si>
  <si>
    <t>Value</t>
  </si>
  <si>
    <t>Total per hr</t>
  </si>
  <si>
    <t>Economics</t>
  </si>
  <si>
    <t>Total Steam Flow</t>
  </si>
  <si>
    <t>BLR1 M</t>
  </si>
  <si>
    <t>BLR2 M</t>
  </si>
  <si>
    <t>BLR3 M</t>
  </si>
  <si>
    <t>Turbo Generators</t>
  </si>
  <si>
    <t>MATLAB Import</t>
  </si>
  <si>
    <t>Steam Turbines</t>
  </si>
  <si>
    <t>Steam Users</t>
  </si>
  <si>
    <t>HP User</t>
  </si>
  <si>
    <t>MP User</t>
  </si>
  <si>
    <t>Shaftwork</t>
  </si>
  <si>
    <t>Sum</t>
  </si>
  <si>
    <t>Model Error</t>
  </si>
  <si>
    <t>Power Balance</t>
  </si>
  <si>
    <t>Fuel Mass Flow</t>
  </si>
  <si>
    <t>Fuel NHV</t>
  </si>
  <si>
    <t>Buy Elec</t>
  </si>
  <si>
    <t>Sell Elec</t>
  </si>
  <si>
    <t>$ per unit</t>
  </si>
  <si>
    <t>Model Control</t>
  </si>
  <si>
    <t>Base Case Point</t>
  </si>
  <si>
    <t>MODEL SPECIFICATIONS</t>
  </si>
  <si>
    <t>Model Mode</t>
  </si>
  <si>
    <t>Steam Demand</t>
  </si>
  <si>
    <t>Total Cost</t>
  </si>
  <si>
    <t>Return Fraction</t>
  </si>
  <si>
    <t>Buy Electricity</t>
  </si>
  <si>
    <t>Sell Electricity</t>
  </si>
  <si>
    <t>Fraction</t>
  </si>
  <si>
    <t>Simulation Optimal Point Import</t>
  </si>
  <si>
    <t>MATLAB</t>
  </si>
  <si>
    <t>MassFlow</t>
  </si>
  <si>
    <t>MoleFlow</t>
  </si>
  <si>
    <t>Energy</t>
  </si>
  <si>
    <t>Mass</t>
  </si>
  <si>
    <t>Mole</t>
  </si>
  <si>
    <t>Volume</t>
  </si>
  <si>
    <t>Viscosity</t>
  </si>
  <si>
    <t>ThermalConductivity</t>
  </si>
  <si>
    <t>kmol/hr</t>
  </si>
  <si>
    <t>kJ</t>
  </si>
  <si>
    <t>kg</t>
  </si>
  <si>
    <t>kmol</t>
  </si>
  <si>
    <t>m3</t>
  </si>
  <si>
    <t>uPa.s</t>
  </si>
  <si>
    <t>mW/(m.K)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</si>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</sst>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4" formatCode="_-&quot;$&quot;* #,##0.00_-;\-&quot;$&quot;* #,##0.00_-;_-&quot;$&quot;* &quot;-&quot;??_-;_-@_-"/>
    <numFmt numFmtId="164" formatCode="0.00&quot; bar&quot;"/>
    <numFmt numFmtId="165" formatCode="0.00&quot; kJ/kg&quot;"/>
    <numFmt numFmtId="166" formatCode="0.00&quot; C&quot;"/>
    <numFmt numFmtId="167" formatCode="0.00&quot; tonne/hr&quot;"/>
    <numFmt numFmtId="168" formatCode="0.00&quot; kW&quot;"/>
    <numFmt numFmtId="169" formatCode="0.000"/>
    <numFmt numFmtId="170" formatCode="&quot;$&quot;0.00\ &quot; / T&quot;"/>
    <numFmt numFmtId="171" formatCode="&quot;$&quot;0.00\ &quot;/  kWh&quot;"/>
    <numFmt numFmtId="172" formatCode="0.00\ &quot;T&quot;"/>
    <numFmt numFmtId="173" formatCode="0.00\ &quot;kW&quot;"/>
    <numFmt numFmtId="174" formatCode="0.00000000000000"/>
    <numFmt numFmtId="175" formatCode="0.0000000000000"/>
    <numFmt numFmtId="176" formatCode="0.000000"/>
    <numFmt numFmtId="177" formatCode="0.0000%"/>
    <numFmt numFmtId="178" formatCode="0.0000&quot; tonne/hr&quot;"/>
    <numFmt numFmtId="179" formatCode="&quot;$&quot;0.00\ &quot;/ T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0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rgb="FF708090"/>
      </top>
      <bottom/>
      <diagonal/>
    </border>
    <border>
      <left style="medium">
        <color rgb="FF708090"/>
      </left>
      <right/>
      <top/>
      <bottom/>
      <diagonal/>
    </border>
    <border>
      <left style="thin">
        <color rgb="FF708090"/>
      </left>
      <right/>
      <top/>
      <bottom/>
      <diagonal/>
    </border>
    <border>
      <left style="medium">
        <color rgb="FF708090"/>
      </left>
      <right/>
      <top style="medium">
        <color rgb="FF708090"/>
      </top>
      <bottom/>
      <diagonal/>
    </border>
    <border>
      <left style="medium">
        <color rgb="FFFA8072"/>
      </left>
      <right/>
      <top/>
      <bottom/>
      <diagonal/>
    </border>
    <border>
      <left style="thin">
        <color rgb="FF708090"/>
      </left>
      <right/>
      <top style="medium">
        <color rgb="FF708090"/>
      </top>
      <bottom/>
      <diagonal/>
    </border>
    <border>
      <left style="thin">
        <color rgb="FFFA8072"/>
      </left>
      <right/>
      <top/>
      <bottom/>
      <diagonal/>
    </border>
    <border>
      <left style="thin">
        <color rgb="FF708090"/>
      </left>
      <right style="medium">
        <color rgb="FF708090"/>
      </right>
      <top style="medium">
        <color rgb="FF708090"/>
      </top>
      <bottom/>
      <diagonal/>
    </border>
    <border>
      <left style="thin">
        <color rgb="FF708090"/>
      </left>
      <right style="medium">
        <color rgb="FF708090"/>
      </right>
      <top/>
      <bottom/>
      <diagonal/>
    </border>
    <border>
      <left style="thin">
        <color rgb="FFFA8072"/>
      </left>
      <right style="medium">
        <color rgb="FFFA807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165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165" fontId="0" fillId="0" borderId="1" xfId="0" applyNumberFormat="1" applyBorder="1"/>
    <xf numFmtId="167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9" fontId="0" fillId="0" borderId="2" xfId="1" applyFont="1" applyBorder="1"/>
    <xf numFmtId="165" fontId="0" fillId="0" borderId="3" xfId="0" applyNumberFormat="1" applyBorder="1"/>
    <xf numFmtId="168" fontId="0" fillId="0" borderId="1" xfId="0" applyNumberFormat="1" applyBorder="1"/>
    <xf numFmtId="167" fontId="0" fillId="0" borderId="0" xfId="0" applyNumberFormat="1"/>
    <xf numFmtId="168" fontId="0" fillId="0" borderId="2" xfId="0" applyNumberFormat="1" applyBorder="1"/>
    <xf numFmtId="167" fontId="0" fillId="0" borderId="3" xfId="0" applyNumberFormat="1" applyBorder="1"/>
    <xf numFmtId="167" fontId="0" fillId="0" borderId="2" xfId="0" applyNumberFormat="1" applyBorder="1"/>
    <xf numFmtId="168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167" fontId="0" fillId="0" borderId="5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167" fontId="0" fillId="0" borderId="8" xfId="0" applyNumberFormat="1" applyBorder="1"/>
    <xf numFmtId="167" fontId="0" fillId="0" borderId="6" xfId="0" applyNumberFormat="1" applyBorder="1"/>
    <xf numFmtId="0" fontId="0" fillId="2" borderId="0" xfId="0" applyFill="1"/>
    <xf numFmtId="0" fontId="2" fillId="0" borderId="0" xfId="0" applyFont="1" applyBorder="1"/>
    <xf numFmtId="9" fontId="0" fillId="0" borderId="0" xfId="1" applyFont="1" applyBorder="1"/>
    <xf numFmtId="165" fontId="0" fillId="0" borderId="0" xfId="0" applyNumberFormat="1" applyBorder="1"/>
    <xf numFmtId="167" fontId="0" fillId="0" borderId="0" xfId="0" applyNumberFormat="1" applyBorder="1"/>
    <xf numFmtId="166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68" fontId="0" fillId="0" borderId="0" xfId="0" applyNumberFormat="1" applyBorder="1"/>
    <xf numFmtId="0" fontId="0" fillId="0" borderId="0" xfId="0" applyFill="1" applyBorder="1"/>
    <xf numFmtId="44" fontId="0" fillId="0" borderId="0" xfId="2" applyFont="1"/>
    <xf numFmtId="44" fontId="0" fillId="0" borderId="0" xfId="0" applyNumberFormat="1"/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169" fontId="11" fillId="5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4" fillId="3" borderId="11" xfId="0" applyFont="1" applyFill="1" applyBorder="1"/>
    <xf numFmtId="169" fontId="7" fillId="0" borderId="11" xfId="0" applyNumberFormat="1" applyFont="1" applyBorder="1" applyAlignment="1">
      <alignment horizontal="center"/>
    </xf>
    <xf numFmtId="169" fontId="11" fillId="3" borderId="11" xfId="0" applyNumberFormat="1" applyFont="1" applyFill="1" applyBorder="1" applyAlignment="1">
      <alignment horizontal="center"/>
    </xf>
    <xf numFmtId="169" fontId="12" fillId="4" borderId="14" xfId="0" applyNumberFormat="1" applyFont="1" applyFill="1" applyBorder="1" applyAlignment="1">
      <alignment horizontal="center"/>
    </xf>
    <xf numFmtId="169" fontId="12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4" fillId="3" borderId="12" xfId="0" applyFont="1" applyFill="1" applyBorder="1"/>
    <xf numFmtId="169" fontId="7" fillId="0" borderId="12" xfId="0" applyNumberFormat="1" applyFont="1" applyBorder="1" applyAlignment="1">
      <alignment horizontal="center"/>
    </xf>
    <xf numFmtId="169" fontId="11" fillId="3" borderId="12" xfId="0" applyNumberFormat="1" applyFont="1" applyFill="1" applyBorder="1" applyAlignment="1">
      <alignment horizontal="center"/>
    </xf>
    <xf numFmtId="169" fontId="12" fillId="4" borderId="16" xfId="0" applyNumberFormat="1" applyFont="1" applyFill="1" applyBorder="1" applyAlignment="1">
      <alignment horizontal="center"/>
    </xf>
    <xf numFmtId="169" fontId="12" fillId="0" borderId="16" xfId="0" applyNumberFormat="1" applyFont="1" applyBorder="1" applyAlignment="1">
      <alignment horizontal="center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4" fillId="3" borderId="18" xfId="0" applyFont="1" applyFill="1" applyBorder="1"/>
    <xf numFmtId="169" fontId="7" fillId="0" borderId="18" xfId="0" applyNumberFormat="1" applyFont="1" applyBorder="1" applyAlignment="1">
      <alignment horizontal="center"/>
    </xf>
    <xf numFmtId="169" fontId="11" fillId="3" borderId="18" xfId="0" applyNumberFormat="1" applyFont="1" applyFill="1" applyBorder="1" applyAlignment="1">
      <alignment horizontal="center"/>
    </xf>
    <xf numFmtId="169" fontId="12" fillId="4" borderId="19" xfId="0" applyNumberFormat="1" applyFont="1" applyFill="1" applyBorder="1" applyAlignment="1">
      <alignment horizontal="center"/>
    </xf>
    <xf numFmtId="169" fontId="12" fillId="0" borderId="19" xfId="0" applyNumberFormat="1" applyFont="1" applyBorder="1" applyAlignment="1">
      <alignment horizontal="center"/>
    </xf>
    <xf numFmtId="174" fontId="0" fillId="0" borderId="0" xfId="0" applyNumberFormat="1"/>
    <xf numFmtId="167" fontId="0" fillId="0" borderId="0" xfId="0" applyNumberFormat="1" applyFill="1"/>
    <xf numFmtId="165" fontId="0" fillId="0" borderId="0" xfId="0" applyNumberFormat="1" applyFill="1"/>
    <xf numFmtId="10" fontId="0" fillId="2" borderId="2" xfId="1" applyNumberFormat="1" applyFont="1" applyFill="1" applyBorder="1"/>
    <xf numFmtId="176" fontId="0" fillId="0" borderId="0" xfId="0" applyNumberFormat="1" applyBorder="1"/>
    <xf numFmtId="175" fontId="0" fillId="0" borderId="0" xfId="0" applyNumberFormat="1" applyBorder="1"/>
    <xf numFmtId="167" fontId="0" fillId="0" borderId="0" xfId="0" quotePrefix="1" applyNumberFormat="1"/>
    <xf numFmtId="0" fontId="3" fillId="0" borderId="0" xfId="0" applyFont="1"/>
    <xf numFmtId="0" fontId="13" fillId="0" borderId="0" xfId="0" applyFont="1"/>
    <xf numFmtId="44" fontId="13" fillId="0" borderId="0" xfId="2" applyFont="1"/>
    <xf numFmtId="170" fontId="13" fillId="0" borderId="0" xfId="0" applyNumberFormat="1" applyFont="1"/>
    <xf numFmtId="172" fontId="13" fillId="0" borderId="0" xfId="0" applyNumberFormat="1" applyFont="1"/>
    <xf numFmtId="171" fontId="13" fillId="0" borderId="0" xfId="0" applyNumberFormat="1" applyFont="1"/>
    <xf numFmtId="173" fontId="13" fillId="0" borderId="0" xfId="0" applyNumberFormat="1" applyFont="1"/>
    <xf numFmtId="0" fontId="13" fillId="0" borderId="0" xfId="0" applyFont="1" applyAlignment="1">
      <alignment horizontal="right"/>
    </xf>
    <xf numFmtId="167" fontId="3" fillId="0" borderId="0" xfId="0" applyNumberFormat="1" applyFont="1"/>
    <xf numFmtId="0" fontId="14" fillId="0" borderId="0" xfId="0" applyFont="1" applyAlignment="1">
      <alignment horizontal="right"/>
    </xf>
    <xf numFmtId="44" fontId="14" fillId="0" borderId="0" xfId="0" applyNumberFormat="1" applyFont="1"/>
    <xf numFmtId="0" fontId="0" fillId="0" borderId="0" xfId="0" applyFont="1"/>
    <xf numFmtId="167" fontId="0" fillId="0" borderId="0" xfId="0" applyNumberFormat="1" applyFill="1" applyBorder="1"/>
    <xf numFmtId="10" fontId="0" fillId="0" borderId="0" xfId="0" applyNumberFormat="1"/>
    <xf numFmtId="168" fontId="0" fillId="0" borderId="0" xfId="0" applyNumberFormat="1" applyFont="1"/>
    <xf numFmtId="177" fontId="0" fillId="0" borderId="0" xfId="1" applyNumberFormat="1" applyFont="1"/>
    <xf numFmtId="44" fontId="0" fillId="0" borderId="0" xfId="2" applyFont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168" fontId="0" fillId="0" borderId="6" xfId="0" applyNumberFormat="1" applyBorder="1"/>
    <xf numFmtId="178" fontId="0" fillId="0" borderId="0" xfId="0" applyNumberFormat="1" applyBorder="1"/>
    <xf numFmtId="10" fontId="0" fillId="0" borderId="0" xfId="0" applyNumberFormat="1" applyBorder="1"/>
    <xf numFmtId="167" fontId="0" fillId="0" borderId="0" xfId="1" applyNumberFormat="1" applyFont="1" applyBorder="1"/>
    <xf numFmtId="168" fontId="0" fillId="0" borderId="0" xfId="0" applyNumberFormat="1" applyBorder="1" applyAlignment="1">
      <alignment horizontal="center"/>
    </xf>
    <xf numFmtId="179" fontId="13" fillId="0" borderId="0" xfId="0" applyNumberFormat="1" applyFont="1"/>
    <xf numFmtId="168" fontId="0" fillId="6" borderId="2" xfId="0" applyNumberFormat="1" applyFill="1" applyBorder="1"/>
    <xf numFmtId="0" fontId="0" fillId="6" borderId="0" xfId="0" applyFill="1"/>
    <xf numFmtId="2" fontId="0" fillId="0" borderId="1" xfId="0" applyNumberFormat="1" applyFill="1" applyBorder="1"/>
    <xf numFmtId="166" fontId="0" fillId="0" borderId="1" xfId="0" applyNumberFormat="1" applyFill="1" applyBorder="1"/>
    <xf numFmtId="167" fontId="0" fillId="2" borderId="0" xfId="0" applyNumberFormat="1" applyFill="1"/>
    <xf numFmtId="164" fontId="0" fillId="0" borderId="4" xfId="0" applyNumberFormat="1" applyFill="1" applyBorder="1"/>
    <xf numFmtId="2" fontId="0" fillId="0" borderId="7" xfId="1" applyNumberFormat="1" applyFont="1" applyFill="1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20" xfId="0" applyFont="1" applyBorder="1"/>
    <xf numFmtId="0" fontId="0" fillId="0" borderId="21" xfId="0" applyBorder="1"/>
    <xf numFmtId="0" fontId="0" fillId="0" borderId="20" xfId="0" applyFont="1" applyBorder="1"/>
    <xf numFmtId="0" fontId="0" fillId="0" borderId="0" xfId="0" applyFont="1" applyBorder="1"/>
    <xf numFmtId="0" fontId="0" fillId="0" borderId="20" xfId="0" applyBorder="1"/>
    <xf numFmtId="168" fontId="0" fillId="0" borderId="0" xfId="0" applyNumberFormat="1" applyFont="1" applyBorder="1"/>
    <xf numFmtId="10" fontId="0" fillId="0" borderId="0" xfId="1" applyNumberFormat="1" applyFont="1" applyBorder="1"/>
    <xf numFmtId="0" fontId="2" fillId="0" borderId="21" xfId="0" applyFont="1" applyBorder="1"/>
    <xf numFmtId="0" fontId="0" fillId="0" borderId="22" xfId="0" applyBorder="1"/>
    <xf numFmtId="167" fontId="0" fillId="0" borderId="0" xfId="0" applyNumberFormat="1" applyFont="1" applyBorder="1"/>
    <xf numFmtId="10" fontId="0" fillId="0" borderId="0" xfId="0" applyNumberFormat="1" applyFont="1" applyBorder="1"/>
    <xf numFmtId="44" fontId="0" fillId="0" borderId="23" xfId="2" applyFont="1" applyBorder="1"/>
    <xf numFmtId="44" fontId="0" fillId="0" borderId="24" xfId="2" applyFont="1" applyBorder="1"/>
    <xf numFmtId="10" fontId="0" fillId="6" borderId="1" xfId="1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164" fontId="3" fillId="0" borderId="0" xfId="0" applyNumberFormat="1" applyFont="1" applyFill="1"/>
    <xf numFmtId="165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12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9" fillId="0" borderId="11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204107</xdr:colOff>
      <xdr:row>11</xdr:row>
      <xdr:rowOff>50718</xdr:rowOff>
    </xdr:from>
    <xdr:to>
      <xdr:col>8</xdr:col>
      <xdr:colOff>623455</xdr:colOff>
      <xdr:row>12</xdr:row>
      <xdr:rowOff>145967</xdr:rowOff>
    </xdr:to>
    <xdr:grpSp>
      <xdr:nvGrpSpPr>
        <xdr:cNvPr id="58" name="Group 57"/>
        <xdr:cNvGrpSpPr/>
      </xdr:nvGrpSpPr>
      <xdr:grpSpPr>
        <a:xfrm>
          <a:off x="6776357" y="2255075"/>
          <a:ext cx="419348" cy="285749"/>
          <a:chOff x="6728732" y="2241468"/>
          <a:chExt cx="419348" cy="285749"/>
        </a:xfrm>
      </xdr:grpSpPr>
      <xdr:sp macro="" textlink="">
        <xdr:nvSpPr>
          <xdr:cNvPr id="51" name="Rectangle 50"/>
          <xdr:cNvSpPr/>
        </xdr:nvSpPr>
        <xdr:spPr>
          <a:xfrm>
            <a:off x="6728732" y="2354036"/>
            <a:ext cx="204107" cy="68035"/>
          </a:xfrm>
          <a:prstGeom prst="rect">
            <a:avLst/>
          </a:prstGeom>
          <a:solidFill>
            <a:schemeClr val="bg1">
              <a:lumMod val="7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9" name="Oval 28"/>
          <xdr:cNvSpPr/>
        </xdr:nvSpPr>
        <xdr:spPr>
          <a:xfrm>
            <a:off x="6851815" y="2241468"/>
            <a:ext cx="296265" cy="285749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57" name="Freeform 56"/>
          <xdr:cNvSpPr/>
        </xdr:nvSpPr>
        <xdr:spPr>
          <a:xfrm>
            <a:off x="6922944" y="2298988"/>
            <a:ext cx="181841" cy="166162"/>
          </a:xfrm>
          <a:custGeom>
            <a:avLst/>
            <a:gdLst>
              <a:gd name="connsiteX0" fmla="*/ 0 w 199159"/>
              <a:gd name="connsiteY0" fmla="*/ 123361 h 215920"/>
              <a:gd name="connsiteX1" fmla="*/ 64943 w 199159"/>
              <a:gd name="connsiteY1" fmla="*/ 2133 h 215920"/>
              <a:gd name="connsiteX2" fmla="*/ 138546 w 199159"/>
              <a:gd name="connsiteY2" fmla="*/ 214281 h 215920"/>
              <a:gd name="connsiteX3" fmla="*/ 199159 w 199159"/>
              <a:gd name="connsiteY3" fmla="*/ 106042 h 215920"/>
              <a:gd name="connsiteX4" fmla="*/ 199159 w 199159"/>
              <a:gd name="connsiteY4" fmla="*/ 106042 h 215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9159" h="215920">
                <a:moveTo>
                  <a:pt x="0" y="123361"/>
                </a:moveTo>
                <a:cubicBezTo>
                  <a:pt x="20926" y="55170"/>
                  <a:pt x="41852" y="-13020"/>
                  <a:pt x="64943" y="2133"/>
                </a:cubicBezTo>
                <a:cubicBezTo>
                  <a:pt x="88034" y="17286"/>
                  <a:pt x="116177" y="196963"/>
                  <a:pt x="138546" y="214281"/>
                </a:cubicBezTo>
                <a:cubicBezTo>
                  <a:pt x="160915" y="231599"/>
                  <a:pt x="199159" y="106042"/>
                  <a:pt x="199159" y="106042"/>
                </a:cubicBezTo>
                <a:lnTo>
                  <a:pt x="199159" y="106042"/>
                </a:lnTo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</xdr:grpSp>
    <xdr:clientData/>
  </xdr:twoCellAnchor>
  <xdr:twoCellAnchor>
    <xdr:from>
      <xdr:col>10</xdr:col>
      <xdr:colOff>202406</xdr:colOff>
      <xdr:row>20</xdr:row>
      <xdr:rowOff>65484</xdr:rowOff>
    </xdr:from>
    <xdr:to>
      <xdr:col>10</xdr:col>
      <xdr:colOff>621754</xdr:colOff>
      <xdr:row>21</xdr:row>
      <xdr:rowOff>160733</xdr:rowOff>
    </xdr:to>
    <xdr:grpSp>
      <xdr:nvGrpSpPr>
        <xdr:cNvPr id="155" name="Group 154"/>
        <xdr:cNvGrpSpPr/>
      </xdr:nvGrpSpPr>
      <xdr:grpSpPr>
        <a:xfrm>
          <a:off x="8924585" y="4038770"/>
          <a:ext cx="419348" cy="285749"/>
          <a:chOff x="6728732" y="2241468"/>
          <a:chExt cx="419348" cy="285749"/>
        </a:xfrm>
      </xdr:grpSpPr>
      <xdr:sp macro="" textlink="">
        <xdr:nvSpPr>
          <xdr:cNvPr id="157" name="Rectangle 156"/>
          <xdr:cNvSpPr/>
        </xdr:nvSpPr>
        <xdr:spPr>
          <a:xfrm>
            <a:off x="6728732" y="2354036"/>
            <a:ext cx="204107" cy="68035"/>
          </a:xfrm>
          <a:prstGeom prst="rect">
            <a:avLst/>
          </a:prstGeom>
          <a:solidFill>
            <a:schemeClr val="bg1">
              <a:lumMod val="7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59" name="Oval 158"/>
          <xdr:cNvSpPr/>
        </xdr:nvSpPr>
        <xdr:spPr>
          <a:xfrm>
            <a:off x="6851815" y="2241468"/>
            <a:ext cx="296265" cy="285749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60" name="Freeform 159"/>
          <xdr:cNvSpPr/>
        </xdr:nvSpPr>
        <xdr:spPr>
          <a:xfrm>
            <a:off x="6922944" y="2298988"/>
            <a:ext cx="181841" cy="166162"/>
          </a:xfrm>
          <a:custGeom>
            <a:avLst/>
            <a:gdLst>
              <a:gd name="connsiteX0" fmla="*/ 0 w 199159"/>
              <a:gd name="connsiteY0" fmla="*/ 123361 h 215920"/>
              <a:gd name="connsiteX1" fmla="*/ 64943 w 199159"/>
              <a:gd name="connsiteY1" fmla="*/ 2133 h 215920"/>
              <a:gd name="connsiteX2" fmla="*/ 138546 w 199159"/>
              <a:gd name="connsiteY2" fmla="*/ 214281 h 215920"/>
              <a:gd name="connsiteX3" fmla="*/ 199159 w 199159"/>
              <a:gd name="connsiteY3" fmla="*/ 106042 h 215920"/>
              <a:gd name="connsiteX4" fmla="*/ 199159 w 199159"/>
              <a:gd name="connsiteY4" fmla="*/ 106042 h 215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9159" h="215920">
                <a:moveTo>
                  <a:pt x="0" y="123361"/>
                </a:moveTo>
                <a:cubicBezTo>
                  <a:pt x="20926" y="55170"/>
                  <a:pt x="41852" y="-13020"/>
                  <a:pt x="64943" y="2133"/>
                </a:cubicBezTo>
                <a:cubicBezTo>
                  <a:pt x="88034" y="17286"/>
                  <a:pt x="116177" y="196963"/>
                  <a:pt x="138546" y="214281"/>
                </a:cubicBezTo>
                <a:cubicBezTo>
                  <a:pt x="160915" y="231599"/>
                  <a:pt x="199159" y="106042"/>
                  <a:pt x="199159" y="106042"/>
                </a:cubicBezTo>
                <a:lnTo>
                  <a:pt x="199159" y="106042"/>
                </a:lnTo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</xdr:grpSp>
    <xdr:clientData/>
  </xdr:twoCellAnchor>
  <xdr:twoCellAnchor>
    <xdr:from>
      <xdr:col>3</xdr:col>
      <xdr:colOff>885264</xdr:colOff>
      <xdr:row>7</xdr:row>
      <xdr:rowOff>177799</xdr:rowOff>
    </xdr:from>
    <xdr:to>
      <xdr:col>16</xdr:col>
      <xdr:colOff>161925</xdr:colOff>
      <xdr:row>8</xdr:row>
      <xdr:rowOff>56028</xdr:rowOff>
    </xdr:to>
    <xdr:sp macro="" textlink="">
      <xdr:nvSpPr>
        <xdr:cNvPr id="2" name="Rounded Rectangle 1"/>
        <xdr:cNvSpPr/>
      </xdr:nvSpPr>
      <xdr:spPr>
        <a:xfrm>
          <a:off x="2828364" y="1511299"/>
          <a:ext cx="12205261" cy="68729"/>
        </a:xfrm>
        <a:prstGeom prst="roundRect">
          <a:avLst/>
        </a:prstGeom>
        <a:gradFill flip="none" rotWithShape="1">
          <a:gsLst>
            <a:gs pos="0">
              <a:srgbClr val="808080"/>
            </a:gs>
            <a:gs pos="50000">
              <a:srgbClr val="FFFFFF"/>
            </a:gs>
            <a:gs pos="100000">
              <a:srgbClr val="808080"/>
            </a:gs>
          </a:gsLst>
          <a:lin ang="540000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4</xdr:col>
      <xdr:colOff>9525</xdr:colOff>
      <xdr:row>16</xdr:row>
      <xdr:rowOff>152400</xdr:rowOff>
    </xdr:from>
    <xdr:to>
      <xdr:col>16</xdr:col>
      <xdr:colOff>161925</xdr:colOff>
      <xdr:row>17</xdr:row>
      <xdr:rowOff>38100</xdr:rowOff>
    </xdr:to>
    <xdr:sp macro="" textlink="">
      <xdr:nvSpPr>
        <xdr:cNvPr id="3" name="Rounded Rectangle 2"/>
        <xdr:cNvSpPr/>
      </xdr:nvSpPr>
      <xdr:spPr>
        <a:xfrm>
          <a:off x="2447925" y="3209925"/>
          <a:ext cx="10029825" cy="76200"/>
        </a:xfrm>
        <a:prstGeom prst="roundRect">
          <a:avLst/>
        </a:prstGeom>
        <a:gradFill flip="none" rotWithShape="1">
          <a:gsLst>
            <a:gs pos="0">
              <a:srgbClr val="808080"/>
            </a:gs>
            <a:gs pos="50000">
              <a:srgbClr val="FFFFFF"/>
            </a:gs>
            <a:gs pos="100000">
              <a:srgbClr val="808080"/>
            </a:gs>
          </a:gsLst>
          <a:lin ang="540000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4</xdr:col>
      <xdr:colOff>0</xdr:colOff>
      <xdr:row>25</xdr:row>
      <xdr:rowOff>142875</xdr:rowOff>
    </xdr:from>
    <xdr:to>
      <xdr:col>16</xdr:col>
      <xdr:colOff>161925</xdr:colOff>
      <xdr:row>26</xdr:row>
      <xdr:rowOff>28575</xdr:rowOff>
    </xdr:to>
    <xdr:sp macro="" textlink="">
      <xdr:nvSpPr>
        <xdr:cNvPr id="4" name="Rounded Rectangle 3"/>
        <xdr:cNvSpPr/>
      </xdr:nvSpPr>
      <xdr:spPr>
        <a:xfrm>
          <a:off x="2438400" y="4924425"/>
          <a:ext cx="10039350" cy="76200"/>
        </a:xfrm>
        <a:prstGeom prst="roundRect">
          <a:avLst/>
        </a:prstGeom>
        <a:gradFill flip="none" rotWithShape="1">
          <a:gsLst>
            <a:gs pos="0">
              <a:srgbClr val="808080"/>
            </a:gs>
            <a:gs pos="50000">
              <a:srgbClr val="FFFFFF"/>
            </a:gs>
            <a:gs pos="100000">
              <a:srgbClr val="808080"/>
            </a:gs>
          </a:gsLst>
          <a:lin ang="540000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4</xdr:col>
      <xdr:colOff>387350</xdr:colOff>
      <xdr:row>11</xdr:row>
      <xdr:rowOff>19050</xdr:rowOff>
    </xdr:from>
    <xdr:to>
      <xdr:col>5</xdr:col>
      <xdr:colOff>106680</xdr:colOff>
      <xdr:row>12</xdr:row>
      <xdr:rowOff>170180</xdr:rowOff>
    </xdr:to>
    <xdr:grpSp>
      <xdr:nvGrpSpPr>
        <xdr:cNvPr id="20" name="Group 19"/>
        <xdr:cNvGrpSpPr>
          <a:grpSpLocks noChangeAspect="1"/>
        </xdr:cNvGrpSpPr>
      </xdr:nvGrpSpPr>
      <xdr:grpSpPr>
        <a:xfrm>
          <a:off x="3204029" y="2223407"/>
          <a:ext cx="331651" cy="341630"/>
          <a:chOff x="5359400" y="952500"/>
          <a:chExt cx="328930" cy="341630"/>
        </a:xfrm>
      </xdr:grpSpPr>
      <xdr:sp macro="" textlink="">
        <xdr:nvSpPr>
          <xdr:cNvPr id="17" name="Flowchart: Collate 16"/>
          <xdr:cNvSpPr/>
        </xdr:nvSpPr>
        <xdr:spPr>
          <a:xfrm>
            <a:off x="5486400" y="952500"/>
            <a:ext cx="201930" cy="341630"/>
          </a:xfrm>
          <a:prstGeom prst="flowChartCollate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Isosceles Triangle 17"/>
          <xdr:cNvSpPr/>
        </xdr:nvSpPr>
        <xdr:spPr>
          <a:xfrm rot="5400000">
            <a:off x="5475986" y="1080199"/>
            <a:ext cx="111379" cy="86233"/>
          </a:xfrm>
          <a:prstGeom prst="triangle">
            <a:avLst/>
          </a:prstGeom>
          <a:solidFill>
            <a:srgbClr val="808080"/>
          </a:soli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19" name="Straight Connector 18"/>
          <xdr:cNvCxnSpPr/>
        </xdr:nvCxnSpPr>
        <xdr:spPr>
          <a:xfrm>
            <a:off x="5359400" y="1123315"/>
            <a:ext cx="129159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387350</xdr:colOff>
      <xdr:row>20</xdr:row>
      <xdr:rowOff>28575</xdr:rowOff>
    </xdr:from>
    <xdr:to>
      <xdr:col>5</xdr:col>
      <xdr:colOff>106680</xdr:colOff>
      <xdr:row>21</xdr:row>
      <xdr:rowOff>179705</xdr:rowOff>
    </xdr:to>
    <xdr:grpSp>
      <xdr:nvGrpSpPr>
        <xdr:cNvPr id="24" name="Group 23"/>
        <xdr:cNvGrpSpPr>
          <a:grpSpLocks noChangeAspect="1"/>
        </xdr:cNvGrpSpPr>
      </xdr:nvGrpSpPr>
      <xdr:grpSpPr>
        <a:xfrm>
          <a:off x="3204029" y="4001861"/>
          <a:ext cx="331651" cy="341630"/>
          <a:chOff x="5359400" y="952500"/>
          <a:chExt cx="328930" cy="341630"/>
        </a:xfrm>
      </xdr:grpSpPr>
      <xdr:sp macro="" textlink="">
        <xdr:nvSpPr>
          <xdr:cNvPr id="21" name="Flowchart: Collate 20"/>
          <xdr:cNvSpPr/>
        </xdr:nvSpPr>
        <xdr:spPr>
          <a:xfrm>
            <a:off x="5486400" y="952500"/>
            <a:ext cx="201930" cy="341630"/>
          </a:xfrm>
          <a:prstGeom prst="flowChartCollate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Isosceles Triangle 21"/>
          <xdr:cNvSpPr/>
        </xdr:nvSpPr>
        <xdr:spPr>
          <a:xfrm rot="5400000">
            <a:off x="5475986" y="1080199"/>
            <a:ext cx="111379" cy="86233"/>
          </a:xfrm>
          <a:prstGeom prst="triangle">
            <a:avLst/>
          </a:prstGeom>
          <a:solidFill>
            <a:srgbClr val="808080"/>
          </a:soli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23" name="Straight Connector 22"/>
          <xdr:cNvCxnSpPr/>
        </xdr:nvCxnSpPr>
        <xdr:spPr>
          <a:xfrm>
            <a:off x="5359400" y="1123315"/>
            <a:ext cx="129159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10</xdr:row>
      <xdr:rowOff>66675</xdr:rowOff>
    </xdr:from>
    <xdr:to>
      <xdr:col>12</xdr:col>
      <xdr:colOff>234950</xdr:colOff>
      <xdr:row>13</xdr:row>
      <xdr:rowOff>130175</xdr:rowOff>
    </xdr:to>
    <xdr:sp macro="" textlink="">
      <xdr:nvSpPr>
        <xdr:cNvPr id="26" name="Trapezoid 25"/>
        <xdr:cNvSpPr/>
      </xdr:nvSpPr>
      <xdr:spPr>
        <a:xfrm rot="16200000">
          <a:off x="6819900" y="1876425"/>
          <a:ext cx="635000" cy="825500"/>
        </a:xfrm>
        <a:prstGeom prst="trapezoid">
          <a:avLst>
            <a:gd name="adj" fmla="val 30000"/>
          </a:avLst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lang="en-NZ" sz="1100">
              <a:solidFill>
                <a:sysClr val="windowText" lastClr="000000"/>
              </a:solidFill>
            </a:rPr>
            <a:t>BT1</a:t>
          </a:r>
        </a:p>
      </xdr:txBody>
    </xdr:sp>
    <xdr:clientData/>
  </xdr:twoCellAnchor>
  <xdr:twoCellAnchor>
    <xdr:from>
      <xdr:col>7</xdr:col>
      <xdr:colOff>9525</xdr:colOff>
      <xdr:row>19</xdr:row>
      <xdr:rowOff>85725</xdr:rowOff>
    </xdr:from>
    <xdr:to>
      <xdr:col>8</xdr:col>
      <xdr:colOff>225425</xdr:colOff>
      <xdr:row>22</xdr:row>
      <xdr:rowOff>149225</xdr:rowOff>
    </xdr:to>
    <xdr:sp macro="" textlink="">
      <xdr:nvSpPr>
        <xdr:cNvPr id="27" name="Trapezoid 26"/>
        <xdr:cNvSpPr/>
      </xdr:nvSpPr>
      <xdr:spPr>
        <a:xfrm rot="16200000">
          <a:off x="4371975" y="3609975"/>
          <a:ext cx="635000" cy="825500"/>
        </a:xfrm>
        <a:prstGeom prst="trapezoid">
          <a:avLst>
            <a:gd name="adj" fmla="val 30000"/>
          </a:avLst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lang="en-NZ" sz="1100">
              <a:solidFill>
                <a:sysClr val="windowText" lastClr="000000"/>
              </a:solidFill>
            </a:rPr>
            <a:t>BT2</a:t>
          </a:r>
        </a:p>
      </xdr:txBody>
    </xdr:sp>
    <xdr:clientData/>
  </xdr:twoCellAnchor>
  <xdr:twoCellAnchor>
    <xdr:from>
      <xdr:col>9</xdr:col>
      <xdr:colOff>9525</xdr:colOff>
      <xdr:row>19</xdr:row>
      <xdr:rowOff>85725</xdr:rowOff>
    </xdr:from>
    <xdr:to>
      <xdr:col>10</xdr:col>
      <xdr:colOff>225425</xdr:colOff>
      <xdr:row>22</xdr:row>
      <xdr:rowOff>149225</xdr:rowOff>
    </xdr:to>
    <xdr:sp macro="" textlink="">
      <xdr:nvSpPr>
        <xdr:cNvPr id="28" name="Trapezoid 27"/>
        <xdr:cNvSpPr/>
      </xdr:nvSpPr>
      <xdr:spPr>
        <a:xfrm rot="16200000">
          <a:off x="5591175" y="3609975"/>
          <a:ext cx="635000" cy="825500"/>
        </a:xfrm>
        <a:prstGeom prst="trapezoid">
          <a:avLst>
            <a:gd name="adj" fmla="val 30000"/>
          </a:avLst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lang="en-NZ" sz="1100">
              <a:solidFill>
                <a:sysClr val="windowText" lastClr="000000"/>
              </a:solidFill>
            </a:rPr>
            <a:t>TG2</a:t>
          </a:r>
        </a:p>
      </xdr:txBody>
    </xdr:sp>
    <xdr:clientData/>
  </xdr:twoCellAnchor>
  <xdr:twoCellAnchor>
    <xdr:from>
      <xdr:col>2</xdr:col>
      <xdr:colOff>986117</xdr:colOff>
      <xdr:row>29</xdr:row>
      <xdr:rowOff>57150</xdr:rowOff>
    </xdr:from>
    <xdr:to>
      <xdr:col>4</xdr:col>
      <xdr:colOff>491684</xdr:colOff>
      <xdr:row>33</xdr:row>
      <xdr:rowOff>95250</xdr:rowOff>
    </xdr:to>
    <xdr:grpSp>
      <xdr:nvGrpSpPr>
        <xdr:cNvPr id="35" name="Group 34"/>
        <xdr:cNvGrpSpPr>
          <a:grpSpLocks noChangeAspect="1"/>
        </xdr:cNvGrpSpPr>
      </xdr:nvGrpSpPr>
      <xdr:grpSpPr>
        <a:xfrm>
          <a:off x="1843367" y="5785757"/>
          <a:ext cx="1464996" cy="813707"/>
          <a:chOff x="10972800" y="4953000"/>
          <a:chExt cx="797179" cy="546100"/>
        </a:xfrm>
      </xdr:grpSpPr>
      <xdr:sp macro="" textlink="">
        <xdr:nvSpPr>
          <xdr:cNvPr id="30" name="Oval 29"/>
          <xdr:cNvSpPr/>
        </xdr:nvSpPr>
        <xdr:spPr>
          <a:xfrm>
            <a:off x="10972800" y="5143500"/>
            <a:ext cx="114300" cy="355600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31" name="Oval 30"/>
          <xdr:cNvSpPr/>
        </xdr:nvSpPr>
        <xdr:spPr>
          <a:xfrm>
            <a:off x="11655679" y="5143500"/>
            <a:ext cx="114300" cy="355600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32" name="Rectangle 31"/>
          <xdr:cNvSpPr/>
        </xdr:nvSpPr>
        <xdr:spPr>
          <a:xfrm>
            <a:off x="11029950" y="5143500"/>
            <a:ext cx="682879" cy="355600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33" name="Oval 32"/>
          <xdr:cNvSpPr/>
        </xdr:nvSpPr>
        <xdr:spPr>
          <a:xfrm>
            <a:off x="11244390" y="4953000"/>
            <a:ext cx="254000" cy="101600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11244390" y="5003800"/>
            <a:ext cx="254000" cy="139700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</xdr:grpSp>
    <xdr:clientData/>
  </xdr:twoCellAnchor>
  <xdr:twoCellAnchor>
    <xdr:from>
      <xdr:col>0</xdr:col>
      <xdr:colOff>495300</xdr:colOff>
      <xdr:row>24</xdr:row>
      <xdr:rowOff>19050</xdr:rowOff>
    </xdr:from>
    <xdr:to>
      <xdr:col>2</xdr:col>
      <xdr:colOff>228600</xdr:colOff>
      <xdr:row>25</xdr:row>
      <xdr:rowOff>82550</xdr:rowOff>
    </xdr:to>
    <xdr:sp macro="" textlink="">
      <xdr:nvSpPr>
        <xdr:cNvPr id="36" name="Isosceles Triangle 35"/>
        <xdr:cNvSpPr/>
      </xdr:nvSpPr>
      <xdr:spPr>
        <a:xfrm rot="10800000">
          <a:off x="495300" y="4591050"/>
          <a:ext cx="952500" cy="254000"/>
        </a:xfrm>
        <a:prstGeom prst="triangle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14</xdr:col>
      <xdr:colOff>295275</xdr:colOff>
      <xdr:row>10</xdr:row>
      <xdr:rowOff>142875</xdr:rowOff>
    </xdr:from>
    <xdr:to>
      <xdr:col>15</xdr:col>
      <xdr:colOff>285750</xdr:colOff>
      <xdr:row>13</xdr:row>
      <xdr:rowOff>18796</xdr:rowOff>
    </xdr:to>
    <xdr:sp macro="" textlink="">
      <xdr:nvSpPr>
        <xdr:cNvPr id="37" name="Rounded Rectangle 36"/>
        <xdr:cNvSpPr/>
      </xdr:nvSpPr>
      <xdr:spPr>
        <a:xfrm>
          <a:off x="10896600" y="2057400"/>
          <a:ext cx="828675" cy="447421"/>
        </a:xfrm>
        <a:prstGeom prst="roundRect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540000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Z" sz="1100">
              <a:solidFill>
                <a:srgbClr val="000000"/>
              </a:solidFill>
            </a:rPr>
            <a:t>HP User</a:t>
          </a:r>
        </a:p>
      </xdr:txBody>
    </xdr:sp>
    <xdr:clientData/>
  </xdr:twoCellAnchor>
  <xdr:twoCellAnchor>
    <xdr:from>
      <xdr:col>7</xdr:col>
      <xdr:colOff>0</xdr:colOff>
      <xdr:row>10</xdr:row>
      <xdr:rowOff>66675</xdr:rowOff>
    </xdr:from>
    <xdr:to>
      <xdr:col>8</xdr:col>
      <xdr:colOff>215900</xdr:colOff>
      <xdr:row>13</xdr:row>
      <xdr:rowOff>130175</xdr:rowOff>
    </xdr:to>
    <xdr:sp macro="" textlink="">
      <xdr:nvSpPr>
        <xdr:cNvPr id="25" name="Trapezoid 24"/>
        <xdr:cNvSpPr/>
      </xdr:nvSpPr>
      <xdr:spPr>
        <a:xfrm rot="16200000">
          <a:off x="4362450" y="1876425"/>
          <a:ext cx="635000" cy="825500"/>
        </a:xfrm>
        <a:prstGeom prst="trapezoid">
          <a:avLst>
            <a:gd name="adj" fmla="val 30000"/>
          </a:avLst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lang="en-NZ" sz="1100">
              <a:solidFill>
                <a:sysClr val="windowText" lastClr="000000"/>
              </a:solidFill>
            </a:rPr>
            <a:t>TG1</a:t>
          </a:r>
        </a:p>
      </xdr:txBody>
    </xdr:sp>
    <xdr:clientData/>
  </xdr:twoCellAnchor>
  <xdr:twoCellAnchor>
    <xdr:from>
      <xdr:col>14</xdr:col>
      <xdr:colOff>295275</xdr:colOff>
      <xdr:row>19</xdr:row>
      <xdr:rowOff>180975</xdr:rowOff>
    </xdr:from>
    <xdr:to>
      <xdr:col>15</xdr:col>
      <xdr:colOff>285750</xdr:colOff>
      <xdr:row>22</xdr:row>
      <xdr:rowOff>56896</xdr:rowOff>
    </xdr:to>
    <xdr:sp macro="" textlink="">
      <xdr:nvSpPr>
        <xdr:cNvPr id="38" name="Rounded Rectangle 37"/>
        <xdr:cNvSpPr/>
      </xdr:nvSpPr>
      <xdr:spPr>
        <a:xfrm>
          <a:off x="10896600" y="3810000"/>
          <a:ext cx="828675" cy="456946"/>
        </a:xfrm>
        <a:prstGeom prst="roundRect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540000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Z" sz="1100">
              <a:solidFill>
                <a:srgbClr val="000000"/>
              </a:solidFill>
            </a:rPr>
            <a:t>MP User</a:t>
          </a:r>
        </a:p>
      </xdr:txBody>
    </xdr:sp>
    <xdr:clientData/>
  </xdr:twoCellAnchor>
  <xdr:twoCellAnchor>
    <xdr:from>
      <xdr:col>1</xdr:col>
      <xdr:colOff>542925</xdr:colOff>
      <xdr:row>35</xdr:row>
      <xdr:rowOff>38100</xdr:rowOff>
    </xdr:from>
    <xdr:to>
      <xdr:col>2</xdr:col>
      <xdr:colOff>403225</xdr:colOff>
      <xdr:row>37</xdr:row>
      <xdr:rowOff>63500</xdr:rowOff>
    </xdr:to>
    <xdr:grpSp>
      <xdr:nvGrpSpPr>
        <xdr:cNvPr id="43" name="Group 42"/>
        <xdr:cNvGrpSpPr>
          <a:grpSpLocks noChangeAspect="1"/>
        </xdr:cNvGrpSpPr>
      </xdr:nvGrpSpPr>
      <xdr:grpSpPr>
        <a:xfrm flipH="1">
          <a:off x="787854" y="6950529"/>
          <a:ext cx="472621" cy="433614"/>
          <a:chOff x="10896600" y="2667000"/>
          <a:chExt cx="469900" cy="406400"/>
        </a:xfrm>
      </xdr:grpSpPr>
      <xdr:sp macro="" textlink="">
        <xdr:nvSpPr>
          <xdr:cNvPr id="39" name="Trapezoid 38"/>
          <xdr:cNvSpPr/>
        </xdr:nvSpPr>
        <xdr:spPr>
          <a:xfrm>
            <a:off x="10972800" y="2971800"/>
            <a:ext cx="342900" cy="101600"/>
          </a:xfrm>
          <a:prstGeom prst="trapezoid">
            <a:avLst>
              <a:gd name="adj" fmla="val 55000"/>
            </a:avLst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40" name="Oval 39"/>
          <xdr:cNvSpPr/>
        </xdr:nvSpPr>
        <xdr:spPr>
          <a:xfrm>
            <a:off x="10972800" y="2667000"/>
            <a:ext cx="342900" cy="342900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41" name="Straight Connector 40"/>
          <xdr:cNvCxnSpPr/>
        </xdr:nvCxnSpPr>
        <xdr:spPr>
          <a:xfrm>
            <a:off x="11144250" y="2667000"/>
            <a:ext cx="22225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0896600" y="2838450"/>
            <a:ext cx="24765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485774</xdr:colOff>
      <xdr:row>25</xdr:row>
      <xdr:rowOff>133350</xdr:rowOff>
    </xdr:from>
    <xdr:to>
      <xdr:col>18</xdr:col>
      <xdr:colOff>47624</xdr:colOff>
      <xdr:row>29</xdr:row>
      <xdr:rowOff>122682</xdr:rowOff>
    </xdr:to>
    <xdr:grpSp>
      <xdr:nvGrpSpPr>
        <xdr:cNvPr id="48" name="Group 47"/>
        <xdr:cNvGrpSpPr>
          <a:grpSpLocks noChangeAspect="1"/>
        </xdr:cNvGrpSpPr>
      </xdr:nvGrpSpPr>
      <xdr:grpSpPr>
        <a:xfrm>
          <a:off x="16406131" y="5072743"/>
          <a:ext cx="555172" cy="778546"/>
          <a:chOff x="7924800" y="5524500"/>
          <a:chExt cx="438531" cy="751332"/>
        </a:xfrm>
      </xdr:grpSpPr>
      <xdr:sp macro="" textlink="">
        <xdr:nvSpPr>
          <xdr:cNvPr id="44" name="Oval 43"/>
          <xdr:cNvSpPr/>
        </xdr:nvSpPr>
        <xdr:spPr>
          <a:xfrm>
            <a:off x="7924800" y="5524500"/>
            <a:ext cx="438531" cy="125857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45" name="Oval 44"/>
          <xdr:cNvSpPr/>
        </xdr:nvSpPr>
        <xdr:spPr>
          <a:xfrm>
            <a:off x="7924800" y="6149975"/>
            <a:ext cx="438531" cy="125857"/>
          </a:xfrm>
          <a:prstGeom prst="ellipse">
            <a:avLst/>
          </a:prstGeom>
          <a:gradFill flip="none" rotWithShape="1">
            <a:gsLst>
              <a:gs pos="100000">
                <a:schemeClr val="accent1"/>
              </a:gs>
              <a:gs pos="0">
                <a:srgbClr val="FFFFFF"/>
              </a:gs>
            </a:gsLst>
            <a:path path="rect">
              <a:fillToRect l="50000" t="50000" r="50000" b="50000"/>
            </a:path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46" name="Rectangle 45"/>
          <xdr:cNvSpPr/>
        </xdr:nvSpPr>
        <xdr:spPr>
          <a:xfrm>
            <a:off x="7924800" y="5587428"/>
            <a:ext cx="438531" cy="625475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47" name="Straight Connector 46"/>
          <xdr:cNvCxnSpPr/>
        </xdr:nvCxnSpPr>
        <xdr:spPr>
          <a:xfrm>
            <a:off x="7924800" y="5900166"/>
            <a:ext cx="438531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38100</xdr:colOff>
      <xdr:row>23</xdr:row>
      <xdr:rowOff>9525</xdr:rowOff>
    </xdr:from>
    <xdr:to>
      <xdr:col>19</xdr:col>
      <xdr:colOff>552450</xdr:colOff>
      <xdr:row>24</xdr:row>
      <xdr:rowOff>73025</xdr:rowOff>
    </xdr:to>
    <xdr:sp macro="" textlink="">
      <xdr:nvSpPr>
        <xdr:cNvPr id="49" name="Isosceles Triangle 48"/>
        <xdr:cNvSpPr/>
      </xdr:nvSpPr>
      <xdr:spPr>
        <a:xfrm rot="10800000">
          <a:off x="14135100" y="4410075"/>
          <a:ext cx="1123950" cy="254000"/>
        </a:xfrm>
        <a:prstGeom prst="triangle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6</xdr:col>
      <xdr:colOff>177800</xdr:colOff>
      <xdr:row>29</xdr:row>
      <xdr:rowOff>98425</xdr:rowOff>
    </xdr:from>
    <xdr:to>
      <xdr:col>6</xdr:col>
      <xdr:colOff>431800</xdr:colOff>
      <xdr:row>34</xdr:row>
      <xdr:rowOff>98425</xdr:rowOff>
    </xdr:to>
    <xdr:sp macro="" textlink="">
      <xdr:nvSpPr>
        <xdr:cNvPr id="50" name="Isosceles Triangle 49"/>
        <xdr:cNvSpPr/>
      </xdr:nvSpPr>
      <xdr:spPr>
        <a:xfrm rot="16200000">
          <a:off x="3486150" y="5991225"/>
          <a:ext cx="952500" cy="254000"/>
        </a:xfrm>
        <a:prstGeom prst="triangle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7</xdr:col>
      <xdr:colOff>955675</xdr:colOff>
      <xdr:row>5</xdr:row>
      <xdr:rowOff>0</xdr:rowOff>
    </xdr:from>
    <xdr:to>
      <xdr:col>7</xdr:col>
      <xdr:colOff>955675</xdr:colOff>
      <xdr:row>7</xdr:row>
      <xdr:rowOff>180975</xdr:rowOff>
    </xdr:to>
    <xdr:cxnSp macro="">
      <xdr:nvCxnSpPr>
        <xdr:cNvPr id="52" name="Straight Arrow Connector 51"/>
        <xdr:cNvCxnSpPr/>
      </xdr:nvCxnSpPr>
      <xdr:spPr>
        <a:xfrm>
          <a:off x="6416675" y="990600"/>
          <a:ext cx="0" cy="587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514351</xdr:colOff>
      <xdr:row>5</xdr:row>
      <xdr:rowOff>0</xdr:rowOff>
    </xdr:from>
    <xdr:to>
      <xdr:col>7</xdr:col>
      <xdr:colOff>952500</xdr:colOff>
      <xdr:row>5</xdr:row>
      <xdr:rowOff>0</xdr:rowOff>
    </xdr:to>
    <xdr:cxnSp macro="">
      <xdr:nvCxnSpPr>
        <xdr:cNvPr id="54" name="Straight Connector 53"/>
        <xdr:cNvCxnSpPr/>
      </xdr:nvCxnSpPr>
      <xdr:spPr>
        <a:xfrm flipH="1">
          <a:off x="4921251" y="990600"/>
          <a:ext cx="149224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47625</xdr:rowOff>
    </xdr:from>
    <xdr:to>
      <xdr:col>16</xdr:col>
      <xdr:colOff>9525</xdr:colOff>
      <xdr:row>10</xdr:row>
      <xdr:rowOff>123825</xdr:rowOff>
    </xdr:to>
    <xdr:cxnSp macro="">
      <xdr:nvCxnSpPr>
        <xdr:cNvPr id="56" name="Straight Arrow Connector 55"/>
        <xdr:cNvCxnSpPr/>
      </xdr:nvCxnSpPr>
      <xdr:spPr>
        <a:xfrm>
          <a:off x="12315825" y="1571625"/>
          <a:ext cx="9525" cy="466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11</xdr:col>
      <xdr:colOff>0</xdr:colOff>
      <xdr:row>11</xdr:row>
      <xdr:rowOff>38100</xdr:rowOff>
    </xdr:to>
    <xdr:cxnSp macro="">
      <xdr:nvCxnSpPr>
        <xdr:cNvPr id="59" name="Straight Arrow Connector 58"/>
        <xdr:cNvCxnSpPr/>
      </xdr:nvCxnSpPr>
      <xdr:spPr>
        <a:xfrm>
          <a:off x="9620250" y="1581150"/>
          <a:ext cx="0" cy="5524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47625</xdr:rowOff>
    </xdr:from>
    <xdr:to>
      <xdr:col>7</xdr:col>
      <xdr:colOff>0</xdr:colOff>
      <xdr:row>11</xdr:row>
      <xdr:rowOff>28575</xdr:rowOff>
    </xdr:to>
    <xdr:cxnSp macro="">
      <xdr:nvCxnSpPr>
        <xdr:cNvPr id="60" name="Straight Arrow Connector 59"/>
        <xdr:cNvCxnSpPr/>
      </xdr:nvCxnSpPr>
      <xdr:spPr>
        <a:xfrm>
          <a:off x="4267200" y="157162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57150</xdr:rowOff>
    </xdr:from>
    <xdr:to>
      <xdr:col>7</xdr:col>
      <xdr:colOff>9525</xdr:colOff>
      <xdr:row>20</xdr:row>
      <xdr:rowOff>47625</xdr:rowOff>
    </xdr:to>
    <xdr:cxnSp macro="">
      <xdr:nvCxnSpPr>
        <xdr:cNvPr id="61" name="Straight Arrow Connector 60"/>
        <xdr:cNvCxnSpPr/>
      </xdr:nvCxnSpPr>
      <xdr:spPr>
        <a:xfrm>
          <a:off x="4276725" y="330517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133350</xdr:rowOff>
    </xdr:from>
    <xdr:to>
      <xdr:col>8</xdr:col>
      <xdr:colOff>0</xdr:colOff>
      <xdr:row>16</xdr:row>
      <xdr:rowOff>123825</xdr:rowOff>
    </xdr:to>
    <xdr:cxnSp macro="">
      <xdr:nvCxnSpPr>
        <xdr:cNvPr id="62" name="Straight Arrow Connector 61"/>
        <xdr:cNvCxnSpPr/>
      </xdr:nvCxnSpPr>
      <xdr:spPr>
        <a:xfrm>
          <a:off x="5143500" y="261937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123825</xdr:rowOff>
    </xdr:from>
    <xdr:to>
      <xdr:col>12</xdr:col>
      <xdr:colOff>9525</xdr:colOff>
      <xdr:row>16</xdr:row>
      <xdr:rowOff>114300</xdr:rowOff>
    </xdr:to>
    <xdr:cxnSp macro="">
      <xdr:nvCxnSpPr>
        <xdr:cNvPr id="63" name="Straight Arrow Connector 62"/>
        <xdr:cNvCxnSpPr/>
      </xdr:nvCxnSpPr>
      <xdr:spPr>
        <a:xfrm>
          <a:off x="8724900" y="2609850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142875</xdr:rowOff>
    </xdr:from>
    <xdr:to>
      <xdr:col>8</xdr:col>
      <xdr:colOff>0</xdr:colOff>
      <xdr:row>25</xdr:row>
      <xdr:rowOff>133350</xdr:rowOff>
    </xdr:to>
    <xdr:cxnSp macro="">
      <xdr:nvCxnSpPr>
        <xdr:cNvPr id="64" name="Straight Arrow Connector 63"/>
        <xdr:cNvCxnSpPr/>
      </xdr:nvCxnSpPr>
      <xdr:spPr>
        <a:xfrm>
          <a:off x="5143500" y="435292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66675</xdr:rowOff>
    </xdr:from>
    <xdr:to>
      <xdr:col>9</xdr:col>
      <xdr:colOff>9525</xdr:colOff>
      <xdr:row>20</xdr:row>
      <xdr:rowOff>66675</xdr:rowOff>
    </xdr:to>
    <xdr:cxnSp macro="">
      <xdr:nvCxnSpPr>
        <xdr:cNvPr id="65" name="Straight Arrow Connector 64"/>
        <xdr:cNvCxnSpPr/>
      </xdr:nvCxnSpPr>
      <xdr:spPr>
        <a:xfrm>
          <a:off x="6029325" y="1590675"/>
          <a:ext cx="0" cy="2295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22</xdr:row>
      <xdr:rowOff>142875</xdr:rowOff>
    </xdr:from>
    <xdr:to>
      <xdr:col>10</xdr:col>
      <xdr:colOff>9525</xdr:colOff>
      <xdr:row>25</xdr:row>
      <xdr:rowOff>133350</xdr:rowOff>
    </xdr:to>
    <xdr:cxnSp macro="">
      <xdr:nvCxnSpPr>
        <xdr:cNvPr id="66" name="Straight Arrow Connector 65"/>
        <xdr:cNvCxnSpPr/>
      </xdr:nvCxnSpPr>
      <xdr:spPr>
        <a:xfrm>
          <a:off x="6905625" y="435292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38100</xdr:rowOff>
    </xdr:from>
    <xdr:to>
      <xdr:col>14</xdr:col>
      <xdr:colOff>9526</xdr:colOff>
      <xdr:row>12</xdr:row>
      <xdr:rowOff>19050</xdr:rowOff>
    </xdr:to>
    <xdr:cxnSp macro="">
      <xdr:nvCxnSpPr>
        <xdr:cNvPr id="77" name="Straight Connector 76"/>
        <xdr:cNvCxnSpPr/>
      </xdr:nvCxnSpPr>
      <xdr:spPr>
        <a:xfrm flipV="1">
          <a:off x="10610850" y="1562100"/>
          <a:ext cx="1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</xdr:colOff>
      <xdr:row>21</xdr:row>
      <xdr:rowOff>29937</xdr:rowOff>
    </xdr:from>
    <xdr:to>
      <xdr:col>14</xdr:col>
      <xdr:colOff>269421</xdr:colOff>
      <xdr:row>21</xdr:row>
      <xdr:rowOff>29937</xdr:rowOff>
    </xdr:to>
    <xdr:cxnSp macro="">
      <xdr:nvCxnSpPr>
        <xdr:cNvPr id="82" name="Straight Arrow Connector 81"/>
        <xdr:cNvCxnSpPr/>
      </xdr:nvCxnSpPr>
      <xdr:spPr>
        <a:xfrm>
          <a:off x="10602685" y="4041323"/>
          <a:ext cx="26397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9526</xdr:colOff>
      <xdr:row>17</xdr:row>
      <xdr:rowOff>47626</xdr:rowOff>
    </xdr:from>
    <xdr:to>
      <xdr:col>14</xdr:col>
      <xdr:colOff>9526</xdr:colOff>
      <xdr:row>21</xdr:row>
      <xdr:rowOff>29308</xdr:rowOff>
    </xdr:to>
    <xdr:cxnSp macro="">
      <xdr:nvCxnSpPr>
        <xdr:cNvPr id="83" name="Straight Connector 82"/>
        <xdr:cNvCxnSpPr/>
      </xdr:nvCxnSpPr>
      <xdr:spPr>
        <a:xfrm flipV="1">
          <a:off x="12893188" y="3286126"/>
          <a:ext cx="0" cy="7436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38100</xdr:rowOff>
    </xdr:from>
    <xdr:to>
      <xdr:col>16</xdr:col>
      <xdr:colOff>9525</xdr:colOff>
      <xdr:row>19</xdr:row>
      <xdr:rowOff>123825</xdr:rowOff>
    </xdr:to>
    <xdr:cxnSp macro="">
      <xdr:nvCxnSpPr>
        <xdr:cNvPr id="84" name="Straight Arrow Connector 83"/>
        <xdr:cNvCxnSpPr/>
      </xdr:nvCxnSpPr>
      <xdr:spPr>
        <a:xfrm>
          <a:off x="12315825" y="3286125"/>
          <a:ext cx="9525" cy="466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38100</xdr:rowOff>
    </xdr:from>
    <xdr:to>
      <xdr:col>16</xdr:col>
      <xdr:colOff>9525</xdr:colOff>
      <xdr:row>28</xdr:row>
      <xdr:rowOff>114300</xdr:rowOff>
    </xdr:to>
    <xdr:cxnSp macro="">
      <xdr:nvCxnSpPr>
        <xdr:cNvPr id="85" name="Straight Arrow Connector 84"/>
        <xdr:cNvCxnSpPr/>
      </xdr:nvCxnSpPr>
      <xdr:spPr>
        <a:xfrm flipH="1">
          <a:off x="13458825" y="5010150"/>
          <a:ext cx="9525" cy="457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295276</xdr:colOff>
      <xdr:row>12</xdr:row>
      <xdr:rowOff>0</xdr:rowOff>
    </xdr:from>
    <xdr:to>
      <xdr:col>19</xdr:col>
      <xdr:colOff>190500</xdr:colOff>
      <xdr:row>12</xdr:row>
      <xdr:rowOff>0</xdr:rowOff>
    </xdr:to>
    <xdr:cxnSp macro="">
      <xdr:nvCxnSpPr>
        <xdr:cNvPr id="86" name="Straight Connector 85"/>
        <xdr:cNvCxnSpPr/>
      </xdr:nvCxnSpPr>
      <xdr:spPr>
        <a:xfrm flipH="1">
          <a:off x="11734801" y="2295525"/>
          <a:ext cx="31622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21</xdr:row>
      <xdr:rowOff>9525</xdr:rowOff>
    </xdr:from>
    <xdr:to>
      <xdr:col>18</xdr:col>
      <xdr:colOff>257175</xdr:colOff>
      <xdr:row>21</xdr:row>
      <xdr:rowOff>9525</xdr:rowOff>
    </xdr:to>
    <xdr:cxnSp macro="">
      <xdr:nvCxnSpPr>
        <xdr:cNvPr id="88" name="Straight Connector 87"/>
        <xdr:cNvCxnSpPr/>
      </xdr:nvCxnSpPr>
      <xdr:spPr>
        <a:xfrm flipH="1">
          <a:off x="11734800" y="4019550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10885</xdr:colOff>
      <xdr:row>12</xdr:row>
      <xdr:rowOff>16329</xdr:rowOff>
    </xdr:from>
    <xdr:to>
      <xdr:col>14</xdr:col>
      <xdr:colOff>274864</xdr:colOff>
      <xdr:row>12</xdr:row>
      <xdr:rowOff>16329</xdr:rowOff>
    </xdr:to>
    <xdr:cxnSp macro="">
      <xdr:nvCxnSpPr>
        <xdr:cNvPr id="91" name="Straight Arrow Connector 90"/>
        <xdr:cNvCxnSpPr/>
      </xdr:nvCxnSpPr>
      <xdr:spPr>
        <a:xfrm>
          <a:off x="10608128" y="2313215"/>
          <a:ext cx="26397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21</xdr:row>
      <xdr:rowOff>9525</xdr:rowOff>
    </xdr:from>
    <xdr:to>
      <xdr:col>18</xdr:col>
      <xdr:colOff>257176</xdr:colOff>
      <xdr:row>22</xdr:row>
      <xdr:rowOff>171450</xdr:rowOff>
    </xdr:to>
    <xdr:cxnSp macro="">
      <xdr:nvCxnSpPr>
        <xdr:cNvPr id="92" name="Straight Arrow Connector 91"/>
        <xdr:cNvCxnSpPr/>
      </xdr:nvCxnSpPr>
      <xdr:spPr>
        <a:xfrm>
          <a:off x="14354175" y="4019550"/>
          <a:ext cx="1" cy="3619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12</xdr:row>
      <xdr:rowOff>0</xdr:rowOff>
    </xdr:from>
    <xdr:to>
      <xdr:col>19</xdr:col>
      <xdr:colOff>180976</xdr:colOff>
      <xdr:row>22</xdr:row>
      <xdr:rowOff>171450</xdr:rowOff>
    </xdr:to>
    <xdr:cxnSp macro="">
      <xdr:nvCxnSpPr>
        <xdr:cNvPr id="97" name="Straight Arrow Connector 96"/>
        <xdr:cNvCxnSpPr/>
      </xdr:nvCxnSpPr>
      <xdr:spPr>
        <a:xfrm>
          <a:off x="14887575" y="2295525"/>
          <a:ext cx="1" cy="2085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57152</xdr:colOff>
      <xdr:row>27</xdr:row>
      <xdr:rowOff>114300</xdr:rowOff>
    </xdr:from>
    <xdr:to>
      <xdr:col>19</xdr:col>
      <xdr:colOff>9525</xdr:colOff>
      <xdr:row>27</xdr:row>
      <xdr:rowOff>114300</xdr:rowOff>
    </xdr:to>
    <xdr:cxnSp macro="">
      <xdr:nvCxnSpPr>
        <xdr:cNvPr id="100" name="Straight Arrow Connector 99"/>
        <xdr:cNvCxnSpPr/>
      </xdr:nvCxnSpPr>
      <xdr:spPr>
        <a:xfrm flipH="1">
          <a:off x="14154152" y="5276850"/>
          <a:ext cx="56197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76201</xdr:rowOff>
    </xdr:from>
    <xdr:to>
      <xdr:col>19</xdr:col>
      <xdr:colOff>1</xdr:colOff>
      <xdr:row>27</xdr:row>
      <xdr:rowOff>123825</xdr:rowOff>
    </xdr:to>
    <xdr:cxnSp macro="">
      <xdr:nvCxnSpPr>
        <xdr:cNvPr id="102" name="Straight Connector 101"/>
        <xdr:cNvCxnSpPr/>
      </xdr:nvCxnSpPr>
      <xdr:spPr>
        <a:xfrm flipV="1">
          <a:off x="14706600" y="4667251"/>
          <a:ext cx="1" cy="6191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23</xdr:row>
      <xdr:rowOff>104236</xdr:rowOff>
    </xdr:from>
    <xdr:to>
      <xdr:col>15</xdr:col>
      <xdr:colOff>125802</xdr:colOff>
      <xdr:row>25</xdr:row>
      <xdr:rowOff>123825</xdr:rowOff>
    </xdr:to>
    <xdr:cxnSp macro="">
      <xdr:nvCxnSpPr>
        <xdr:cNvPr id="105" name="Straight Arrow Connector 104"/>
        <xdr:cNvCxnSpPr/>
      </xdr:nvCxnSpPr>
      <xdr:spPr>
        <a:xfrm flipH="1">
          <a:off x="11611334" y="4507302"/>
          <a:ext cx="1977" cy="40058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123827</xdr:colOff>
      <xdr:row>23</xdr:row>
      <xdr:rowOff>104236</xdr:rowOff>
    </xdr:from>
    <xdr:to>
      <xdr:col>17</xdr:col>
      <xdr:colOff>733246</xdr:colOff>
      <xdr:row>23</xdr:row>
      <xdr:rowOff>104775</xdr:rowOff>
    </xdr:to>
    <xdr:cxnSp macro="">
      <xdr:nvCxnSpPr>
        <xdr:cNvPr id="107" name="Straight Connector 106"/>
        <xdr:cNvCxnSpPr/>
      </xdr:nvCxnSpPr>
      <xdr:spPr>
        <a:xfrm flipH="1">
          <a:off x="11611336" y="4507302"/>
          <a:ext cx="2323919" cy="5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733425</xdr:colOff>
      <xdr:row>23</xdr:row>
      <xdr:rowOff>104775</xdr:rowOff>
    </xdr:from>
    <xdr:to>
      <xdr:col>17</xdr:col>
      <xdr:colOff>738187</xdr:colOff>
      <xdr:row>25</xdr:row>
      <xdr:rowOff>133350</xdr:rowOff>
    </xdr:to>
    <xdr:cxnSp macro="">
      <xdr:nvCxnSpPr>
        <xdr:cNvPr id="109" name="Straight Connector 108"/>
        <xdr:cNvCxnSpPr>
          <a:stCxn id="44" idx="0"/>
        </xdr:cNvCxnSpPr>
      </xdr:nvCxnSpPr>
      <xdr:spPr>
        <a:xfrm flipH="1" flipV="1">
          <a:off x="13925550" y="4505325"/>
          <a:ext cx="4762" cy="409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450851</xdr:colOff>
      <xdr:row>30</xdr:row>
      <xdr:rowOff>161925</xdr:rowOff>
    </xdr:from>
    <xdr:to>
      <xdr:col>17</xdr:col>
      <xdr:colOff>774700</xdr:colOff>
      <xdr:row>30</xdr:row>
      <xdr:rowOff>161925</xdr:rowOff>
    </xdr:to>
    <xdr:cxnSp macro="">
      <xdr:nvCxnSpPr>
        <xdr:cNvPr id="114" name="Straight Arrow Connector 113"/>
        <xdr:cNvCxnSpPr/>
      </xdr:nvCxnSpPr>
      <xdr:spPr>
        <a:xfrm flipH="1">
          <a:off x="4984751" y="5953125"/>
          <a:ext cx="1195704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771525</xdr:colOff>
      <xdr:row>29</xdr:row>
      <xdr:rowOff>114300</xdr:rowOff>
    </xdr:from>
    <xdr:to>
      <xdr:col>17</xdr:col>
      <xdr:colOff>771525</xdr:colOff>
      <xdr:row>30</xdr:row>
      <xdr:rowOff>161925</xdr:rowOff>
    </xdr:to>
    <xdr:cxnSp macro="">
      <xdr:nvCxnSpPr>
        <xdr:cNvPr id="116" name="Straight Connector 115"/>
        <xdr:cNvCxnSpPr/>
      </xdr:nvCxnSpPr>
      <xdr:spPr>
        <a:xfrm flipV="1">
          <a:off x="16621125" y="5781675"/>
          <a:ext cx="0" cy="238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438152</xdr:colOff>
      <xdr:row>33</xdr:row>
      <xdr:rowOff>9525</xdr:rowOff>
    </xdr:from>
    <xdr:to>
      <xdr:col>7</xdr:col>
      <xdr:colOff>704850</xdr:colOff>
      <xdr:row>33</xdr:row>
      <xdr:rowOff>9526</xdr:rowOff>
    </xdr:to>
    <xdr:cxnSp macro="">
      <xdr:nvCxnSpPr>
        <xdr:cNvPr id="118" name="Straight Arrow Connector 117"/>
        <xdr:cNvCxnSpPr/>
      </xdr:nvCxnSpPr>
      <xdr:spPr>
        <a:xfrm flipH="1">
          <a:off x="4095752" y="6324600"/>
          <a:ext cx="876298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33</xdr:row>
      <xdr:rowOff>25400</xdr:rowOff>
    </xdr:from>
    <xdr:to>
      <xdr:col>7</xdr:col>
      <xdr:colOff>714375</xdr:colOff>
      <xdr:row>36</xdr:row>
      <xdr:rowOff>171451</xdr:rowOff>
    </xdr:to>
    <xdr:cxnSp macro="">
      <xdr:nvCxnSpPr>
        <xdr:cNvPr id="119" name="Straight Connector 118"/>
        <xdr:cNvCxnSpPr/>
      </xdr:nvCxnSpPr>
      <xdr:spPr>
        <a:xfrm flipV="1">
          <a:off x="6530975" y="6388100"/>
          <a:ext cx="0" cy="7556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32</xdr:row>
      <xdr:rowOff>0</xdr:rowOff>
    </xdr:from>
    <xdr:to>
      <xdr:col>6</xdr:col>
      <xdr:colOff>161923</xdr:colOff>
      <xdr:row>32</xdr:row>
      <xdr:rowOff>1</xdr:rowOff>
    </xdr:to>
    <xdr:cxnSp macro="">
      <xdr:nvCxnSpPr>
        <xdr:cNvPr id="122" name="Straight Arrow Connector 121"/>
        <xdr:cNvCxnSpPr/>
      </xdr:nvCxnSpPr>
      <xdr:spPr>
        <a:xfrm flipH="1">
          <a:off x="2943225" y="6124575"/>
          <a:ext cx="876298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30</xdr:row>
      <xdr:rowOff>9525</xdr:rowOff>
    </xdr:from>
    <xdr:to>
      <xdr:col>5</xdr:col>
      <xdr:colOff>9525</xdr:colOff>
      <xdr:row>30</xdr:row>
      <xdr:rowOff>9526</xdr:rowOff>
    </xdr:to>
    <xdr:cxnSp macro="">
      <xdr:nvCxnSpPr>
        <xdr:cNvPr id="123" name="Straight Arrow Connector 122"/>
        <xdr:cNvCxnSpPr/>
      </xdr:nvCxnSpPr>
      <xdr:spPr>
        <a:xfrm flipH="1">
          <a:off x="2524126" y="5753100"/>
          <a:ext cx="53339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</xdr:row>
      <xdr:rowOff>28575</xdr:rowOff>
    </xdr:from>
    <xdr:to>
      <xdr:col>5</xdr:col>
      <xdr:colOff>9526</xdr:colOff>
      <xdr:row>30</xdr:row>
      <xdr:rowOff>9525</xdr:rowOff>
    </xdr:to>
    <xdr:cxnSp macro="">
      <xdr:nvCxnSpPr>
        <xdr:cNvPr id="125" name="Straight Connector 124"/>
        <xdr:cNvCxnSpPr/>
      </xdr:nvCxnSpPr>
      <xdr:spPr>
        <a:xfrm flipV="1">
          <a:off x="3057525" y="5000625"/>
          <a:ext cx="1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691964</xdr:colOff>
      <xdr:row>27</xdr:row>
      <xdr:rowOff>131670</xdr:rowOff>
    </xdr:from>
    <xdr:to>
      <xdr:col>3</xdr:col>
      <xdr:colOff>691964</xdr:colOff>
      <xdr:row>29</xdr:row>
      <xdr:rowOff>64995</xdr:rowOff>
    </xdr:to>
    <xdr:cxnSp macro="">
      <xdr:nvCxnSpPr>
        <xdr:cNvPr id="126" name="Straight Arrow Connector 125"/>
        <xdr:cNvCxnSpPr/>
      </xdr:nvCxnSpPr>
      <xdr:spPr>
        <a:xfrm flipV="1">
          <a:off x="2910729" y="5297582"/>
          <a:ext cx="0" cy="32553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36</xdr:row>
      <xdr:rowOff>19051</xdr:rowOff>
    </xdr:from>
    <xdr:to>
      <xdr:col>3</xdr:col>
      <xdr:colOff>152400</xdr:colOff>
      <xdr:row>36</xdr:row>
      <xdr:rowOff>19051</xdr:rowOff>
    </xdr:to>
    <xdr:cxnSp macro="">
      <xdr:nvCxnSpPr>
        <xdr:cNvPr id="128" name="Straight Arrow Connector 127"/>
        <xdr:cNvCxnSpPr/>
      </xdr:nvCxnSpPr>
      <xdr:spPr>
        <a:xfrm flipH="1">
          <a:off x="1600201" y="6905626"/>
          <a:ext cx="38099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142876</xdr:colOff>
      <xdr:row>33</xdr:row>
      <xdr:rowOff>114301</xdr:rowOff>
    </xdr:from>
    <xdr:to>
      <xdr:col>3</xdr:col>
      <xdr:colOff>142876</xdr:colOff>
      <xdr:row>36</xdr:row>
      <xdr:rowOff>19050</xdr:rowOff>
    </xdr:to>
    <xdr:cxnSp macro="">
      <xdr:nvCxnSpPr>
        <xdr:cNvPr id="130" name="Straight Connector 129"/>
        <xdr:cNvCxnSpPr/>
      </xdr:nvCxnSpPr>
      <xdr:spPr>
        <a:xfrm flipV="1">
          <a:off x="1971676" y="6429376"/>
          <a:ext cx="0" cy="4762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415529</xdr:colOff>
      <xdr:row>25</xdr:row>
      <xdr:rowOff>91678</xdr:rowOff>
    </xdr:from>
    <xdr:to>
      <xdr:col>1</xdr:col>
      <xdr:colOff>415529</xdr:colOff>
      <xdr:row>35</xdr:row>
      <xdr:rowOff>44053</xdr:rowOff>
    </xdr:to>
    <xdr:cxnSp macro="">
      <xdr:nvCxnSpPr>
        <xdr:cNvPr id="133" name="Straight Arrow Connector 132"/>
        <xdr:cNvCxnSpPr/>
      </xdr:nvCxnSpPr>
      <xdr:spPr>
        <a:xfrm flipV="1">
          <a:off x="653654" y="4854178"/>
          <a:ext cx="0" cy="1857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416719</xdr:colOff>
      <xdr:row>35</xdr:row>
      <xdr:rowOff>38100</xdr:rowOff>
    </xdr:from>
    <xdr:to>
      <xdr:col>1</xdr:col>
      <xdr:colOff>552450</xdr:colOff>
      <xdr:row>35</xdr:row>
      <xdr:rowOff>38100</xdr:rowOff>
    </xdr:to>
    <xdr:cxnSp macro="">
      <xdr:nvCxnSpPr>
        <xdr:cNvPr id="135" name="Straight Connector 134"/>
        <xdr:cNvCxnSpPr/>
      </xdr:nvCxnSpPr>
      <xdr:spPr>
        <a:xfrm flipH="1">
          <a:off x="654844" y="6705600"/>
          <a:ext cx="13573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190500</xdr:rowOff>
    </xdr:from>
    <xdr:to>
      <xdr:col>5</xdr:col>
      <xdr:colOff>9525</xdr:colOff>
      <xdr:row>25</xdr:row>
      <xdr:rowOff>114300</xdr:rowOff>
    </xdr:to>
    <xdr:cxnSp macro="">
      <xdr:nvCxnSpPr>
        <xdr:cNvPr id="140" name="Straight Arrow Connector 139"/>
        <xdr:cNvCxnSpPr/>
      </xdr:nvCxnSpPr>
      <xdr:spPr>
        <a:xfrm>
          <a:off x="3457575" y="4200525"/>
          <a:ext cx="0" cy="695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9525</xdr:colOff>
      <xdr:row>16</xdr:row>
      <xdr:rowOff>133350</xdr:rowOff>
    </xdr:to>
    <xdr:cxnSp macro="">
      <xdr:nvCxnSpPr>
        <xdr:cNvPr id="142" name="Straight Arrow Connector 141"/>
        <xdr:cNvCxnSpPr/>
      </xdr:nvCxnSpPr>
      <xdr:spPr>
        <a:xfrm>
          <a:off x="3457575" y="2495550"/>
          <a:ext cx="0" cy="695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47625</xdr:rowOff>
    </xdr:from>
    <xdr:to>
      <xdr:col>5</xdr:col>
      <xdr:colOff>9525</xdr:colOff>
      <xdr:row>20</xdr:row>
      <xdr:rowOff>38100</xdr:rowOff>
    </xdr:to>
    <xdr:cxnSp macro="">
      <xdr:nvCxnSpPr>
        <xdr:cNvPr id="143" name="Straight Arrow Connector 142"/>
        <xdr:cNvCxnSpPr/>
      </xdr:nvCxnSpPr>
      <xdr:spPr>
        <a:xfrm>
          <a:off x="3457575" y="3295650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38100</xdr:rowOff>
    </xdr:from>
    <xdr:to>
      <xdr:col>5</xdr:col>
      <xdr:colOff>9525</xdr:colOff>
      <xdr:row>11</xdr:row>
      <xdr:rowOff>19050</xdr:rowOff>
    </xdr:to>
    <xdr:cxnSp macro="">
      <xdr:nvCxnSpPr>
        <xdr:cNvPr id="144" name="Straight Arrow Connector 143"/>
        <xdr:cNvCxnSpPr/>
      </xdr:nvCxnSpPr>
      <xdr:spPr>
        <a:xfrm>
          <a:off x="3457575" y="1562100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21</xdr:row>
      <xdr:rowOff>11205</xdr:rowOff>
    </xdr:from>
    <xdr:to>
      <xdr:col>4</xdr:col>
      <xdr:colOff>376039</xdr:colOff>
      <xdr:row>21</xdr:row>
      <xdr:rowOff>11205</xdr:rowOff>
    </xdr:to>
    <xdr:cxnSp macro="">
      <xdr:nvCxnSpPr>
        <xdr:cNvPr id="146" name="Straight Arrow Connector 145"/>
        <xdr:cNvCxnSpPr/>
      </xdr:nvCxnSpPr>
      <xdr:spPr>
        <a:xfrm>
          <a:off x="1288676" y="4022911"/>
          <a:ext cx="191124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67236</xdr:colOff>
      <xdr:row>21</xdr:row>
      <xdr:rowOff>22412</xdr:rowOff>
    </xdr:from>
    <xdr:to>
      <xdr:col>2</xdr:col>
      <xdr:colOff>67236</xdr:colOff>
      <xdr:row>24</xdr:row>
      <xdr:rowOff>25773</xdr:rowOff>
    </xdr:to>
    <xdr:cxnSp macro="">
      <xdr:nvCxnSpPr>
        <xdr:cNvPr id="148" name="Straight Connector 147"/>
        <xdr:cNvCxnSpPr/>
      </xdr:nvCxnSpPr>
      <xdr:spPr>
        <a:xfrm flipV="1">
          <a:off x="1277471" y="4034118"/>
          <a:ext cx="0" cy="5860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369794</xdr:colOff>
      <xdr:row>12</xdr:row>
      <xdr:rowOff>0</xdr:rowOff>
    </xdr:from>
    <xdr:to>
      <xdr:col>4</xdr:col>
      <xdr:colOff>387245</xdr:colOff>
      <xdr:row>12</xdr:row>
      <xdr:rowOff>0</xdr:rowOff>
    </xdr:to>
    <xdr:cxnSp macro="">
      <xdr:nvCxnSpPr>
        <xdr:cNvPr id="150" name="Straight Arrow Connector 149"/>
        <xdr:cNvCxnSpPr/>
      </xdr:nvCxnSpPr>
      <xdr:spPr>
        <a:xfrm>
          <a:off x="974912" y="2297206"/>
          <a:ext cx="252756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369794</xdr:colOff>
      <xdr:row>12</xdr:row>
      <xdr:rowOff>0</xdr:rowOff>
    </xdr:from>
    <xdr:to>
      <xdr:col>1</xdr:col>
      <xdr:colOff>369794</xdr:colOff>
      <xdr:row>24</xdr:row>
      <xdr:rowOff>25774</xdr:rowOff>
    </xdr:to>
    <xdr:cxnSp macro="">
      <xdr:nvCxnSpPr>
        <xdr:cNvPr id="151" name="Straight Connector 150"/>
        <xdr:cNvCxnSpPr/>
      </xdr:nvCxnSpPr>
      <xdr:spPr>
        <a:xfrm flipV="1">
          <a:off x="974912" y="2297206"/>
          <a:ext cx="0" cy="23229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5</xdr:row>
      <xdr:rowOff>11206</xdr:rowOff>
    </xdr:from>
    <xdr:to>
      <xdr:col>1</xdr:col>
      <xdr:colOff>100853</xdr:colOff>
      <xdr:row>24</xdr:row>
      <xdr:rowOff>36980</xdr:rowOff>
    </xdr:to>
    <xdr:cxnSp macro="">
      <xdr:nvCxnSpPr>
        <xdr:cNvPr id="154" name="Straight Connector 153"/>
        <xdr:cNvCxnSpPr/>
      </xdr:nvCxnSpPr>
      <xdr:spPr>
        <a:xfrm flipV="1">
          <a:off x="705971" y="963706"/>
          <a:ext cx="0" cy="36676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5</xdr:row>
      <xdr:rowOff>0</xdr:rowOff>
    </xdr:from>
    <xdr:to>
      <xdr:col>3</xdr:col>
      <xdr:colOff>444500</xdr:colOff>
      <xdr:row>5</xdr:row>
      <xdr:rowOff>0</xdr:rowOff>
    </xdr:to>
    <xdr:cxnSp macro="">
      <xdr:nvCxnSpPr>
        <xdr:cNvPr id="156" name="Straight Arrow Connector 155"/>
        <xdr:cNvCxnSpPr/>
      </xdr:nvCxnSpPr>
      <xdr:spPr>
        <a:xfrm>
          <a:off x="330947" y="990600"/>
          <a:ext cx="198045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534989</xdr:colOff>
      <xdr:row>46</xdr:row>
      <xdr:rowOff>23813</xdr:rowOff>
    </xdr:from>
    <xdr:to>
      <xdr:col>3</xdr:col>
      <xdr:colOff>788989</xdr:colOff>
      <xdr:row>50</xdr:row>
      <xdr:rowOff>103188</xdr:rowOff>
    </xdr:to>
    <xdr:sp macro="" textlink="">
      <xdr:nvSpPr>
        <xdr:cNvPr id="101" name="Isosceles Triangle 100"/>
        <xdr:cNvSpPr/>
      </xdr:nvSpPr>
      <xdr:spPr>
        <a:xfrm rot="16200000">
          <a:off x="2108201" y="9283701"/>
          <a:ext cx="841375" cy="254000"/>
        </a:xfrm>
        <a:prstGeom prst="triangle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6</xdr:col>
      <xdr:colOff>228600</xdr:colOff>
      <xdr:row>46</xdr:row>
      <xdr:rowOff>12702</xdr:rowOff>
    </xdr:from>
    <xdr:to>
      <xdr:col>6</xdr:col>
      <xdr:colOff>482600</xdr:colOff>
      <xdr:row>50</xdr:row>
      <xdr:rowOff>92077</xdr:rowOff>
    </xdr:to>
    <xdr:sp macro="" textlink="">
      <xdr:nvSpPr>
        <xdr:cNvPr id="152" name="Isosceles Triangle 151"/>
        <xdr:cNvSpPr/>
      </xdr:nvSpPr>
      <xdr:spPr>
        <a:xfrm rot="5400000">
          <a:off x="4341812" y="9386890"/>
          <a:ext cx="841375" cy="254000"/>
        </a:xfrm>
        <a:prstGeom prst="triangle">
          <a:avLst/>
        </a:prstGeom>
        <a:gradFill flip="none" rotWithShape="1">
          <a:gsLst>
            <a:gs pos="0">
              <a:schemeClr val="accent1"/>
            </a:gs>
            <a:gs pos="50000">
              <a:srgbClr val="FFFFFF"/>
            </a:gs>
            <a:gs pos="100000">
              <a:schemeClr val="accent1"/>
            </a:gs>
          </a:gsLst>
          <a:lin ang="0" scaled="1"/>
          <a:tileRect/>
        </a:gradFill>
        <a:ln w="127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838200</xdr:colOff>
      <xdr:row>48</xdr:row>
      <xdr:rowOff>63501</xdr:rowOff>
    </xdr:from>
    <xdr:to>
      <xdr:col>3</xdr:col>
      <xdr:colOff>534989</xdr:colOff>
      <xdr:row>48</xdr:row>
      <xdr:rowOff>63501</xdr:rowOff>
    </xdr:to>
    <xdr:cxnSp macro="">
      <xdr:nvCxnSpPr>
        <xdr:cNvPr id="153" name="Straight Arrow Connector 152"/>
        <xdr:cNvCxnSpPr>
          <a:endCxn id="101" idx="0"/>
        </xdr:cNvCxnSpPr>
      </xdr:nvCxnSpPr>
      <xdr:spPr>
        <a:xfrm>
          <a:off x="1689100" y="9410701"/>
          <a:ext cx="7127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788989</xdr:colOff>
      <xdr:row>48</xdr:row>
      <xdr:rowOff>63500</xdr:rowOff>
    </xdr:from>
    <xdr:to>
      <xdr:col>4</xdr:col>
      <xdr:colOff>571500</xdr:colOff>
      <xdr:row>48</xdr:row>
      <xdr:rowOff>63501</xdr:rowOff>
    </xdr:to>
    <xdr:cxnSp macro="">
      <xdr:nvCxnSpPr>
        <xdr:cNvPr id="158" name="Straight Arrow Connector 157"/>
        <xdr:cNvCxnSpPr>
          <a:stCxn id="101" idx="3"/>
        </xdr:cNvCxnSpPr>
      </xdr:nvCxnSpPr>
      <xdr:spPr>
        <a:xfrm flipV="1">
          <a:off x="2655889" y="9410700"/>
          <a:ext cx="6969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48</xdr:row>
      <xdr:rowOff>38100</xdr:rowOff>
    </xdr:from>
    <xdr:to>
      <xdr:col>6</xdr:col>
      <xdr:colOff>227011</xdr:colOff>
      <xdr:row>48</xdr:row>
      <xdr:rowOff>38101</xdr:rowOff>
    </xdr:to>
    <xdr:cxnSp macro="">
      <xdr:nvCxnSpPr>
        <xdr:cNvPr id="166" name="Straight Arrow Connector 165"/>
        <xdr:cNvCxnSpPr/>
      </xdr:nvCxnSpPr>
      <xdr:spPr>
        <a:xfrm flipV="1">
          <a:off x="3937000" y="9499600"/>
          <a:ext cx="6969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48</xdr:row>
      <xdr:rowOff>50800</xdr:rowOff>
    </xdr:from>
    <xdr:to>
      <xdr:col>7</xdr:col>
      <xdr:colOff>138111</xdr:colOff>
      <xdr:row>48</xdr:row>
      <xdr:rowOff>50801</xdr:rowOff>
    </xdr:to>
    <xdr:cxnSp macro="">
      <xdr:nvCxnSpPr>
        <xdr:cNvPr id="167" name="Straight Arrow Connector 166"/>
        <xdr:cNvCxnSpPr/>
      </xdr:nvCxnSpPr>
      <xdr:spPr>
        <a:xfrm flipV="1">
          <a:off x="4902200" y="9512300"/>
          <a:ext cx="6969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46</xdr:row>
      <xdr:rowOff>177800</xdr:rowOff>
    </xdr:from>
    <xdr:to>
      <xdr:col>6</xdr:col>
      <xdr:colOff>214311</xdr:colOff>
      <xdr:row>46</xdr:row>
      <xdr:rowOff>177801</xdr:rowOff>
    </xdr:to>
    <xdr:cxnSp macro="">
      <xdr:nvCxnSpPr>
        <xdr:cNvPr id="168" name="Straight Arrow Connector 167"/>
        <xdr:cNvCxnSpPr/>
      </xdr:nvCxnSpPr>
      <xdr:spPr>
        <a:xfrm>
          <a:off x="4229100" y="9258300"/>
          <a:ext cx="3921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49</xdr:row>
      <xdr:rowOff>101600</xdr:rowOff>
    </xdr:from>
    <xdr:to>
      <xdr:col>6</xdr:col>
      <xdr:colOff>214311</xdr:colOff>
      <xdr:row>49</xdr:row>
      <xdr:rowOff>101601</xdr:rowOff>
    </xdr:to>
    <xdr:cxnSp macro="">
      <xdr:nvCxnSpPr>
        <xdr:cNvPr id="170" name="Straight Arrow Connector 169"/>
        <xdr:cNvCxnSpPr/>
      </xdr:nvCxnSpPr>
      <xdr:spPr>
        <a:xfrm>
          <a:off x="4229100" y="9753600"/>
          <a:ext cx="3921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44</xdr:row>
      <xdr:rowOff>50800</xdr:rowOff>
    </xdr:from>
    <xdr:to>
      <xdr:col>4</xdr:col>
      <xdr:colOff>595311</xdr:colOff>
      <xdr:row>44</xdr:row>
      <xdr:rowOff>50801</xdr:rowOff>
    </xdr:to>
    <xdr:cxnSp macro="">
      <xdr:nvCxnSpPr>
        <xdr:cNvPr id="171" name="Straight Arrow Connector 170"/>
        <xdr:cNvCxnSpPr/>
      </xdr:nvCxnSpPr>
      <xdr:spPr>
        <a:xfrm>
          <a:off x="2984500" y="8636000"/>
          <a:ext cx="3921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52</xdr:row>
      <xdr:rowOff>114300</xdr:rowOff>
    </xdr:from>
    <xdr:to>
      <xdr:col>4</xdr:col>
      <xdr:colOff>569911</xdr:colOff>
      <xdr:row>52</xdr:row>
      <xdr:rowOff>114301</xdr:rowOff>
    </xdr:to>
    <xdr:cxnSp macro="">
      <xdr:nvCxnSpPr>
        <xdr:cNvPr id="172" name="Straight Arrow Connector 171"/>
        <xdr:cNvCxnSpPr/>
      </xdr:nvCxnSpPr>
      <xdr:spPr>
        <a:xfrm>
          <a:off x="2959100" y="10223500"/>
          <a:ext cx="392111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44</xdr:row>
      <xdr:rowOff>63500</xdr:rowOff>
    </xdr:from>
    <xdr:to>
      <xdr:col>5</xdr:col>
      <xdr:colOff>838200</xdr:colOff>
      <xdr:row>46</xdr:row>
      <xdr:rowOff>158752</xdr:rowOff>
    </xdr:to>
    <xdr:cxnSp macro="">
      <xdr:nvCxnSpPr>
        <xdr:cNvPr id="173" name="Straight Connector 172"/>
        <xdr:cNvCxnSpPr/>
      </xdr:nvCxnSpPr>
      <xdr:spPr>
        <a:xfrm flipV="1">
          <a:off x="4229100" y="8763000"/>
          <a:ext cx="0" cy="4762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49</xdr:row>
      <xdr:rowOff>114300</xdr:rowOff>
    </xdr:from>
    <xdr:to>
      <xdr:col>5</xdr:col>
      <xdr:colOff>838200</xdr:colOff>
      <xdr:row>52</xdr:row>
      <xdr:rowOff>88900</xdr:rowOff>
    </xdr:to>
    <xdr:cxnSp macro="">
      <xdr:nvCxnSpPr>
        <xdr:cNvPr id="175" name="Straight Connector 174"/>
        <xdr:cNvCxnSpPr/>
      </xdr:nvCxnSpPr>
      <xdr:spPr>
        <a:xfrm flipV="1">
          <a:off x="4229100" y="9766300"/>
          <a:ext cx="0" cy="546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558801</xdr:colOff>
      <xdr:row>44</xdr:row>
      <xdr:rowOff>63500</xdr:rowOff>
    </xdr:from>
    <xdr:to>
      <xdr:col>5</xdr:col>
      <xdr:colOff>850900</xdr:colOff>
      <xdr:row>44</xdr:row>
      <xdr:rowOff>63500</xdr:rowOff>
    </xdr:to>
    <xdr:cxnSp macro="">
      <xdr:nvCxnSpPr>
        <xdr:cNvPr id="177" name="Straight Connector 176"/>
        <xdr:cNvCxnSpPr/>
      </xdr:nvCxnSpPr>
      <xdr:spPr>
        <a:xfrm flipH="1">
          <a:off x="3949701" y="8763000"/>
          <a:ext cx="2920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52</xdr:row>
      <xdr:rowOff>76200</xdr:rowOff>
    </xdr:from>
    <xdr:to>
      <xdr:col>5</xdr:col>
      <xdr:colOff>825499</xdr:colOff>
      <xdr:row>52</xdr:row>
      <xdr:rowOff>76200</xdr:rowOff>
    </xdr:to>
    <xdr:cxnSp macro="">
      <xdr:nvCxnSpPr>
        <xdr:cNvPr id="179" name="Straight Connector 178"/>
        <xdr:cNvCxnSpPr/>
      </xdr:nvCxnSpPr>
      <xdr:spPr>
        <a:xfrm flipH="1">
          <a:off x="3924300" y="10299700"/>
          <a:ext cx="2920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46</xdr:row>
      <xdr:rowOff>152400</xdr:rowOff>
    </xdr:from>
    <xdr:to>
      <xdr:col>4</xdr:col>
      <xdr:colOff>177799</xdr:colOff>
      <xdr:row>46</xdr:row>
      <xdr:rowOff>152400</xdr:rowOff>
    </xdr:to>
    <xdr:cxnSp macro="">
      <xdr:nvCxnSpPr>
        <xdr:cNvPr id="180" name="Straight Connector 179"/>
        <xdr:cNvCxnSpPr/>
      </xdr:nvCxnSpPr>
      <xdr:spPr>
        <a:xfrm flipH="1">
          <a:off x="2667000" y="9118600"/>
          <a:ext cx="2920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50</xdr:row>
      <xdr:rowOff>0</xdr:rowOff>
    </xdr:from>
    <xdr:to>
      <xdr:col>4</xdr:col>
      <xdr:colOff>190499</xdr:colOff>
      <xdr:row>50</xdr:row>
      <xdr:rowOff>0</xdr:rowOff>
    </xdr:to>
    <xdr:cxnSp macro="">
      <xdr:nvCxnSpPr>
        <xdr:cNvPr id="181" name="Straight Connector 180"/>
        <xdr:cNvCxnSpPr/>
      </xdr:nvCxnSpPr>
      <xdr:spPr>
        <a:xfrm flipH="1">
          <a:off x="2679700" y="9728200"/>
          <a:ext cx="2920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44</xdr:row>
      <xdr:rowOff>38100</xdr:rowOff>
    </xdr:from>
    <xdr:to>
      <xdr:col>4</xdr:col>
      <xdr:colOff>190500</xdr:colOff>
      <xdr:row>46</xdr:row>
      <xdr:rowOff>133352</xdr:rowOff>
    </xdr:to>
    <xdr:cxnSp macro="">
      <xdr:nvCxnSpPr>
        <xdr:cNvPr id="182" name="Straight Connector 181"/>
        <xdr:cNvCxnSpPr/>
      </xdr:nvCxnSpPr>
      <xdr:spPr>
        <a:xfrm flipV="1">
          <a:off x="2971800" y="8623300"/>
          <a:ext cx="0" cy="4762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50</xdr:row>
      <xdr:rowOff>0</xdr:rowOff>
    </xdr:from>
    <xdr:to>
      <xdr:col>4</xdr:col>
      <xdr:colOff>177800</xdr:colOff>
      <xdr:row>52</xdr:row>
      <xdr:rowOff>95252</xdr:rowOff>
    </xdr:to>
    <xdr:cxnSp macro="">
      <xdr:nvCxnSpPr>
        <xdr:cNvPr id="183" name="Straight Connector 182"/>
        <xdr:cNvCxnSpPr/>
      </xdr:nvCxnSpPr>
      <xdr:spPr>
        <a:xfrm flipV="1">
          <a:off x="2959100" y="9728200"/>
          <a:ext cx="0" cy="4762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0</xdr:row>
      <xdr:rowOff>111464</xdr:rowOff>
    </xdr:from>
    <xdr:to>
      <xdr:col>6</xdr:col>
      <xdr:colOff>507999</xdr:colOff>
      <xdr:row>5</xdr:row>
      <xdr:rowOff>179140</xdr:rowOff>
    </xdr:to>
    <xdr:grpSp>
      <xdr:nvGrpSpPr>
        <xdr:cNvPr id="81" name="Group 80"/>
        <xdr:cNvGrpSpPr>
          <a:grpSpLocks noChangeAspect="1"/>
        </xdr:cNvGrpSpPr>
      </xdr:nvGrpSpPr>
      <xdr:grpSpPr>
        <a:xfrm>
          <a:off x="3962400" y="111464"/>
          <a:ext cx="995135" cy="1060997"/>
          <a:chOff x="7607300" y="8813800"/>
          <a:chExt cx="833882" cy="897636"/>
        </a:xfrm>
      </xdr:grpSpPr>
      <xdr:sp macro="" textlink="">
        <xdr:nvSpPr>
          <xdr:cNvPr id="67" name="Flowchart: Manual Input 66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68" name="Rectangle 67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69" name="Rectangle 68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70" name="Straight Connector 69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283825</xdr:colOff>
      <xdr:row>1</xdr:row>
      <xdr:rowOff>114300</xdr:rowOff>
    </xdr:from>
    <xdr:to>
      <xdr:col>5</xdr:col>
      <xdr:colOff>482598</xdr:colOff>
      <xdr:row>5</xdr:row>
      <xdr:rowOff>177800</xdr:rowOff>
    </xdr:to>
    <xdr:grpSp>
      <xdr:nvGrpSpPr>
        <xdr:cNvPr id="161" name="Group 160"/>
        <xdr:cNvGrpSpPr>
          <a:grpSpLocks noChangeAspect="1"/>
        </xdr:cNvGrpSpPr>
      </xdr:nvGrpSpPr>
      <xdr:grpSpPr>
        <a:xfrm>
          <a:off x="3100504" y="304800"/>
          <a:ext cx="811094" cy="866321"/>
          <a:chOff x="7607300" y="8813800"/>
          <a:chExt cx="833882" cy="897636"/>
        </a:xfrm>
      </xdr:grpSpPr>
      <xdr:sp macro="" textlink="">
        <xdr:nvSpPr>
          <xdr:cNvPr id="162" name="Flowchart: Manual Input 161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63" name="Rectangle 162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64" name="Rectangle 163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165" name="Straight Connector 164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Straight Connector 173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Connector 175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Connector 185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Straight Connector 187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512943</xdr:colOff>
      <xdr:row>2</xdr:row>
      <xdr:rowOff>101600</xdr:rowOff>
    </xdr:from>
    <xdr:to>
      <xdr:col>4</xdr:col>
      <xdr:colOff>228598</xdr:colOff>
      <xdr:row>5</xdr:row>
      <xdr:rowOff>177800</xdr:rowOff>
    </xdr:to>
    <xdr:grpSp>
      <xdr:nvGrpSpPr>
        <xdr:cNvPr id="189" name="Group 188"/>
        <xdr:cNvGrpSpPr>
          <a:grpSpLocks noChangeAspect="1"/>
        </xdr:cNvGrpSpPr>
      </xdr:nvGrpSpPr>
      <xdr:grpSpPr>
        <a:xfrm>
          <a:off x="2417943" y="496207"/>
          <a:ext cx="627334" cy="674914"/>
          <a:chOff x="7607300" y="8813800"/>
          <a:chExt cx="833882" cy="897636"/>
        </a:xfrm>
      </xdr:grpSpPr>
      <xdr:sp macro="" textlink="">
        <xdr:nvSpPr>
          <xdr:cNvPr id="190" name="Flowchart: Manual Input 189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91" name="Rectangle 190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192" name="Rectangle 191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193" name="Straight Connector 192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Connector 193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Straight Connector 194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Straight Connector 196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Straight Connector 197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Straight Connector 199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Straight Connector 200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Connector 201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431800</xdr:colOff>
      <xdr:row>2</xdr:row>
      <xdr:rowOff>38100</xdr:rowOff>
    </xdr:from>
    <xdr:ext cx="470129" cy="280205"/>
    <xdr:sp macro="" textlink="">
      <xdr:nvSpPr>
        <xdr:cNvPr id="90" name="TextBox 89"/>
        <xdr:cNvSpPr txBox="1"/>
      </xdr:nvSpPr>
      <xdr:spPr>
        <a:xfrm>
          <a:off x="2298700" y="4318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 3</a:t>
          </a:r>
        </a:p>
      </xdr:txBody>
    </xdr:sp>
    <xdr:clientData/>
  </xdr:oneCellAnchor>
  <xdr:oneCellAnchor>
    <xdr:from>
      <xdr:col>4</xdr:col>
      <xdr:colOff>317500</xdr:colOff>
      <xdr:row>1</xdr:row>
      <xdr:rowOff>114300</xdr:rowOff>
    </xdr:from>
    <xdr:ext cx="470129" cy="280205"/>
    <xdr:sp macro="" textlink="">
      <xdr:nvSpPr>
        <xdr:cNvPr id="203" name="TextBox 202"/>
        <xdr:cNvSpPr txBox="1"/>
      </xdr:nvSpPr>
      <xdr:spPr>
        <a:xfrm>
          <a:off x="3098800" y="3048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 2</a:t>
          </a:r>
        </a:p>
      </xdr:txBody>
    </xdr:sp>
    <xdr:clientData/>
  </xdr:oneCellAnchor>
  <xdr:oneCellAnchor>
    <xdr:from>
      <xdr:col>5</xdr:col>
      <xdr:colOff>622300</xdr:colOff>
      <xdr:row>0</xdr:row>
      <xdr:rowOff>165100</xdr:rowOff>
    </xdr:from>
    <xdr:ext cx="470129" cy="280205"/>
    <xdr:sp macro="" textlink="">
      <xdr:nvSpPr>
        <xdr:cNvPr id="204" name="TextBox 203"/>
        <xdr:cNvSpPr txBox="1"/>
      </xdr:nvSpPr>
      <xdr:spPr>
        <a:xfrm>
          <a:off x="4013200" y="1651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 1</a:t>
          </a:r>
        </a:p>
      </xdr:txBody>
    </xdr:sp>
    <xdr:clientData/>
  </xdr:oneCellAnchor>
  <xdr:twoCellAnchor>
    <xdr:from>
      <xdr:col>4</xdr:col>
      <xdr:colOff>584201</xdr:colOff>
      <xdr:row>42</xdr:row>
      <xdr:rowOff>790</xdr:rowOff>
    </xdr:from>
    <xdr:to>
      <xdr:col>5</xdr:col>
      <xdr:colOff>520701</xdr:colOff>
      <xdr:row>45</xdr:row>
      <xdr:rowOff>12699</xdr:rowOff>
    </xdr:to>
    <xdr:grpSp>
      <xdr:nvGrpSpPr>
        <xdr:cNvPr id="205" name="Group 204"/>
        <xdr:cNvGrpSpPr>
          <a:grpSpLocks noChangeAspect="1"/>
        </xdr:cNvGrpSpPr>
      </xdr:nvGrpSpPr>
      <xdr:grpSpPr>
        <a:xfrm>
          <a:off x="3400880" y="8341969"/>
          <a:ext cx="548821" cy="583409"/>
          <a:chOff x="7607300" y="8813800"/>
          <a:chExt cx="833882" cy="897636"/>
        </a:xfrm>
      </xdr:grpSpPr>
      <xdr:sp macro="" textlink="">
        <xdr:nvSpPr>
          <xdr:cNvPr id="206" name="Flowchart: Manual Input 205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07" name="Rectangle 206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08" name="Rectangle 207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209" name="Straight Connector 208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Straight Connector 209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Connector 210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Straight Connector 211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Straight Connector 212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Straight Connector 213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Straight Connector 214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Straight Connector 215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Straight Connector 216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Straight Connector 217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584200</xdr:colOff>
      <xdr:row>46</xdr:row>
      <xdr:rowOff>25400</xdr:rowOff>
    </xdr:from>
    <xdr:to>
      <xdr:col>5</xdr:col>
      <xdr:colOff>520700</xdr:colOff>
      <xdr:row>49</xdr:row>
      <xdr:rowOff>37309</xdr:rowOff>
    </xdr:to>
    <xdr:grpSp>
      <xdr:nvGrpSpPr>
        <xdr:cNvPr id="219" name="Group 218"/>
        <xdr:cNvGrpSpPr>
          <a:grpSpLocks noChangeAspect="1"/>
        </xdr:cNvGrpSpPr>
      </xdr:nvGrpSpPr>
      <xdr:grpSpPr>
        <a:xfrm>
          <a:off x="3400879" y="9128579"/>
          <a:ext cx="548821" cy="583409"/>
          <a:chOff x="7607300" y="8813800"/>
          <a:chExt cx="833882" cy="897636"/>
        </a:xfrm>
      </xdr:grpSpPr>
      <xdr:sp macro="" textlink="">
        <xdr:nvSpPr>
          <xdr:cNvPr id="220" name="Flowchart: Manual Input 219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21" name="Rectangle 220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22" name="Rectangle 221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223" name="Straight Connector 222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Connector 223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Connector 224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Connector 225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Straight Connector 226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Straight Connector 227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Straight Connector 228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Straight Connector 229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Straight Connector 230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584200</xdr:colOff>
      <xdr:row>50</xdr:row>
      <xdr:rowOff>76200</xdr:rowOff>
    </xdr:from>
    <xdr:to>
      <xdr:col>5</xdr:col>
      <xdr:colOff>520700</xdr:colOff>
      <xdr:row>53</xdr:row>
      <xdr:rowOff>88109</xdr:rowOff>
    </xdr:to>
    <xdr:grpSp>
      <xdr:nvGrpSpPr>
        <xdr:cNvPr id="233" name="Group 232"/>
        <xdr:cNvGrpSpPr>
          <a:grpSpLocks noChangeAspect="1"/>
        </xdr:cNvGrpSpPr>
      </xdr:nvGrpSpPr>
      <xdr:grpSpPr>
        <a:xfrm>
          <a:off x="3400879" y="9941379"/>
          <a:ext cx="548821" cy="583409"/>
          <a:chOff x="7607300" y="8813800"/>
          <a:chExt cx="833882" cy="897636"/>
        </a:xfrm>
      </xdr:grpSpPr>
      <xdr:sp macro="" textlink="">
        <xdr:nvSpPr>
          <xdr:cNvPr id="234" name="Flowchart: Manual Input 233"/>
          <xdr:cNvSpPr/>
        </xdr:nvSpPr>
        <xdr:spPr>
          <a:xfrm>
            <a:off x="7607300" y="9093200"/>
            <a:ext cx="571500" cy="618236"/>
          </a:xfrm>
          <a:prstGeom prst="flowChartManualInpu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540000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35" name="Rectangle 234"/>
          <xdr:cNvSpPr/>
        </xdr:nvSpPr>
        <xdr:spPr>
          <a:xfrm>
            <a:off x="8178800" y="8813800"/>
            <a:ext cx="262382" cy="897636"/>
          </a:xfrm>
          <a:prstGeom prst="rect">
            <a:avLst/>
          </a:prstGeom>
          <a:gradFill flip="none" rotWithShape="1">
            <a:gsLst>
              <a:gs pos="0">
                <a:schemeClr val="accent1"/>
              </a:gs>
              <a:gs pos="50000">
                <a:srgbClr val="FFFFFF"/>
              </a:gs>
              <a:gs pos="100000">
                <a:schemeClr val="accent1"/>
              </a:gs>
            </a:gsLst>
            <a:lin ang="0" scaled="1"/>
            <a:tileRect/>
          </a:gradFill>
          <a:ln w="127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sp macro="" textlink="">
        <xdr:nvSpPr>
          <xdr:cNvPr id="236" name="Rectangle 235"/>
          <xdr:cNvSpPr/>
        </xdr:nvSpPr>
        <xdr:spPr>
          <a:xfrm>
            <a:off x="7607300" y="9330436"/>
            <a:ext cx="833882" cy="381000"/>
          </a:xfrm>
          <a:prstGeom prst="rect">
            <a:avLst/>
          </a:prstGeom>
          <a:gradFill flip="none" rotWithShape="1">
            <a:gsLst>
              <a:gs pos="0">
                <a:srgbClr val="B22222">
                  <a:alpha val="50000"/>
                </a:srgbClr>
              </a:gs>
              <a:gs pos="100000">
                <a:srgbClr val="FFFFFF">
                  <a:alpha val="0"/>
                </a:srgbClr>
              </a:gs>
            </a:gsLst>
            <a:lin ang="16200000" scaled="1"/>
            <a:tileRect/>
          </a:gradFill>
          <a:ln w="127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1270" cap="flat" cmpd="sng" algn="ctr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cxnSp macro="">
        <xdr:nvCxnSpPr>
          <xdr:cNvPr id="237" name="Straight Connector 236"/>
          <xdr:cNvCxnSpPr/>
        </xdr:nvCxnSpPr>
        <xdr:spPr>
          <a:xfrm>
            <a:off x="76073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Straight Connector 237"/>
          <xdr:cNvCxnSpPr/>
        </xdr:nvCxnSpPr>
        <xdr:spPr>
          <a:xfrm flipV="1">
            <a:off x="7683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Straight Connector 238"/>
          <xdr:cNvCxnSpPr/>
        </xdr:nvCxnSpPr>
        <xdr:spPr>
          <a:xfrm>
            <a:off x="77216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Straight Connector 239"/>
          <xdr:cNvCxnSpPr/>
        </xdr:nvCxnSpPr>
        <xdr:spPr>
          <a:xfrm flipV="1">
            <a:off x="77787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Straight Connector 240"/>
          <xdr:cNvCxnSpPr/>
        </xdr:nvCxnSpPr>
        <xdr:spPr>
          <a:xfrm>
            <a:off x="78359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Straight Connector 241"/>
          <xdr:cNvCxnSpPr/>
        </xdr:nvCxnSpPr>
        <xdr:spPr>
          <a:xfrm flipV="1">
            <a:off x="78930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Straight Connector 242"/>
          <xdr:cNvCxnSpPr/>
        </xdr:nvCxnSpPr>
        <xdr:spPr>
          <a:xfrm>
            <a:off x="795020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Straight Connector 243"/>
          <xdr:cNvCxnSpPr/>
        </xdr:nvCxnSpPr>
        <xdr:spPr>
          <a:xfrm flipV="1">
            <a:off x="8007350" y="9372600"/>
            <a:ext cx="57150" cy="1778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" name="Straight Connector 244"/>
          <xdr:cNvCxnSpPr/>
        </xdr:nvCxnSpPr>
        <xdr:spPr>
          <a:xfrm>
            <a:off x="8064500" y="9372600"/>
            <a:ext cx="38100" cy="9525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Straight Connector 245"/>
          <xdr:cNvCxnSpPr/>
        </xdr:nvCxnSpPr>
        <xdr:spPr>
          <a:xfrm>
            <a:off x="8102600" y="9467850"/>
            <a:ext cx="76200" cy="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533400</xdr:colOff>
      <xdr:row>41</xdr:row>
      <xdr:rowOff>165100</xdr:rowOff>
    </xdr:from>
    <xdr:ext cx="470129" cy="280205"/>
    <xdr:sp macro="" textlink="">
      <xdr:nvSpPr>
        <xdr:cNvPr id="247" name="TextBox 246"/>
        <xdr:cNvSpPr txBox="1"/>
      </xdr:nvSpPr>
      <xdr:spPr>
        <a:xfrm>
          <a:off x="3314700" y="82931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 1</a:t>
          </a:r>
        </a:p>
      </xdr:txBody>
    </xdr:sp>
    <xdr:clientData/>
  </xdr:oneCellAnchor>
  <xdr:oneCellAnchor>
    <xdr:from>
      <xdr:col>4</xdr:col>
      <xdr:colOff>546100</xdr:colOff>
      <xdr:row>45</xdr:row>
      <xdr:rowOff>177800</xdr:rowOff>
    </xdr:from>
    <xdr:ext cx="470129" cy="280205"/>
    <xdr:sp macro="" textlink="">
      <xdr:nvSpPr>
        <xdr:cNvPr id="248" name="TextBox 247"/>
        <xdr:cNvSpPr txBox="1"/>
      </xdr:nvSpPr>
      <xdr:spPr>
        <a:xfrm>
          <a:off x="3327400" y="90678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</a:t>
          </a:r>
          <a:r>
            <a:rPr lang="en-NZ" sz="1200" baseline="0"/>
            <a:t> 2</a:t>
          </a:r>
          <a:endParaRPr lang="en-NZ" sz="1200"/>
        </a:p>
      </xdr:txBody>
    </xdr:sp>
    <xdr:clientData/>
  </xdr:oneCellAnchor>
  <xdr:oneCellAnchor>
    <xdr:from>
      <xdr:col>4</xdr:col>
      <xdr:colOff>520700</xdr:colOff>
      <xdr:row>50</xdr:row>
      <xdr:rowOff>25400</xdr:rowOff>
    </xdr:from>
    <xdr:ext cx="470129" cy="280205"/>
    <xdr:sp macro="" textlink="">
      <xdr:nvSpPr>
        <xdr:cNvPr id="249" name="TextBox 248"/>
        <xdr:cNvSpPr txBox="1"/>
      </xdr:nvSpPr>
      <xdr:spPr>
        <a:xfrm>
          <a:off x="3302000" y="9867900"/>
          <a:ext cx="4701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200"/>
            <a:t>Blr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68"/>
  <sheetViews>
    <sheetView showGridLines="0" zoomScale="70" zoomScaleNormal="70" workbookViewId="0">
      <selection activeCell="I45" sqref="I45"/>
    </sheetView>
  </sheetViews>
  <sheetFormatPr defaultRowHeight="15" x14ac:dyDescent="0.25"/>
  <cols>
    <col min="1" max="1" width="3.5703125" customWidth="1"/>
    <col min="3" max="3" width="15.7109375" customWidth="1"/>
    <col min="4" max="4" width="13.7109375" customWidth="1"/>
    <col min="6" max="6" width="15.28515625" bestFit="1" customWidth="1"/>
    <col min="7" max="7" width="15.85546875" customWidth="1"/>
    <col min="8" max="8" width="15.85546875" bestFit="1" customWidth="1"/>
    <col min="9" max="9" width="16.28515625" bestFit="1" customWidth="1"/>
    <col min="10" max="10" width="15.85546875" bestFit="1" customWidth="1"/>
    <col min="11" max="11" width="14.85546875" bestFit="1" customWidth="1"/>
    <col min="12" max="12" width="15.85546875" bestFit="1" customWidth="1"/>
    <col min="13" max="14" width="14.85546875" bestFit="1" customWidth="1"/>
    <col min="15" max="15" width="14.5703125" bestFit="1" customWidth="1"/>
    <col min="16" max="16" width="14.85546875" bestFit="1" customWidth="1"/>
    <col min="17" max="17" width="17.85546875" bestFit="1" customWidth="1"/>
    <col min="18" max="18" width="14.85546875" bestFit="1" customWidth="1"/>
    <col min="20" max="20" width="14.85546875" bestFit="1" customWidth="1"/>
    <col min="22" max="22" width="20.28515625" bestFit="1" customWidth="1"/>
    <col min="23" max="23" width="15.140625" bestFit="1" customWidth="1"/>
    <col min="24" max="24" width="14.140625" bestFit="1" customWidth="1"/>
    <col min="25" max="25" width="18.28515625" bestFit="1" customWidth="1"/>
    <col min="26" max="26" width="15.140625" bestFit="1" customWidth="1"/>
  </cols>
  <sheetData>
    <row r="1" spans="3:27" x14ac:dyDescent="0.25">
      <c r="V1" s="18"/>
      <c r="W1" s="18"/>
      <c r="X1" s="18"/>
      <c r="Y1" s="18"/>
      <c r="Z1" s="18"/>
      <c r="AA1" s="18"/>
    </row>
    <row r="2" spans="3:27" ht="15.75" x14ac:dyDescent="0.25">
      <c r="G2" s="84" t="s">
        <v>130</v>
      </c>
      <c r="H2" s="85">
        <f ca="1">Producers!B12</f>
        <v>60.002538546257917</v>
      </c>
      <c r="V2" s="18"/>
      <c r="W2" s="29"/>
      <c r="X2" s="29"/>
      <c r="Y2" s="29"/>
      <c r="Z2" s="18"/>
      <c r="AA2" s="18"/>
    </row>
    <row r="3" spans="3:27" ht="15.75" x14ac:dyDescent="0.25">
      <c r="G3" s="84" t="s">
        <v>131</v>
      </c>
      <c r="H3" s="85">
        <f ca="1">Producers!C12</f>
        <v>40.001692364171944</v>
      </c>
      <c r="V3" s="29"/>
      <c r="W3" s="30"/>
      <c r="X3" s="30"/>
      <c r="Y3" s="30"/>
      <c r="Z3" s="18"/>
      <c r="AA3" s="18"/>
    </row>
    <row r="4" spans="3:27" ht="15.75" x14ac:dyDescent="0.25">
      <c r="G4" s="84" t="s">
        <v>132</v>
      </c>
      <c r="H4" s="85">
        <f ca="1">Producers!D12</f>
        <v>20.000846182085972</v>
      </c>
      <c r="K4" s="70"/>
      <c r="V4" s="18"/>
      <c r="W4" s="31"/>
      <c r="X4" s="31"/>
      <c r="Y4" s="31"/>
      <c r="Z4" s="18"/>
      <c r="AA4" s="18"/>
    </row>
    <row r="5" spans="3:27" x14ac:dyDescent="0.25">
      <c r="C5" s="13">
        <f ca="1">Producers!B26</f>
        <v>121.20512786344099</v>
      </c>
      <c r="V5" s="18"/>
      <c r="W5" s="32"/>
      <c r="X5" s="32"/>
      <c r="Y5" s="32"/>
      <c r="Z5" s="18"/>
      <c r="AA5" s="18"/>
    </row>
    <row r="6" spans="3:27" ht="15.75" x14ac:dyDescent="0.25">
      <c r="I6" s="85">
        <f ca="1">Producers!B25</f>
        <v>120.00507709251585</v>
      </c>
      <c r="V6" s="18"/>
      <c r="W6" s="33"/>
      <c r="X6" s="33"/>
      <c r="Y6" s="33"/>
      <c r="Z6" s="18"/>
      <c r="AA6" s="18"/>
    </row>
    <row r="7" spans="3:27" ht="15.75" x14ac:dyDescent="0.25">
      <c r="I7" s="1">
        <f ca="1">Producers!B17</f>
        <v>3214.3735088712319</v>
      </c>
      <c r="Q7" s="128">
        <f ca="1">_xll.Estimate(I7,_xll.HPT(Q8,400))</f>
        <v>3214.3735088712319</v>
      </c>
      <c r="V7" s="18"/>
      <c r="W7" s="34"/>
      <c r="X7" s="34"/>
      <c r="Y7" s="34"/>
      <c r="Z7" s="18"/>
      <c r="AA7" s="18"/>
    </row>
    <row r="8" spans="3:27" ht="15.75" x14ac:dyDescent="0.25">
      <c r="E8" t="s">
        <v>46</v>
      </c>
      <c r="Q8" s="127">
        <v>40</v>
      </c>
      <c r="V8" s="18"/>
      <c r="W8" s="35"/>
      <c r="X8" s="35"/>
      <c r="Y8" s="35"/>
      <c r="Z8" s="18"/>
      <c r="AA8" s="18"/>
    </row>
    <row r="9" spans="3:27" ht="15.75" x14ac:dyDescent="0.25">
      <c r="E9" t="str">
        <f ca="1">IF(ABS(F10+H10+J10+L10+N10+P10-I6)&lt;0.000001,"OK","ERROR")</f>
        <v>OK</v>
      </c>
      <c r="P9" t="s">
        <v>29</v>
      </c>
      <c r="Q9" s="129">
        <f ca="1">_xll.TPH(Q8,Q7)</f>
        <v>399.99654136425693</v>
      </c>
      <c r="V9" s="18"/>
      <c r="W9" s="30"/>
      <c r="X9" s="30"/>
      <c r="Y9" s="30"/>
      <c r="Z9" s="18"/>
      <c r="AA9" s="18"/>
    </row>
    <row r="10" spans="3:27" ht="15.75" x14ac:dyDescent="0.25">
      <c r="F10" s="13">
        <f ca="1">PlantEquip!C10</f>
        <v>28.347822922646802</v>
      </c>
      <c r="H10" s="85">
        <f ca="1">I15</f>
        <v>31.418065881205557</v>
      </c>
      <c r="J10" s="85">
        <f ca="1">K24</f>
        <v>15.447569470817756</v>
      </c>
      <c r="L10" s="85">
        <f ca="1">M15</f>
        <v>10.940289385618648</v>
      </c>
      <c r="N10" s="71">
        <f ca="1">Control!B24/(Q7-R12)*3.6</f>
        <v>33.851329432227075</v>
      </c>
      <c r="P10" s="13">
        <f ca="1">MAX(I6-F10-H10-J10-L10-N10,0)</f>
        <v>1.4210854715202004E-14</v>
      </c>
      <c r="V10" s="18"/>
      <c r="W10" s="31"/>
      <c r="X10" s="31"/>
      <c r="Y10" s="31"/>
      <c r="Z10" s="18"/>
      <c r="AA10" s="18"/>
    </row>
    <row r="11" spans="3:27" x14ac:dyDescent="0.25">
      <c r="R11" s="71">
        <f ca="1">N10*Control!B25</f>
        <v>27.08106354578166</v>
      </c>
      <c r="V11" s="18"/>
      <c r="W11" s="32"/>
      <c r="X11" s="32"/>
      <c r="Y11" s="32"/>
      <c r="Z11" s="18"/>
      <c r="AA11" s="18"/>
    </row>
    <row r="12" spans="3:27" x14ac:dyDescent="0.25">
      <c r="D12" s="13">
        <f ca="1">PlantEquip!C9</f>
        <v>2.5241355889222028</v>
      </c>
      <c r="R12" s="72">
        <f>_xll.HPX(Q8,0)</f>
        <v>1087.4260238647876</v>
      </c>
      <c r="V12" s="18"/>
      <c r="W12" s="32"/>
      <c r="X12" s="32"/>
      <c r="Y12" s="32"/>
      <c r="Z12" s="18"/>
      <c r="AA12" s="18"/>
    </row>
    <row r="13" spans="3:27" x14ac:dyDescent="0.25">
      <c r="V13" s="18"/>
      <c r="W13" s="31"/>
      <c r="X13" s="31"/>
      <c r="Y13" s="31"/>
      <c r="Z13" s="18"/>
      <c r="AA13" s="18"/>
    </row>
    <row r="14" spans="3:27" x14ac:dyDescent="0.25">
      <c r="V14" s="18"/>
      <c r="W14" s="36"/>
      <c r="X14" s="36"/>
      <c r="Y14" s="36"/>
      <c r="Z14" s="18"/>
      <c r="AA14" s="18"/>
    </row>
    <row r="15" spans="3:27" x14ac:dyDescent="0.25">
      <c r="F15" s="13">
        <f ca="1">MAX(F19+H19+N19+L19-I15-M15,0)</f>
        <v>30.871958511569005</v>
      </c>
      <c r="I15" s="13">
        <f ca="1">Turbines!C14</f>
        <v>31.418065881205557</v>
      </c>
      <c r="M15" s="13">
        <f ca="1">Turbines!E14</f>
        <v>10.940289385618648</v>
      </c>
      <c r="V15" s="18"/>
      <c r="W15" s="18"/>
      <c r="X15" s="18"/>
      <c r="Y15" s="18"/>
      <c r="Z15" s="18"/>
      <c r="AA15" s="18"/>
    </row>
    <row r="16" spans="3:27" ht="15.75" x14ac:dyDescent="0.25">
      <c r="F16" s="1">
        <f ca="1">PlantEquip!C11</f>
        <v>2993.3889953641301</v>
      </c>
      <c r="I16" s="1">
        <f ca="1">Turbines!C15</f>
        <v>2985.2059942603082</v>
      </c>
      <c r="M16" s="1">
        <f ca="1">Turbines!E15</f>
        <v>3016.9381464356288</v>
      </c>
      <c r="Q16" s="128">
        <f ca="1">_xll.Estimate((F15*F16+I15*I16+M15*M16)/(F15+I15+M15),_xll.HPT(Q17,280))</f>
        <v>2993.3963756373273</v>
      </c>
      <c r="V16" s="18"/>
      <c r="W16" s="18"/>
      <c r="X16" s="18"/>
      <c r="Y16" s="29"/>
      <c r="Z16" s="29"/>
      <c r="AA16" s="18"/>
    </row>
    <row r="17" spans="3:27" ht="15.75" x14ac:dyDescent="0.25">
      <c r="E17" t="s">
        <v>47</v>
      </c>
      <c r="Q17" s="127">
        <v>11</v>
      </c>
      <c r="V17" s="18"/>
      <c r="W17" s="18"/>
      <c r="X17" s="18"/>
      <c r="Y17" s="36"/>
      <c r="Z17" s="36"/>
      <c r="AA17" s="18"/>
    </row>
    <row r="18" spans="3:27" ht="15.75" x14ac:dyDescent="0.25">
      <c r="E18" t="str">
        <f ca="1">IF(ABS(F19+H19+L19+N19+P19-F15-I15-M15)&lt;0.000001,"OK","ERROR")</f>
        <v>OK</v>
      </c>
      <c r="P18" t="s">
        <v>30</v>
      </c>
      <c r="Q18" s="129">
        <f ca="1">_xll.TPH(Q17,Q16)</f>
        <v>274.36130398255773</v>
      </c>
      <c r="V18" s="29"/>
      <c r="W18" s="29"/>
      <c r="X18" s="29"/>
      <c r="Y18" s="18"/>
      <c r="Z18" s="18"/>
      <c r="AA18" s="18"/>
    </row>
    <row r="19" spans="3:27" ht="15.75" x14ac:dyDescent="0.25">
      <c r="F19" s="13">
        <f ca="1">PlantEquip!D10</f>
        <v>0</v>
      </c>
      <c r="H19" s="85">
        <f ca="1">I24</f>
        <v>0</v>
      </c>
      <c r="L19" s="13"/>
      <c r="N19" s="71">
        <f ca="1">Control!C24/(PFD!Q16-PFD!R21)*3.6</f>
        <v>73.23031377839321</v>
      </c>
      <c r="P19" s="13">
        <f ca="1">MAX(I15+M15-F19-H19-N19,0)</f>
        <v>0</v>
      </c>
      <c r="V19" s="18"/>
      <c r="W19" s="31"/>
      <c r="X19" s="31"/>
      <c r="Y19" s="31"/>
      <c r="Z19" s="31"/>
      <c r="AA19" s="18"/>
    </row>
    <row r="20" spans="3:27" x14ac:dyDescent="0.25">
      <c r="R20" s="71">
        <f ca="1">N19*Control!C25</f>
        <v>43.938188267035926</v>
      </c>
      <c r="V20" s="18"/>
      <c r="W20" s="34"/>
      <c r="X20" s="34"/>
      <c r="Y20" s="34"/>
      <c r="Z20" s="34"/>
      <c r="AA20" s="18"/>
    </row>
    <row r="21" spans="3:27" x14ac:dyDescent="0.25">
      <c r="D21" s="13">
        <f ca="1">PlantEquip!D9</f>
        <v>0</v>
      </c>
      <c r="R21" s="72">
        <f>_xll.HPX(Q17,0)</f>
        <v>781.19774311148205</v>
      </c>
      <c r="V21" s="18"/>
      <c r="W21" s="34"/>
      <c r="X21" s="34"/>
      <c r="Y21" s="34"/>
      <c r="Z21" s="34"/>
      <c r="AA21" s="18"/>
    </row>
    <row r="22" spans="3:27" x14ac:dyDescent="0.25">
      <c r="V22" s="18"/>
      <c r="W22" s="30"/>
      <c r="X22" s="30"/>
      <c r="Y22" s="30"/>
      <c r="Z22" s="30"/>
      <c r="AA22" s="18"/>
    </row>
    <row r="23" spans="3:27" x14ac:dyDescent="0.25">
      <c r="V23" s="18"/>
      <c r="W23" s="36"/>
      <c r="X23" s="36"/>
      <c r="Y23" s="36"/>
      <c r="Z23" s="36"/>
      <c r="AA23" s="18"/>
    </row>
    <row r="24" spans="3:27" x14ac:dyDescent="0.25">
      <c r="F24" s="13">
        <f ca="1">_xll.Estimate(MAX(F28-I24-K24-M24-O24,0),0)</f>
        <v>0</v>
      </c>
      <c r="I24" s="13">
        <f ca="1">Turbines!F14</f>
        <v>0</v>
      </c>
      <c r="K24" s="13">
        <f ca="1">Turbines!D14</f>
        <v>15.447569470817756</v>
      </c>
      <c r="M24" s="13"/>
      <c r="O24" s="13">
        <f ca="1">PlantEquip!G7</f>
        <v>9.762215567764823</v>
      </c>
      <c r="V24" s="18"/>
      <c r="W24" s="32"/>
      <c r="X24" s="32"/>
      <c r="Y24" s="32"/>
      <c r="Z24" s="32"/>
      <c r="AA24" s="18"/>
    </row>
    <row r="25" spans="3:27" ht="15.75" x14ac:dyDescent="0.25">
      <c r="F25" s="1">
        <f ca="1">PlantEquip!D11</f>
        <v>2816.5996239393444</v>
      </c>
      <c r="I25" s="1">
        <f ca="1">Turbines!F15</f>
        <v>2861.183622053537</v>
      </c>
      <c r="K25" s="1">
        <f ca="1">Turbines!D15</f>
        <v>2866.2397333024264</v>
      </c>
      <c r="M25" s="1"/>
      <c r="O25" s="1">
        <f ca="1">PlantEquip!G8</f>
        <v>2738.0566229312817</v>
      </c>
      <c r="Q25" s="128">
        <f ca="1">_xll.Estimate((F24*F25+I24*I25+K24*K25+M24*M25+O24*O25)/(F24+I24+K24+M24+O24),_xll.HPX(Q26,1))</f>
        <v>2816.6022154229772</v>
      </c>
      <c r="V25" s="18"/>
      <c r="W25" s="31"/>
      <c r="X25" s="31"/>
      <c r="Y25" s="31"/>
      <c r="Z25" s="31"/>
      <c r="AA25" s="18"/>
    </row>
    <row r="26" spans="3:27" ht="15.75" x14ac:dyDescent="0.25">
      <c r="E26" t="s">
        <v>44</v>
      </c>
      <c r="Q26" s="127">
        <v>4</v>
      </c>
      <c r="T26" s="13">
        <f ca="1">R20+R11</f>
        <v>71.019251812817586</v>
      </c>
      <c r="V26" s="37"/>
      <c r="W26" s="18"/>
      <c r="X26" s="18"/>
      <c r="Y26" s="18"/>
      <c r="Z26" s="18"/>
      <c r="AA26" s="18"/>
    </row>
    <row r="27" spans="3:27" ht="15.75" x14ac:dyDescent="0.25">
      <c r="E27" t="str">
        <f ca="1">IF(ABS(F24+I24+K24+M24+O24-F28-P28)&lt;0.000001,"OK","ERROR")</f>
        <v>OK</v>
      </c>
      <c r="P27" t="s">
        <v>31</v>
      </c>
      <c r="Q27" s="129">
        <f ca="1">MAX(_xll.TPH(Q26,Q25),_xll.TsatP(Q26))</f>
        <v>179.04736527882608</v>
      </c>
      <c r="T27" s="1">
        <f ca="1">(R21*R20+R12*R11)/(R20+R11)</f>
        <v>897.96872166886249</v>
      </c>
      <c r="V27" s="18"/>
      <c r="W27" s="18"/>
      <c r="X27" s="29"/>
      <c r="Y27" s="18"/>
      <c r="Z27" s="18"/>
      <c r="AA27" s="18"/>
    </row>
    <row r="28" spans="3:27" x14ac:dyDescent="0.25">
      <c r="C28" s="13">
        <f ca="1">_xll.Estimate(C5+D12+D21,100)</f>
        <v>123.7292634523632</v>
      </c>
      <c r="F28" s="13">
        <f ca="1">PlantEquip!C19</f>
        <v>6.8157157676493982</v>
      </c>
      <c r="P28" s="13">
        <f ca="1">MAX(I24+K24+M24+O24-F28,0)</f>
        <v>18.394069270933183</v>
      </c>
      <c r="V28" s="18"/>
      <c r="W28" s="18"/>
      <c r="X28" s="18"/>
      <c r="Y28" s="18"/>
      <c r="Z28" s="18"/>
      <c r="AA28" s="18"/>
    </row>
    <row r="29" spans="3:27" x14ac:dyDescent="0.25">
      <c r="C29" s="1">
        <f ca="1">PlantEquip!G19</f>
        <v>511.57704950845476</v>
      </c>
      <c r="H29" s="13">
        <f ca="1">PlantEquip!G9</f>
        <v>61.25703624505276</v>
      </c>
      <c r="V29" s="29"/>
      <c r="W29" s="18"/>
      <c r="X29" s="18"/>
      <c r="Y29" s="29"/>
      <c r="Z29" s="18"/>
      <c r="AA29" s="18"/>
    </row>
    <row r="30" spans="3:27" x14ac:dyDescent="0.25">
      <c r="H30" s="1">
        <f ca="1">PlantEquip!G10</f>
        <v>604.72347415314641</v>
      </c>
      <c r="V30" s="18"/>
      <c r="W30" s="34"/>
      <c r="X30" s="18"/>
      <c r="Y30" s="18"/>
      <c r="Z30" s="34"/>
      <c r="AA30" s="18"/>
    </row>
    <row r="31" spans="3:27" x14ac:dyDescent="0.25">
      <c r="V31" s="18"/>
      <c r="W31" s="31"/>
      <c r="X31" s="18"/>
      <c r="Y31" s="18"/>
      <c r="Z31" s="31"/>
      <c r="AA31" s="18"/>
    </row>
    <row r="32" spans="3:27" x14ac:dyDescent="0.25">
      <c r="V32" s="18"/>
      <c r="W32" s="32"/>
      <c r="X32" s="18"/>
      <c r="Y32" s="18"/>
      <c r="Z32" s="31"/>
      <c r="AA32" s="18"/>
    </row>
    <row r="33" spans="2:27" ht="15.75" x14ac:dyDescent="0.25">
      <c r="F33" s="13">
        <f ca="1">PlantEquip!C20</f>
        <v>118.15084031923743</v>
      </c>
      <c r="L33" s="77" t="s">
        <v>128</v>
      </c>
      <c r="M33" s="77" t="s">
        <v>50</v>
      </c>
      <c r="N33" s="77" t="s">
        <v>126</v>
      </c>
      <c r="O33" s="77" t="s">
        <v>127</v>
      </c>
      <c r="V33" s="18"/>
      <c r="W33" s="32"/>
      <c r="X33" s="18"/>
      <c r="Y33" s="18"/>
      <c r="Z33" s="32"/>
      <c r="AA33" s="18"/>
    </row>
    <row r="34" spans="2:27" ht="15.75" x14ac:dyDescent="0.25">
      <c r="F34" s="1">
        <f ca="1">_xll.Estimate((H29*H30+I35*I36)/(H29+I35),463.22)</f>
        <v>394.37225080934127</v>
      </c>
      <c r="I34" s="77" t="s">
        <v>38</v>
      </c>
      <c r="L34" s="78" t="s">
        <v>48</v>
      </c>
      <c r="M34" s="101">
        <f>Control!B28</f>
        <v>800</v>
      </c>
      <c r="N34" s="81">
        <f ca="1">SUM(Producers!B22:D22)</f>
        <v>7.0182855488254159</v>
      </c>
      <c r="O34" s="79">
        <f ca="1">M34*N34</f>
        <v>5614.6284390603323</v>
      </c>
      <c r="V34" s="18"/>
      <c r="W34" s="31"/>
      <c r="X34" s="18"/>
      <c r="Y34" s="18"/>
      <c r="Z34" s="35"/>
      <c r="AA34" s="18"/>
    </row>
    <row r="35" spans="2:27" ht="15.75" x14ac:dyDescent="0.25">
      <c r="I35" s="85">
        <f ca="1">MAX(F33-H29,0)</f>
        <v>56.893804074184672</v>
      </c>
      <c r="L35" s="78" t="s">
        <v>49</v>
      </c>
      <c r="M35" s="80">
        <f>Control!E28</f>
        <v>0.8</v>
      </c>
      <c r="N35" s="81">
        <f ca="1">I35</f>
        <v>56.893804074184672</v>
      </c>
      <c r="O35" s="79">
        <f ca="1">M35*N35</f>
        <v>45.515043259347742</v>
      </c>
      <c r="V35" s="18"/>
      <c r="W35" s="32"/>
      <c r="X35" s="18"/>
      <c r="Y35" s="18"/>
      <c r="Z35" s="32"/>
      <c r="AA35" s="18"/>
    </row>
    <row r="36" spans="2:27" ht="15.75" x14ac:dyDescent="0.25">
      <c r="I36" s="1">
        <f>_xll.HPT(4,40)</f>
        <v>167.88902082948121</v>
      </c>
      <c r="L36" s="78" t="s">
        <v>54</v>
      </c>
      <c r="M36" s="82">
        <f>Control!C28</f>
        <v>1.5</v>
      </c>
      <c r="N36" s="83">
        <f ca="1">IF(Turbines!C18&lt;0,-Turbines!C18,0)</f>
        <v>0</v>
      </c>
      <c r="O36" s="79">
        <f t="shared" ref="O36:O37" ca="1" si="0">M36*N36</f>
        <v>0</v>
      </c>
      <c r="V36" s="18"/>
      <c r="W36" s="31"/>
      <c r="X36" s="18"/>
      <c r="Y36" s="18"/>
      <c r="Z36" s="32"/>
      <c r="AA36" s="18"/>
    </row>
    <row r="37" spans="2:27" ht="15.75" x14ac:dyDescent="0.25">
      <c r="L37" s="78" t="s">
        <v>125</v>
      </c>
      <c r="M37" s="82">
        <f>Control!D28</f>
        <v>2.5</v>
      </c>
      <c r="N37" s="83">
        <f ca="1">IF(Turbines!C18&gt;0,-Turbines!C18,0)</f>
        <v>-3056.9249177618631</v>
      </c>
      <c r="O37" s="79">
        <f t="shared" ca="1" si="0"/>
        <v>-7642.3122944046572</v>
      </c>
      <c r="P37" s="2"/>
      <c r="V37" s="18"/>
      <c r="W37" s="18"/>
      <c r="X37" s="18"/>
      <c r="Y37" s="18"/>
      <c r="Z37" s="31"/>
      <c r="AA37" s="18"/>
    </row>
    <row r="38" spans="2:27" ht="15.75" x14ac:dyDescent="0.25">
      <c r="L38" s="78"/>
      <c r="M38" s="78"/>
      <c r="N38" s="78"/>
      <c r="O38" s="78"/>
      <c r="V38" s="29"/>
      <c r="W38" s="18"/>
      <c r="X38" s="18"/>
      <c r="Y38" s="18"/>
      <c r="Z38" s="32"/>
      <c r="AA38" s="18"/>
    </row>
    <row r="39" spans="2:27" ht="18.75" x14ac:dyDescent="0.3">
      <c r="L39" s="78"/>
      <c r="M39" s="78"/>
      <c r="N39" s="86" t="s">
        <v>51</v>
      </c>
      <c r="O39" s="87">
        <f ca="1">SUM(O34:O37)</f>
        <v>-1982.1688120849776</v>
      </c>
      <c r="V39" s="18"/>
      <c r="W39" s="31"/>
      <c r="X39" s="18"/>
      <c r="Y39" s="18"/>
      <c r="Z39" s="18"/>
      <c r="AA39" s="18"/>
    </row>
    <row r="40" spans="2:27" x14ac:dyDescent="0.25">
      <c r="V40" s="18"/>
      <c r="W40" s="34"/>
      <c r="X40" s="18"/>
      <c r="Y40" s="18"/>
      <c r="Z40" s="18"/>
      <c r="AA40" s="18"/>
    </row>
    <row r="41" spans="2:27" x14ac:dyDescent="0.25">
      <c r="V41" s="18"/>
      <c r="W41" s="32"/>
      <c r="X41" s="18"/>
      <c r="Y41" s="18"/>
      <c r="Z41" s="18"/>
      <c r="AA41" s="18"/>
    </row>
    <row r="42" spans="2:27" x14ac:dyDescent="0.25">
      <c r="L42" s="2"/>
      <c r="V42" s="18"/>
      <c r="W42" s="34"/>
      <c r="X42" s="18"/>
      <c r="Y42" s="18"/>
      <c r="Z42" s="18"/>
      <c r="AA42" s="18"/>
    </row>
    <row r="43" spans="2:27" x14ac:dyDescent="0.25">
      <c r="B43" s="18"/>
      <c r="C43" s="18"/>
      <c r="D43" s="18"/>
      <c r="E43" s="18"/>
      <c r="F43" s="18"/>
      <c r="G43" s="34"/>
      <c r="H43" s="18"/>
      <c r="I43" s="18"/>
      <c r="M43" s="38"/>
      <c r="V43" s="18"/>
      <c r="W43" s="30"/>
      <c r="X43" s="18"/>
      <c r="Y43" s="18"/>
      <c r="Z43" s="18"/>
      <c r="AA43" s="18"/>
    </row>
    <row r="44" spans="2:27" x14ac:dyDescent="0.25">
      <c r="B44" s="18"/>
      <c r="C44" s="18"/>
      <c r="D44" s="18"/>
      <c r="E44" s="18"/>
      <c r="F44" s="18"/>
      <c r="G44" s="31"/>
      <c r="H44" s="18"/>
      <c r="I44" s="32"/>
      <c r="M44" s="39"/>
      <c r="V44" s="18"/>
      <c r="W44" s="31"/>
      <c r="X44" s="18"/>
      <c r="Y44" s="18"/>
      <c r="Z44" s="18"/>
      <c r="AA44" s="18"/>
    </row>
    <row r="45" spans="2:27" x14ac:dyDescent="0.25">
      <c r="B45" s="18"/>
      <c r="C45" s="18"/>
      <c r="D45" s="18"/>
      <c r="E45" s="18"/>
      <c r="F45" s="18"/>
      <c r="G45" s="31"/>
      <c r="H45" s="18"/>
      <c r="I45" s="18"/>
      <c r="M45" s="38"/>
      <c r="V45" s="18"/>
      <c r="W45" s="36"/>
      <c r="X45" s="18"/>
      <c r="Y45" s="18"/>
      <c r="Z45" s="18"/>
      <c r="AA45" s="18"/>
    </row>
    <row r="46" spans="2:27" x14ac:dyDescent="0.25">
      <c r="B46" s="18"/>
      <c r="C46" s="18"/>
      <c r="D46" s="18"/>
      <c r="E46" s="18"/>
      <c r="F46" s="18"/>
      <c r="G46" s="32"/>
      <c r="H46" s="18"/>
      <c r="I46" s="18"/>
      <c r="M46" s="38"/>
      <c r="V46" s="18"/>
      <c r="W46" s="18"/>
      <c r="X46" s="18"/>
      <c r="Y46" s="18"/>
      <c r="Z46" s="18"/>
      <c r="AA46" s="18"/>
    </row>
    <row r="47" spans="2:27" x14ac:dyDescent="0.25">
      <c r="B47" s="18"/>
      <c r="C47" s="18"/>
      <c r="D47" s="18"/>
      <c r="E47" s="18"/>
      <c r="F47" s="18"/>
      <c r="G47" s="35"/>
      <c r="H47" s="18"/>
      <c r="I47" s="18"/>
      <c r="M47" s="38"/>
      <c r="V47" s="29"/>
      <c r="W47" s="29"/>
      <c r="X47" s="29"/>
      <c r="Y47" s="18"/>
      <c r="Z47" s="18"/>
      <c r="AA47" s="18"/>
    </row>
    <row r="48" spans="2:27" x14ac:dyDescent="0.25">
      <c r="B48" s="18"/>
      <c r="C48" s="18"/>
      <c r="D48" s="32"/>
      <c r="E48" s="18"/>
      <c r="F48" s="18"/>
      <c r="G48" s="32"/>
      <c r="H48" s="18"/>
      <c r="I48" s="18"/>
      <c r="V48" s="18"/>
      <c r="W48" s="31"/>
      <c r="X48" s="31"/>
      <c r="Y48" s="18"/>
      <c r="Z48" s="18"/>
      <c r="AA48" s="18"/>
    </row>
    <row r="49" spans="2:27" x14ac:dyDescent="0.25">
      <c r="B49" s="18"/>
      <c r="C49" s="18"/>
      <c r="D49" s="31"/>
      <c r="E49" s="18"/>
      <c r="F49" s="18"/>
      <c r="G49" s="32"/>
      <c r="H49" s="18"/>
      <c r="I49" s="18"/>
      <c r="V49" s="18"/>
      <c r="W49" s="31"/>
      <c r="X49" s="31"/>
      <c r="Y49" s="18"/>
      <c r="Z49" s="18"/>
      <c r="AA49" s="18"/>
    </row>
    <row r="50" spans="2:27" x14ac:dyDescent="0.25">
      <c r="B50" s="18"/>
      <c r="C50" s="18"/>
      <c r="D50" s="18"/>
      <c r="E50" s="18"/>
      <c r="F50" s="18"/>
      <c r="G50" s="31"/>
      <c r="H50" s="18"/>
      <c r="I50" s="18"/>
      <c r="V50" s="18"/>
      <c r="W50" s="31"/>
      <c r="X50" s="31"/>
      <c r="Y50" s="18"/>
      <c r="Z50" s="18"/>
      <c r="AA50" s="18"/>
    </row>
    <row r="51" spans="2:27" x14ac:dyDescent="0.25">
      <c r="B51" s="18"/>
      <c r="C51" s="18"/>
      <c r="D51" s="18"/>
      <c r="E51" s="18"/>
      <c r="F51" s="18"/>
      <c r="G51" s="32"/>
      <c r="H51" s="18"/>
      <c r="I51" s="18"/>
      <c r="V51" s="18"/>
      <c r="W51" s="34"/>
      <c r="X51" s="34"/>
      <c r="Y51" s="18"/>
      <c r="Z51" s="18"/>
      <c r="AA51" s="18"/>
    </row>
    <row r="52" spans="2:27" x14ac:dyDescent="0.25">
      <c r="B52" s="18"/>
      <c r="C52" s="18"/>
      <c r="D52" s="31"/>
      <c r="E52" s="18"/>
      <c r="F52" s="18"/>
      <c r="G52" s="18"/>
      <c r="H52" s="18"/>
      <c r="I52" s="18"/>
      <c r="V52" s="18"/>
      <c r="W52" s="33"/>
      <c r="X52" s="33"/>
      <c r="Y52" s="18"/>
      <c r="Z52" s="18"/>
      <c r="AA52" s="18"/>
    </row>
    <row r="53" spans="2:27" x14ac:dyDescent="0.25">
      <c r="B53" s="18"/>
      <c r="C53" s="18"/>
      <c r="D53" s="74"/>
      <c r="E53" s="18"/>
      <c r="F53" s="18"/>
      <c r="G53" s="18"/>
      <c r="H53" s="18"/>
      <c r="I53" s="18"/>
      <c r="V53" s="18"/>
      <c r="W53" s="32"/>
      <c r="X53" s="32"/>
      <c r="Y53" s="18"/>
      <c r="Z53" s="18"/>
      <c r="AA53" s="18"/>
    </row>
    <row r="54" spans="2:27" x14ac:dyDescent="0.25">
      <c r="B54" s="18"/>
      <c r="C54" s="18"/>
      <c r="D54" s="18"/>
      <c r="E54" s="18"/>
      <c r="F54" s="18"/>
      <c r="G54" s="18"/>
      <c r="H54" s="18"/>
      <c r="I54" s="18"/>
      <c r="V54" s="18"/>
      <c r="W54" s="32"/>
      <c r="X54" s="32"/>
      <c r="Y54" s="18"/>
      <c r="Z54" s="18"/>
      <c r="AA54" s="18"/>
    </row>
    <row r="55" spans="2:27" x14ac:dyDescent="0.25">
      <c r="B55" s="18"/>
      <c r="C55" s="32"/>
      <c r="D55" s="18"/>
      <c r="E55" s="18"/>
      <c r="F55" s="18"/>
      <c r="G55" s="18"/>
      <c r="H55" s="18"/>
      <c r="I55" s="18"/>
      <c r="V55" s="18"/>
      <c r="W55" s="32"/>
      <c r="X55" s="32"/>
      <c r="Y55" s="18"/>
      <c r="Z55" s="18"/>
      <c r="AA55" s="18"/>
    </row>
    <row r="56" spans="2:27" x14ac:dyDescent="0.25">
      <c r="B56" s="18"/>
      <c r="C56" s="18"/>
      <c r="D56" s="18"/>
      <c r="E56" s="18"/>
      <c r="F56" s="18"/>
      <c r="G56" s="18"/>
      <c r="H56" s="18"/>
      <c r="I56" s="18"/>
      <c r="V56" s="18"/>
      <c r="W56" s="31"/>
      <c r="X56" s="31"/>
      <c r="Y56" s="18"/>
      <c r="Z56" s="18"/>
      <c r="AA56" s="18"/>
    </row>
    <row r="57" spans="2:27" x14ac:dyDescent="0.25">
      <c r="B57" s="18"/>
      <c r="C57" s="18"/>
      <c r="D57" s="18"/>
      <c r="E57" s="18"/>
      <c r="F57" s="18"/>
      <c r="G57" s="18"/>
      <c r="H57" s="18"/>
      <c r="I57" s="18"/>
      <c r="V57" s="18"/>
      <c r="W57" s="18"/>
      <c r="X57" s="18"/>
      <c r="Y57" s="18"/>
      <c r="Z57" s="18"/>
      <c r="AA57" s="18"/>
    </row>
    <row r="58" spans="2:27" x14ac:dyDescent="0.25">
      <c r="B58" s="18"/>
      <c r="C58" s="18"/>
      <c r="D58" s="18"/>
      <c r="E58" s="18"/>
      <c r="F58" s="18"/>
      <c r="G58" s="75"/>
      <c r="H58" s="18"/>
      <c r="I58" s="18"/>
      <c r="V58" s="18"/>
      <c r="W58" s="18"/>
      <c r="X58" s="18"/>
      <c r="Y58" s="18"/>
      <c r="Z58" s="18"/>
      <c r="AA58" s="18"/>
    </row>
    <row r="59" spans="2:27" x14ac:dyDescent="0.25">
      <c r="B59" s="18"/>
      <c r="C59" s="18"/>
      <c r="D59" s="18"/>
      <c r="E59" s="18"/>
      <c r="F59" s="18"/>
      <c r="G59" s="18"/>
      <c r="H59" s="18"/>
      <c r="I59" s="18"/>
      <c r="V59" s="18"/>
      <c r="W59" s="18"/>
      <c r="X59" s="18"/>
      <c r="Y59" s="18"/>
      <c r="Z59" s="18"/>
      <c r="AA59" s="18"/>
    </row>
    <row r="60" spans="2:27" x14ac:dyDescent="0.25">
      <c r="B60" s="18"/>
      <c r="C60" s="31"/>
      <c r="D60" s="18"/>
      <c r="E60" s="18"/>
      <c r="F60" s="18"/>
      <c r="G60" s="18"/>
      <c r="H60" s="18"/>
      <c r="I60" s="18"/>
      <c r="V60" s="18"/>
      <c r="W60" s="18"/>
      <c r="X60" s="18"/>
      <c r="Y60" s="18"/>
      <c r="Z60" s="18"/>
      <c r="AA60" s="18"/>
    </row>
    <row r="61" spans="2:27" x14ac:dyDescent="0.25">
      <c r="B61" s="18"/>
      <c r="C61" s="18"/>
      <c r="D61" s="18"/>
      <c r="E61" s="18"/>
      <c r="F61" s="18"/>
      <c r="G61" s="18"/>
      <c r="H61" s="18"/>
      <c r="I61" s="18"/>
      <c r="V61" s="18"/>
      <c r="W61" s="18"/>
      <c r="X61" s="18"/>
      <c r="Y61" s="18"/>
      <c r="Z61" s="18"/>
      <c r="AA61" s="18"/>
    </row>
    <row r="62" spans="2:27" x14ac:dyDescent="0.25">
      <c r="B62" s="18"/>
      <c r="C62" s="18"/>
      <c r="D62" s="18"/>
      <c r="E62" s="18"/>
      <c r="F62" s="18"/>
      <c r="G62" s="18"/>
      <c r="H62" s="18"/>
      <c r="I62" s="18"/>
    </row>
    <row r="63" spans="2:27" x14ac:dyDescent="0.25">
      <c r="B63" s="18"/>
      <c r="C63" s="18"/>
      <c r="D63" s="18"/>
      <c r="E63" s="18"/>
      <c r="F63" s="18"/>
      <c r="G63" s="18"/>
      <c r="H63" s="18"/>
      <c r="I63" s="18"/>
    </row>
    <row r="64" spans="2:27" x14ac:dyDescent="0.25">
      <c r="B64" s="18"/>
      <c r="C64" s="18"/>
      <c r="D64" s="18"/>
      <c r="E64" s="18"/>
      <c r="F64" s="18"/>
      <c r="G64" s="18"/>
      <c r="H64" s="18"/>
      <c r="I64" s="18"/>
    </row>
    <row r="65" spans="2:9" x14ac:dyDescent="0.25">
      <c r="B65" s="18"/>
      <c r="C65" s="18"/>
      <c r="D65" s="18"/>
      <c r="E65" s="18"/>
      <c r="F65" s="18"/>
      <c r="G65" s="18"/>
      <c r="H65" s="18"/>
      <c r="I65" s="18"/>
    </row>
    <row r="66" spans="2:9" x14ac:dyDescent="0.25">
      <c r="B66" s="18"/>
      <c r="C66" s="18"/>
      <c r="D66" s="18"/>
      <c r="E66" s="18"/>
      <c r="F66" s="18"/>
      <c r="G66" s="18"/>
      <c r="H66" s="18"/>
      <c r="I66" s="18"/>
    </row>
    <row r="67" spans="2:9" x14ac:dyDescent="0.25">
      <c r="B67" s="18"/>
      <c r="C67" s="18"/>
      <c r="D67" s="18"/>
      <c r="E67" s="18"/>
      <c r="F67" s="18"/>
      <c r="G67" s="18"/>
      <c r="H67" s="18"/>
      <c r="I67" s="18"/>
    </row>
    <row r="68" spans="2:9" x14ac:dyDescent="0.25">
      <c r="B68" s="18"/>
      <c r="C68" s="18"/>
      <c r="D68" s="18"/>
      <c r="E68" s="18"/>
      <c r="F68" s="18"/>
      <c r="G68" s="18"/>
      <c r="H68" s="18"/>
      <c r="I68" s="18"/>
    </row>
  </sheetData>
  <pageMargins left="0.70866141732283472" right="0.70866141732283472" top="0.74803149606299213" bottom="0.74803149606299213" header="0.31496062992125984" footer="0.31496062992125984"/>
  <pageSetup paperSize="8" scale="70" orientation="landscape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14.28515625" bestFit="1" customWidth="1"/>
    <col min="4" max="4" width="14.140625" bestFit="1" customWidth="1"/>
    <col min="7" max="7" width="16.7109375" bestFit="1" customWidth="1"/>
    <col min="8" max="10" width="14.140625" bestFit="1" customWidth="1"/>
  </cols>
  <sheetData>
    <row r="1" spans="1:11" ht="15.75" x14ac:dyDescent="0.25">
      <c r="A1" s="130" t="s">
        <v>148</v>
      </c>
      <c r="B1" s="130"/>
      <c r="C1" s="130"/>
      <c r="D1" s="130"/>
      <c r="E1" s="130"/>
      <c r="F1" s="130"/>
    </row>
    <row r="3" spans="1:11" x14ac:dyDescent="0.25">
      <c r="A3" s="2" t="s">
        <v>151</v>
      </c>
      <c r="B3" s="110" t="s">
        <v>159</v>
      </c>
    </row>
    <row r="4" spans="1:11" x14ac:dyDescent="0.25">
      <c r="A4" s="2" t="s">
        <v>152</v>
      </c>
      <c r="B4" s="13">
        <f ca="1">PFD!F10+PFD!H10+PFD!J10+PFD!L10+PFD!N10</f>
        <v>120.00507709251583</v>
      </c>
      <c r="D4" s="13"/>
    </row>
    <row r="5" spans="1:11" x14ac:dyDescent="0.25">
      <c r="A5" s="2" t="s">
        <v>153</v>
      </c>
      <c r="B5" s="38">
        <f ca="1">PFD!O39</f>
        <v>-1982.1688120849776</v>
      </c>
    </row>
    <row r="7" spans="1:11" x14ac:dyDescent="0.25">
      <c r="A7" s="131" t="s">
        <v>150</v>
      </c>
      <c r="B7" s="132"/>
      <c r="C7" s="132"/>
      <c r="D7" s="132"/>
      <c r="E7" s="133"/>
      <c r="G7" s="131" t="s">
        <v>149</v>
      </c>
      <c r="H7" s="132"/>
      <c r="I7" s="132"/>
      <c r="J7" s="132"/>
      <c r="K7" s="133"/>
    </row>
    <row r="8" spans="1:11" x14ac:dyDescent="0.25">
      <c r="A8" s="111" t="s">
        <v>8</v>
      </c>
      <c r="B8" s="29" t="s">
        <v>61</v>
      </c>
      <c r="C8" s="29" t="s">
        <v>62</v>
      </c>
      <c r="D8" s="29" t="s">
        <v>63</v>
      </c>
      <c r="E8" s="112"/>
      <c r="G8" s="111" t="s">
        <v>8</v>
      </c>
      <c r="H8" s="29" t="s">
        <v>61</v>
      </c>
      <c r="I8" s="29" t="s">
        <v>62</v>
      </c>
      <c r="J8" s="29" t="s">
        <v>63</v>
      </c>
      <c r="K8" s="112"/>
    </row>
    <row r="9" spans="1:11" x14ac:dyDescent="0.25">
      <c r="A9" s="113" t="s">
        <v>57</v>
      </c>
      <c r="B9" s="114">
        <f>IF($B$3="Base",H9,IF($B$3="Sim",H33,MATLAB!B3))</f>
        <v>1</v>
      </c>
      <c r="C9" s="114">
        <f>IF($B$3="Base",I9,IF($B$3="Sim",I33,MATLAB!C3))</f>
        <v>1</v>
      </c>
      <c r="D9" s="114">
        <f>IF($B$3="Base",J9,IF($B$3="Sim",J33,MATLAB!D3))</f>
        <v>1</v>
      </c>
      <c r="E9" s="112"/>
      <c r="G9" s="113" t="s">
        <v>57</v>
      </c>
      <c r="H9" s="114">
        <v>1</v>
      </c>
      <c r="I9" s="114">
        <v>1</v>
      </c>
      <c r="J9" s="114">
        <v>1</v>
      </c>
      <c r="K9" s="112"/>
    </row>
    <row r="10" spans="1:11" x14ac:dyDescent="0.25">
      <c r="A10" s="115" t="s">
        <v>10</v>
      </c>
      <c r="B10" s="120">
        <f ca="1">IF($B$3="Base",H10,IF($B$3="Sim",H35,MATLAB!B4*$B$4/MATLAB!$F$4))</f>
        <v>60.002538546257917</v>
      </c>
      <c r="C10" s="120">
        <f ca="1">IF($B$3="Base",I10,IF($B$3="Sim",I35,MATLAB!C4*$B$4/MATLAB!$F$4))</f>
        <v>40.001692364171944</v>
      </c>
      <c r="D10" s="120">
        <f ca="1">IF($B$3="Base",J10,IF($B$3="Sim",J35,MATLAB!D4*$B$4/MATLAB!$F$4))</f>
        <v>20.000846182085972</v>
      </c>
      <c r="E10" s="112"/>
      <c r="G10" s="115" t="s">
        <v>10</v>
      </c>
      <c r="H10" s="32">
        <f ca="1">B4/3</f>
        <v>40.001692364171944</v>
      </c>
      <c r="I10" s="32">
        <f ca="1">B4/3</f>
        <v>40.001692364171944</v>
      </c>
      <c r="J10" s="32">
        <f ca="1">B4/3</f>
        <v>40.001692364171944</v>
      </c>
      <c r="K10" s="112"/>
    </row>
    <row r="11" spans="1:11" x14ac:dyDescent="0.25">
      <c r="A11" s="115" t="s">
        <v>26</v>
      </c>
      <c r="B11" s="121">
        <f ca="1">IF($B$3="Base",H11,IF($B$3="Sim",H36,MATLAB!B5*$B$4/MATLAB!$F$4))</f>
        <v>0.92573620856440864</v>
      </c>
      <c r="C11" s="121">
        <f ca="1">IF($B$3="Base",I11,IF($B$3="Sim",I36,MATLAB!C5*$B$4/MATLAB!$F$4))</f>
        <v>0.92573620856440864</v>
      </c>
      <c r="D11" s="121">
        <f ca="1">IF($B$3="Base",J11,IF($B$3="Sim",J36,MATLAB!D5*$B$4/MATLAB!$F$4))</f>
        <v>0.92573620856440864</v>
      </c>
      <c r="E11" s="112"/>
      <c r="G11" s="115" t="s">
        <v>26</v>
      </c>
      <c r="H11" s="98">
        <v>0.88541999999999998</v>
      </c>
      <c r="I11" s="98">
        <v>0.89966000000000002</v>
      </c>
      <c r="J11" s="98">
        <v>0.91435999999999995</v>
      </c>
      <c r="K11" s="112"/>
    </row>
    <row r="12" spans="1:11" x14ac:dyDescent="0.25">
      <c r="A12" s="115"/>
      <c r="B12" s="18"/>
      <c r="C12" s="18"/>
      <c r="D12" s="18"/>
      <c r="E12" s="112"/>
      <c r="G12" s="115"/>
      <c r="H12" s="18"/>
      <c r="I12" s="18"/>
      <c r="J12" s="18"/>
      <c r="K12" s="112"/>
    </row>
    <row r="13" spans="1:11" x14ac:dyDescent="0.25">
      <c r="A13" s="111" t="s">
        <v>133</v>
      </c>
      <c r="B13" s="29" t="s">
        <v>52</v>
      </c>
      <c r="C13" s="29" t="s">
        <v>53</v>
      </c>
      <c r="D13" s="18"/>
      <c r="E13" s="112"/>
      <c r="G13" s="111" t="s">
        <v>133</v>
      </c>
      <c r="H13" s="29" t="s">
        <v>52</v>
      </c>
      <c r="I13" s="29" t="s">
        <v>53</v>
      </c>
      <c r="J13" s="18"/>
      <c r="K13" s="112"/>
    </row>
    <row r="14" spans="1:11" x14ac:dyDescent="0.25">
      <c r="A14" s="113" t="s">
        <v>57</v>
      </c>
      <c r="B14" s="114">
        <f>IF($B$3="Base",H14,IF($B$3="Sim",H39,MATLAB!B8))</f>
        <v>1</v>
      </c>
      <c r="C14" s="114">
        <f>IF($B$3="Base",I14,IF($B$3="Sim",I39,MATLAB!C8))</f>
        <v>1</v>
      </c>
      <c r="D14" s="18"/>
      <c r="E14" s="112"/>
      <c r="G14" s="113" t="s">
        <v>57</v>
      </c>
      <c r="H14" s="114">
        <v>1</v>
      </c>
      <c r="I14" s="114">
        <v>1</v>
      </c>
      <c r="J14" s="18"/>
      <c r="K14" s="112"/>
    </row>
    <row r="15" spans="1:11" x14ac:dyDescent="0.25">
      <c r="A15" s="115" t="s">
        <v>139</v>
      </c>
      <c r="B15" s="116">
        <f>IF($B$3="Base",H15,IF($B$3="Sim",H40,MATLAB!B9))</f>
        <v>2000.0000199661499</v>
      </c>
      <c r="C15" s="116">
        <f>IF($B$3="Base",I15,IF($B$3="Sim",I40,MATLAB!C9))</f>
        <v>1493.8390786770001</v>
      </c>
      <c r="D15" s="18"/>
      <c r="E15" s="112"/>
      <c r="G15" s="115" t="s">
        <v>139</v>
      </c>
      <c r="H15" s="116">
        <v>1000</v>
      </c>
      <c r="I15" s="116">
        <v>500</v>
      </c>
      <c r="J15" s="18"/>
      <c r="K15" s="112"/>
    </row>
    <row r="16" spans="1:11" x14ac:dyDescent="0.25">
      <c r="A16" s="115" t="s">
        <v>26</v>
      </c>
      <c r="B16" s="121">
        <f>IF($B$3="Base",H16,IF($B$3="Sim",H41,MATLAB!B10))</f>
        <v>0.69643303545180502</v>
      </c>
      <c r="C16" s="121">
        <f>IF($B$3="Base",I16,IF($B$3="Sim",I41,MATLAB!C10))</f>
        <v>0.65922615765277204</v>
      </c>
      <c r="D16" s="18"/>
      <c r="E16" s="112"/>
      <c r="G16" s="115" t="s">
        <v>26</v>
      </c>
      <c r="H16" s="117">
        <v>0.59706999999999999</v>
      </c>
      <c r="I16" s="117">
        <v>0.46451999999999999</v>
      </c>
      <c r="J16" s="18"/>
      <c r="K16" s="112"/>
    </row>
    <row r="17" spans="1:11" x14ac:dyDescent="0.25">
      <c r="A17" s="115"/>
      <c r="B17" s="18"/>
      <c r="C17" s="18"/>
      <c r="D17" s="18"/>
      <c r="E17" s="112"/>
      <c r="G17" s="115"/>
      <c r="H17" s="18"/>
      <c r="I17" s="18"/>
      <c r="J17" s="18"/>
      <c r="K17" s="112"/>
    </row>
    <row r="18" spans="1:11" x14ac:dyDescent="0.25">
      <c r="A18" s="111" t="s">
        <v>135</v>
      </c>
      <c r="B18" s="29" t="s">
        <v>21</v>
      </c>
      <c r="C18" s="29" t="s">
        <v>22</v>
      </c>
      <c r="D18" s="18"/>
      <c r="E18" s="112"/>
      <c r="G18" s="111" t="s">
        <v>135</v>
      </c>
      <c r="H18" s="29" t="s">
        <v>21</v>
      </c>
      <c r="I18" s="29" t="s">
        <v>22</v>
      </c>
      <c r="J18" s="18"/>
      <c r="K18" s="112"/>
    </row>
    <row r="19" spans="1:11" x14ac:dyDescent="0.25">
      <c r="A19" s="115" t="s">
        <v>57</v>
      </c>
      <c r="B19" s="18">
        <f>IF($B$3="Base",H19,IF($B$3="Sim",H44,MATLAB!B13))</f>
        <v>1</v>
      </c>
      <c r="C19" s="18">
        <f>IF($B$3="Base",I19,IF($B$3="Sim",I44,MATLAB!C13))</f>
        <v>0</v>
      </c>
      <c r="D19" s="18"/>
      <c r="E19" s="112"/>
      <c r="G19" s="115" t="s">
        <v>57</v>
      </c>
      <c r="H19" s="18">
        <v>1</v>
      </c>
      <c r="I19" s="18">
        <v>0</v>
      </c>
      <c r="J19" s="18"/>
      <c r="K19" s="112"/>
    </row>
    <row r="20" spans="1:11" x14ac:dyDescent="0.25">
      <c r="A20" s="115" t="s">
        <v>6</v>
      </c>
      <c r="B20" s="36">
        <f>IF($B$3="Base",H20,MATLAB!B14)</f>
        <v>600</v>
      </c>
      <c r="C20" s="36">
        <f>IF($B$3="Base",I20,MATLAB!C14)</f>
        <v>200</v>
      </c>
      <c r="D20" s="18"/>
      <c r="E20" s="112"/>
      <c r="G20" s="115" t="s">
        <v>6</v>
      </c>
      <c r="H20" s="36">
        <v>600.00000000000102</v>
      </c>
      <c r="I20" s="36">
        <v>200</v>
      </c>
      <c r="J20" s="18"/>
      <c r="K20" s="112"/>
    </row>
    <row r="21" spans="1:11" x14ac:dyDescent="0.25">
      <c r="A21" s="115" t="s">
        <v>26</v>
      </c>
      <c r="B21" s="98">
        <f>IF($B$3="Base",H21,MATLAB!B15)</f>
        <v>0.6</v>
      </c>
      <c r="C21" s="98">
        <f>IF($B$3="Base",I21,MATLAB!C15)</f>
        <v>0.6</v>
      </c>
      <c r="D21" s="18"/>
      <c r="E21" s="112"/>
      <c r="G21" s="115" t="s">
        <v>26</v>
      </c>
      <c r="H21" s="98">
        <v>0.6</v>
      </c>
      <c r="I21" s="98">
        <v>0.6</v>
      </c>
      <c r="J21" s="18"/>
      <c r="K21" s="112"/>
    </row>
    <row r="22" spans="1:11" x14ac:dyDescent="0.25">
      <c r="A22" s="115"/>
      <c r="B22" s="18"/>
      <c r="C22" s="18"/>
      <c r="D22" s="18"/>
      <c r="E22" s="112"/>
      <c r="G22" s="115"/>
      <c r="H22" s="18"/>
      <c r="I22" s="18"/>
      <c r="J22" s="18"/>
      <c r="K22" s="112"/>
    </row>
    <row r="23" spans="1:11" x14ac:dyDescent="0.25">
      <c r="A23" s="111" t="s">
        <v>136</v>
      </c>
      <c r="B23" s="29" t="s">
        <v>137</v>
      </c>
      <c r="C23" s="29" t="s">
        <v>138</v>
      </c>
      <c r="D23" s="18"/>
      <c r="E23" s="112"/>
      <c r="G23" s="111" t="s">
        <v>136</v>
      </c>
      <c r="H23" s="29" t="s">
        <v>137</v>
      </c>
      <c r="I23" s="29" t="s">
        <v>138</v>
      </c>
      <c r="J23" s="18"/>
      <c r="K23" s="112"/>
    </row>
    <row r="24" spans="1:11" x14ac:dyDescent="0.25">
      <c r="A24" s="115" t="s">
        <v>19</v>
      </c>
      <c r="B24" s="36">
        <f>IF($B$3="Base",H24,IF($B$3="Sim",H49,MATLAB!B18))</f>
        <v>20000</v>
      </c>
      <c r="C24" s="36">
        <f>IF($B$3="Base",I24,IF($B$3="Sim",I49,MATLAB!C18))</f>
        <v>45000</v>
      </c>
      <c r="D24" s="18"/>
      <c r="E24" s="112"/>
      <c r="G24" s="115" t="s">
        <v>19</v>
      </c>
      <c r="H24" s="36">
        <v>10000</v>
      </c>
      <c r="I24" s="36">
        <v>15000</v>
      </c>
      <c r="J24" s="18"/>
      <c r="K24" s="112"/>
    </row>
    <row r="25" spans="1:11" x14ac:dyDescent="0.25">
      <c r="A25" s="115" t="s">
        <v>154</v>
      </c>
      <c r="B25" s="126">
        <f>IF($B$3="Base",H25,MATLAB!B19)</f>
        <v>0.8</v>
      </c>
      <c r="C25" s="126">
        <f>IF($B$3="Base",I25,MATLAB!C19)</f>
        <v>0.6</v>
      </c>
      <c r="D25" s="18"/>
      <c r="E25" s="112"/>
      <c r="G25" s="115" t="s">
        <v>154</v>
      </c>
      <c r="H25" s="126">
        <v>0.8</v>
      </c>
      <c r="I25" s="126">
        <v>0.6</v>
      </c>
      <c r="J25" s="18"/>
      <c r="K25" s="112"/>
    </row>
    <row r="26" spans="1:11" x14ac:dyDescent="0.25">
      <c r="A26" s="115"/>
      <c r="B26" s="18"/>
      <c r="C26" s="18"/>
      <c r="D26" s="18"/>
      <c r="E26" s="112"/>
      <c r="G26" s="115"/>
      <c r="H26" s="18"/>
      <c r="I26" s="18"/>
      <c r="J26" s="18"/>
      <c r="K26" s="112"/>
    </row>
    <row r="27" spans="1:11" x14ac:dyDescent="0.25">
      <c r="A27" s="111" t="s">
        <v>73</v>
      </c>
      <c r="B27" s="29" t="s">
        <v>72</v>
      </c>
      <c r="C27" s="29" t="s">
        <v>145</v>
      </c>
      <c r="D27" s="29" t="s">
        <v>146</v>
      </c>
      <c r="E27" s="118" t="s">
        <v>49</v>
      </c>
      <c r="G27" s="111" t="s">
        <v>73</v>
      </c>
      <c r="H27" s="29" t="s">
        <v>72</v>
      </c>
      <c r="I27" s="29" t="s">
        <v>145</v>
      </c>
      <c r="J27" s="29" t="s">
        <v>146</v>
      </c>
      <c r="K27" s="118" t="s">
        <v>49</v>
      </c>
    </row>
    <row r="28" spans="1:11" x14ac:dyDescent="0.25">
      <c r="A28" s="119" t="s">
        <v>147</v>
      </c>
      <c r="B28" s="122">
        <f>IF($B$3="Base",H28,IF($B$3="Sim",H53,MATLAB!B22))</f>
        <v>800</v>
      </c>
      <c r="C28" s="122">
        <f>IF($B$3="Base",I28,IF($B$3="Sim",I53,MATLAB!C22))</f>
        <v>1.5</v>
      </c>
      <c r="D28" s="122">
        <f>IF($B$3="Base",J28,IF($B$3="Sim",J53,MATLAB!D22))</f>
        <v>2.5</v>
      </c>
      <c r="E28" s="122">
        <f>IF($B$3="Base",K28,IF($B$3="Sim",K53,MATLAB!E22))</f>
        <v>0.8</v>
      </c>
      <c r="G28" s="119" t="s">
        <v>147</v>
      </c>
      <c r="H28" s="122">
        <v>800</v>
      </c>
      <c r="I28" s="122">
        <v>0.27</v>
      </c>
      <c r="J28" s="122">
        <v>0.2</v>
      </c>
      <c r="K28" s="123">
        <v>0.8</v>
      </c>
    </row>
    <row r="31" spans="1:11" x14ac:dyDescent="0.25">
      <c r="G31" s="131" t="s">
        <v>158</v>
      </c>
      <c r="H31" s="132"/>
      <c r="I31" s="132"/>
      <c r="J31" s="132"/>
      <c r="K31" s="133"/>
    </row>
    <row r="32" spans="1:11" x14ac:dyDescent="0.25">
      <c r="G32" s="111" t="s">
        <v>8</v>
      </c>
      <c r="H32" s="29" t="s">
        <v>61</v>
      </c>
      <c r="I32" s="29" t="s">
        <v>62</v>
      </c>
      <c r="J32" s="29" t="s">
        <v>63</v>
      </c>
      <c r="K32" s="112"/>
    </row>
    <row r="33" spans="7:13" x14ac:dyDescent="0.25">
      <c r="G33" s="113" t="s">
        <v>57</v>
      </c>
      <c r="H33" s="114">
        <v>1</v>
      </c>
      <c r="I33" s="114">
        <v>1</v>
      </c>
      <c r="J33" s="114">
        <v>1</v>
      </c>
      <c r="K33" s="112"/>
      <c r="M33" t="s">
        <v>140</v>
      </c>
    </row>
    <row r="34" spans="7:13" x14ac:dyDescent="0.25">
      <c r="G34" s="113" t="s">
        <v>157</v>
      </c>
      <c r="H34" s="114">
        <v>0.53065903986052876</v>
      </c>
      <c r="I34" s="114">
        <v>0.28796442746218398</v>
      </c>
      <c r="J34" s="114">
        <v>0.18137653243284232</v>
      </c>
      <c r="K34" s="112"/>
      <c r="M34">
        <f>SUM(H34:J34)</f>
        <v>0.99999999975555509</v>
      </c>
    </row>
    <row r="35" spans="7:13" x14ac:dyDescent="0.25">
      <c r="G35" s="115" t="s">
        <v>10</v>
      </c>
      <c r="H35" s="32">
        <f ca="1">B4*H34</f>
        <v>63.681778988303186</v>
      </c>
      <c r="I35" s="32">
        <f ca="1">B4*I34</f>
        <v>34.557193317501572</v>
      </c>
      <c r="J35" s="32">
        <f ca="1">B4*J34</f>
        <v>21.766104757376443</v>
      </c>
      <c r="K35" s="112"/>
    </row>
    <row r="36" spans="7:13" x14ac:dyDescent="0.25">
      <c r="G36" s="115" t="s">
        <v>26</v>
      </c>
      <c r="H36" s="98">
        <v>0.89295336333998021</v>
      </c>
      <c r="I36" s="98">
        <v>0.88499038759491899</v>
      </c>
      <c r="J36" s="98">
        <v>0.893824589188142</v>
      </c>
      <c r="K36" s="112"/>
    </row>
    <row r="37" spans="7:13" x14ac:dyDescent="0.25">
      <c r="G37" s="115"/>
      <c r="H37" s="18"/>
      <c r="I37" s="18"/>
      <c r="J37" s="18"/>
      <c r="K37" s="112"/>
    </row>
    <row r="38" spans="7:13" x14ac:dyDescent="0.25">
      <c r="G38" s="111" t="s">
        <v>133</v>
      </c>
      <c r="H38" s="29" t="s">
        <v>52</v>
      </c>
      <c r="I38" s="29" t="s">
        <v>53</v>
      </c>
      <c r="J38" s="18"/>
      <c r="K38" s="112"/>
    </row>
    <row r="39" spans="7:13" x14ac:dyDescent="0.25">
      <c r="G39" s="113" t="s">
        <v>57</v>
      </c>
      <c r="H39" s="114">
        <v>1</v>
      </c>
      <c r="I39" s="114">
        <v>0</v>
      </c>
      <c r="J39" s="18"/>
      <c r="K39" s="112"/>
    </row>
    <row r="40" spans="7:13" x14ac:dyDescent="0.25">
      <c r="G40" s="115" t="s">
        <v>139</v>
      </c>
      <c r="H40" s="116">
        <v>595.096844748845</v>
      </c>
      <c r="I40" s="116">
        <v>0</v>
      </c>
      <c r="J40" s="18"/>
      <c r="K40" s="112"/>
    </row>
    <row r="41" spans="7:13" x14ac:dyDescent="0.25">
      <c r="G41" s="115" t="s">
        <v>26</v>
      </c>
      <c r="H41" s="117">
        <v>0.49999761352052036</v>
      </c>
      <c r="I41" s="117">
        <v>1E-8</v>
      </c>
      <c r="J41" s="18"/>
      <c r="K41" s="112"/>
    </row>
    <row r="42" spans="7:13" x14ac:dyDescent="0.25">
      <c r="G42" s="115"/>
      <c r="H42" s="18"/>
      <c r="I42" s="18"/>
      <c r="J42" s="18"/>
      <c r="K42" s="112"/>
    </row>
    <row r="43" spans="7:13" x14ac:dyDescent="0.25">
      <c r="G43" s="111" t="s">
        <v>135</v>
      </c>
      <c r="H43" s="29" t="s">
        <v>21</v>
      </c>
      <c r="I43" s="29" t="s">
        <v>22</v>
      </c>
      <c r="J43" s="18"/>
      <c r="K43" s="112"/>
    </row>
    <row r="44" spans="7:13" x14ac:dyDescent="0.25">
      <c r="G44" s="115" t="s">
        <v>57</v>
      </c>
      <c r="H44" s="18">
        <v>1</v>
      </c>
      <c r="I44" s="18">
        <v>0</v>
      </c>
      <c r="J44" s="18"/>
      <c r="K44" s="112"/>
    </row>
    <row r="45" spans="7:13" x14ac:dyDescent="0.25">
      <c r="G45" s="115" t="s">
        <v>6</v>
      </c>
      <c r="H45" s="36">
        <v>600.00000000000102</v>
      </c>
      <c r="I45" s="36">
        <v>200</v>
      </c>
      <c r="J45" s="18"/>
      <c r="K45" s="112"/>
    </row>
    <row r="46" spans="7:13" x14ac:dyDescent="0.25">
      <c r="G46" s="115" t="s">
        <v>26</v>
      </c>
      <c r="H46" s="98">
        <v>0.6</v>
      </c>
      <c r="I46" s="98">
        <v>0.6</v>
      </c>
      <c r="J46" s="18"/>
      <c r="K46" s="112"/>
    </row>
    <row r="47" spans="7:13" x14ac:dyDescent="0.25">
      <c r="G47" s="115"/>
      <c r="H47" s="18"/>
      <c r="I47" s="18"/>
      <c r="J47" s="18"/>
      <c r="K47" s="112"/>
    </row>
    <row r="48" spans="7:13" x14ac:dyDescent="0.25">
      <c r="G48" s="111" t="s">
        <v>136</v>
      </c>
      <c r="H48" s="29" t="s">
        <v>137</v>
      </c>
      <c r="I48" s="29" t="s">
        <v>138</v>
      </c>
      <c r="J48" s="18"/>
      <c r="K48" s="112"/>
    </row>
    <row r="49" spans="7:11" x14ac:dyDescent="0.25">
      <c r="G49" s="115" t="s">
        <v>19</v>
      </c>
      <c r="H49" s="36">
        <v>10000</v>
      </c>
      <c r="I49" s="36">
        <v>15000</v>
      </c>
      <c r="J49" s="18"/>
      <c r="K49" s="112"/>
    </row>
    <row r="50" spans="7:11" x14ac:dyDescent="0.25">
      <c r="G50" s="115" t="s">
        <v>154</v>
      </c>
      <c r="H50" s="126">
        <v>0.8</v>
      </c>
      <c r="I50" s="126">
        <v>0.6</v>
      </c>
      <c r="J50" s="18"/>
      <c r="K50" s="112"/>
    </row>
    <row r="51" spans="7:11" x14ac:dyDescent="0.25">
      <c r="G51" s="115"/>
      <c r="H51" s="18"/>
      <c r="I51" s="18"/>
      <c r="J51" s="18"/>
      <c r="K51" s="112"/>
    </row>
    <row r="52" spans="7:11" x14ac:dyDescent="0.25">
      <c r="G52" s="111" t="s">
        <v>73</v>
      </c>
      <c r="H52" s="29" t="s">
        <v>72</v>
      </c>
      <c r="I52" s="29" t="s">
        <v>145</v>
      </c>
      <c r="J52" s="29" t="s">
        <v>146</v>
      </c>
      <c r="K52" s="118" t="s">
        <v>49</v>
      </c>
    </row>
    <row r="53" spans="7:11" x14ac:dyDescent="0.25">
      <c r="G53" s="119" t="s">
        <v>147</v>
      </c>
      <c r="H53" s="122">
        <v>800</v>
      </c>
      <c r="I53" s="122">
        <v>0.27</v>
      </c>
      <c r="J53" s="122">
        <v>0.2</v>
      </c>
      <c r="K53" s="123">
        <v>0.8</v>
      </c>
    </row>
  </sheetData>
  <mergeCells count="4">
    <mergeCell ref="A1:F1"/>
    <mergeCell ref="A7:E7"/>
    <mergeCell ref="G7:K7"/>
    <mergeCell ref="G31:K31"/>
  </mergeCells>
  <dataValidations count="1">
    <dataValidation type="list" allowBlank="1" showInputMessage="1" showErrorMessage="1" sqref="B3">
      <formula1>"Base,MATLAB,Sim"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1" sqref="F11"/>
    </sheetView>
  </sheetViews>
  <sheetFormatPr defaultRowHeight="15" x14ac:dyDescent="0.25"/>
  <cols>
    <col min="1" max="1" width="16.5703125" bestFit="1" customWidth="1"/>
    <col min="2" max="2" width="14.140625" bestFit="1" customWidth="1"/>
    <col min="3" max="3" width="14.28515625" customWidth="1"/>
    <col min="4" max="4" width="14" customWidth="1"/>
    <col min="5" max="5" width="12.28515625" customWidth="1"/>
    <col min="6" max="6" width="15.140625" bestFit="1" customWidth="1"/>
    <col min="7" max="7" width="12" bestFit="1" customWidth="1"/>
  </cols>
  <sheetData>
    <row r="1" spans="1:7" x14ac:dyDescent="0.25">
      <c r="A1" s="134" t="s">
        <v>134</v>
      </c>
      <c r="B1" s="134"/>
      <c r="C1" s="134"/>
      <c r="D1" s="134"/>
    </row>
    <row r="2" spans="1:7" x14ac:dyDescent="0.25">
      <c r="A2" s="2" t="s">
        <v>8</v>
      </c>
      <c r="B2" s="2" t="s">
        <v>61</v>
      </c>
      <c r="C2" s="2" t="s">
        <v>62</v>
      </c>
      <c r="D2" s="2" t="s">
        <v>63</v>
      </c>
    </row>
    <row r="3" spans="1:7" x14ac:dyDescent="0.25">
      <c r="A3" s="88" t="s">
        <v>57</v>
      </c>
      <c r="B3" s="88">
        <v>1</v>
      </c>
      <c r="C3" s="88">
        <v>1</v>
      </c>
      <c r="D3" s="88">
        <v>1</v>
      </c>
      <c r="F3" s="2" t="s">
        <v>140</v>
      </c>
      <c r="G3" s="2" t="s">
        <v>141</v>
      </c>
    </row>
    <row r="4" spans="1:7" x14ac:dyDescent="0.25">
      <c r="A4" t="s">
        <v>10</v>
      </c>
      <c r="B4" s="13">
        <v>60</v>
      </c>
      <c r="C4" s="13">
        <v>40</v>
      </c>
      <c r="D4" s="13">
        <v>20</v>
      </c>
      <c r="F4" s="13">
        <f>SUM(B4:D4)</f>
        <v>120</v>
      </c>
      <c r="G4" s="92">
        <f ca="1">ABS(F4-Producers!B3)/ABS(MATLAB!F4)</f>
        <v>4.2309104298610124E-5</v>
      </c>
    </row>
    <row r="5" spans="1:7" x14ac:dyDescent="0.25">
      <c r="A5" t="s">
        <v>26</v>
      </c>
      <c r="B5" s="90">
        <v>0.92569704315166101</v>
      </c>
      <c r="C5" s="90">
        <v>0.92569704315166101</v>
      </c>
      <c r="D5" s="90">
        <v>0.92569704315166101</v>
      </c>
    </row>
    <row r="7" spans="1:7" x14ac:dyDescent="0.25">
      <c r="A7" s="2" t="s">
        <v>133</v>
      </c>
      <c r="B7" s="2" t="s">
        <v>52</v>
      </c>
      <c r="C7" s="2" t="s">
        <v>53</v>
      </c>
    </row>
    <row r="8" spans="1:7" x14ac:dyDescent="0.25">
      <c r="A8" s="88" t="s">
        <v>57</v>
      </c>
      <c r="B8" s="88">
        <v>1</v>
      </c>
      <c r="C8" s="88">
        <v>1</v>
      </c>
    </row>
    <row r="9" spans="1:7" x14ac:dyDescent="0.25">
      <c r="A9" t="s">
        <v>139</v>
      </c>
      <c r="B9" s="91">
        <v>2000.0000199661499</v>
      </c>
      <c r="C9" s="91">
        <v>1493.8390786770001</v>
      </c>
    </row>
    <row r="10" spans="1:7" x14ac:dyDescent="0.25">
      <c r="A10" t="s">
        <v>26</v>
      </c>
      <c r="B10" s="109">
        <v>0.69643303545180502</v>
      </c>
      <c r="C10" s="109">
        <v>0.65922615765277204</v>
      </c>
    </row>
    <row r="12" spans="1:7" x14ac:dyDescent="0.25">
      <c r="A12" s="2" t="s">
        <v>135</v>
      </c>
      <c r="B12" s="2" t="s">
        <v>21</v>
      </c>
      <c r="C12" s="2" t="s">
        <v>22</v>
      </c>
    </row>
    <row r="13" spans="1:7" x14ac:dyDescent="0.25">
      <c r="A13" t="s">
        <v>57</v>
      </c>
      <c r="B13">
        <v>1</v>
      </c>
      <c r="C13">
        <v>0</v>
      </c>
    </row>
    <row r="14" spans="1:7" x14ac:dyDescent="0.25">
      <c r="A14" t="s">
        <v>6</v>
      </c>
      <c r="B14" s="17">
        <v>600</v>
      </c>
      <c r="C14" s="17">
        <v>200</v>
      </c>
    </row>
    <row r="15" spans="1:7" x14ac:dyDescent="0.25">
      <c r="A15" t="s">
        <v>26</v>
      </c>
      <c r="B15" s="90">
        <v>0.6</v>
      </c>
      <c r="C15" s="90">
        <v>0.6</v>
      </c>
    </row>
    <row r="17" spans="1:5" x14ac:dyDescent="0.25">
      <c r="A17" s="2" t="s">
        <v>136</v>
      </c>
      <c r="B17" s="2" t="s">
        <v>137</v>
      </c>
      <c r="C17" s="2" t="s">
        <v>138</v>
      </c>
    </row>
    <row r="18" spans="1:5" x14ac:dyDescent="0.25">
      <c r="A18" t="s">
        <v>19</v>
      </c>
      <c r="B18" s="17">
        <v>20000</v>
      </c>
      <c r="C18" s="17">
        <v>45000</v>
      </c>
    </row>
    <row r="19" spans="1:5" x14ac:dyDescent="0.25">
      <c r="A19" t="s">
        <v>154</v>
      </c>
      <c r="B19" s="125">
        <v>0.8</v>
      </c>
      <c r="C19" s="125">
        <v>0.6</v>
      </c>
    </row>
    <row r="21" spans="1:5" x14ac:dyDescent="0.25">
      <c r="A21" s="2" t="s">
        <v>73</v>
      </c>
      <c r="B21" s="2" t="s">
        <v>72</v>
      </c>
      <c r="C21" s="2" t="s">
        <v>155</v>
      </c>
      <c r="D21" s="2" t="s">
        <v>156</v>
      </c>
      <c r="E21" s="2" t="s">
        <v>49</v>
      </c>
    </row>
    <row r="22" spans="1:5" x14ac:dyDescent="0.25">
      <c r="A22" t="s">
        <v>147</v>
      </c>
      <c r="B22">
        <v>800</v>
      </c>
      <c r="C22">
        <v>1.5</v>
      </c>
      <c r="D22">
        <v>2.5</v>
      </c>
      <c r="E22">
        <v>0.8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4"/>
  <sheetViews>
    <sheetView tabSelected="1" workbookViewId="0">
      <selection activeCell="I13" sqref="I13"/>
    </sheetView>
  </sheetViews>
  <sheetFormatPr defaultRowHeight="15" x14ac:dyDescent="0.25"/>
  <cols>
    <col min="1" max="1" width="20.28515625" bestFit="1" customWidth="1"/>
    <col min="2" max="2" width="16.140625" bestFit="1" customWidth="1"/>
    <col min="3" max="4" width="15.140625" bestFit="1" customWidth="1"/>
    <col min="6" max="6" width="15.140625" bestFit="1" customWidth="1"/>
    <col min="8" max="8" width="8.85546875" customWidth="1"/>
    <col min="9" max="9" width="9.140625" customWidth="1"/>
    <col min="12" max="12" width="10.5703125" bestFit="1" customWidth="1"/>
  </cols>
  <sheetData>
    <row r="1" spans="1:22" ht="15.75" x14ac:dyDescent="0.25">
      <c r="A1" s="130" t="s">
        <v>55</v>
      </c>
      <c r="B1" s="130"/>
      <c r="C1" s="130"/>
      <c r="D1" s="130"/>
    </row>
    <row r="2" spans="1:22" x14ac:dyDescent="0.25"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t="s">
        <v>56</v>
      </c>
      <c r="B3" s="13">
        <f ca="1">PFD!F10+PFD!H10+PFD!J10+PFD!L10+PFD!N10</f>
        <v>120.00507709251583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5"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t="s">
        <v>8</v>
      </c>
      <c r="B5" s="2" t="s">
        <v>61</v>
      </c>
      <c r="C5" s="2" t="s">
        <v>62</v>
      </c>
      <c r="D5" s="2" t="s">
        <v>63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A6" t="s">
        <v>57</v>
      </c>
      <c r="B6" s="28">
        <f>Control!B9</f>
        <v>1</v>
      </c>
      <c r="C6" s="28">
        <f>Control!C9</f>
        <v>1</v>
      </c>
      <c r="D6" s="28">
        <f>Control!D9</f>
        <v>1</v>
      </c>
      <c r="H6" s="18"/>
      <c r="I6" s="31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t="s">
        <v>58</v>
      </c>
      <c r="B7" s="76">
        <v>20</v>
      </c>
      <c r="C7" s="13">
        <v>10</v>
      </c>
      <c r="D7" s="13">
        <v>5</v>
      </c>
      <c r="H7" s="18"/>
      <c r="I7" s="32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t="s">
        <v>59</v>
      </c>
      <c r="B8" s="13">
        <v>60</v>
      </c>
      <c r="C8" s="13">
        <v>40</v>
      </c>
      <c r="D8" s="13">
        <v>20</v>
      </c>
      <c r="F8" t="s">
        <v>140</v>
      </c>
      <c r="H8" s="18"/>
      <c r="I8" s="33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t="s">
        <v>60</v>
      </c>
      <c r="B9" s="106">
        <f ca="1">Control!B10</f>
        <v>60.002538546257917</v>
      </c>
      <c r="C9" s="106">
        <f ca="1">Control!C10</f>
        <v>40.001692364171944</v>
      </c>
      <c r="D9" s="106">
        <f ca="1">Control!D10</f>
        <v>20.000846182085972</v>
      </c>
      <c r="F9" s="13">
        <f ca="1">SUM(B9:D9)</f>
        <v>120.00507709251585</v>
      </c>
      <c r="H9" s="18"/>
      <c r="I9" s="34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H10" s="18"/>
      <c r="I10" s="3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3" t="s">
        <v>9</v>
      </c>
      <c r="B11" s="6">
        <f ca="1">PlantEquip!G19</f>
        <v>511.57704950845476</v>
      </c>
      <c r="C11" s="6">
        <f ca="1">PlantEquip!G19</f>
        <v>511.57704950845476</v>
      </c>
      <c r="D11" s="6">
        <f ca="1">PlantEquip!G19</f>
        <v>511.57704950845476</v>
      </c>
      <c r="H11" s="18"/>
      <c r="I11" s="35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3" t="s">
        <v>10</v>
      </c>
      <c r="B12" s="7">
        <f ca="1">B9</f>
        <v>60.002538546257917</v>
      </c>
      <c r="C12" s="7">
        <f ca="1">C9</f>
        <v>40.001692364171944</v>
      </c>
      <c r="D12" s="7">
        <f ca="1">D9</f>
        <v>20.000846182085972</v>
      </c>
      <c r="H12" s="18"/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3" t="s">
        <v>11</v>
      </c>
      <c r="B13" s="105">
        <v>400</v>
      </c>
      <c r="C13" s="105">
        <v>400</v>
      </c>
      <c r="D13" s="105">
        <v>400</v>
      </c>
      <c r="H13" s="18"/>
      <c r="I13" s="3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3" t="s">
        <v>12</v>
      </c>
      <c r="B14" s="9">
        <f>PFD!Q8</f>
        <v>40</v>
      </c>
      <c r="C14" s="9">
        <f>PFD!Q8</f>
        <v>40</v>
      </c>
      <c r="D14" s="9">
        <f>PFD!Q8</f>
        <v>40</v>
      </c>
      <c r="H14" s="18"/>
      <c r="I14" s="33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5">
      <c r="A15" s="3" t="s">
        <v>13</v>
      </c>
      <c r="B15" s="104">
        <v>0.01</v>
      </c>
      <c r="C15" s="104">
        <v>0.01</v>
      </c>
      <c r="D15" s="104">
        <v>0.01</v>
      </c>
      <c r="H15" s="18"/>
      <c r="I15" s="3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5.75" thickBot="1" x14ac:dyDescent="0.3">
      <c r="A16" s="5" t="s">
        <v>14</v>
      </c>
      <c r="B16" s="73">
        <f ca="1">Control!B11</f>
        <v>0.92573620856440864</v>
      </c>
      <c r="C16" s="73">
        <f ca="1">Control!C11</f>
        <v>0.92573620856440864</v>
      </c>
      <c r="D16" s="73">
        <f ca="1">Control!D11</f>
        <v>0.92573620856440864</v>
      </c>
      <c r="H16" s="18"/>
      <c r="I16" s="35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4" t="s">
        <v>15</v>
      </c>
      <c r="B17" s="11">
        <f t="array" aca="1" ref="B17:B21" ca="1">_xll.Boiler(B11,B12,B13,B14,B15,B16,"stmH,bfwM,bdM,bdH,duty")</f>
        <v>3214.3735088712319</v>
      </c>
      <c r="C17" s="11">
        <f t="array" aca="1" ref="C17:C21" ca="1">_xll.Boiler(C11,C12,C13,C14,C15,C16,"stmH,bfwM,bdM,bdH,duty")</f>
        <v>3214.3735088712319</v>
      </c>
      <c r="D17" s="11">
        <f t="array" aca="1" ref="D17:D21" ca="1">_xll.Boiler(D11,D12,D13,D14,D15,D16,"stmH,bfwM,bdM,bdH,duty")</f>
        <v>3214.3735088712319</v>
      </c>
      <c r="H17" s="18"/>
      <c r="I17" s="3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3" t="s">
        <v>16</v>
      </c>
      <c r="B18" s="7">
        <f ca="1"/>
        <v>60.602563931720489</v>
      </c>
      <c r="C18" s="7">
        <f ca="1"/>
        <v>40.401709287813667</v>
      </c>
      <c r="D18" s="7">
        <f ca="1"/>
        <v>20.200854643906833</v>
      </c>
      <c r="H18" s="18"/>
      <c r="I18" s="32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5">
      <c r="A19" s="3" t="s">
        <v>17</v>
      </c>
      <c r="B19" s="7">
        <f ca="1"/>
        <v>0.60002538546257911</v>
      </c>
      <c r="C19" s="7">
        <f ca="1"/>
        <v>0.40001692364171942</v>
      </c>
      <c r="D19" s="7">
        <f ca="1"/>
        <v>0.20000846182085971</v>
      </c>
      <c r="H19" s="18"/>
      <c r="I19" s="32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 s="3" t="s">
        <v>18</v>
      </c>
      <c r="B20" s="6">
        <f ca="1"/>
        <v>1087.4260238647876</v>
      </c>
      <c r="C20" s="6">
        <f ca="1"/>
        <v>1087.4260238647876</v>
      </c>
      <c r="D20" s="6">
        <f ca="1"/>
        <v>1087.4260238647876</v>
      </c>
      <c r="H20" s="18"/>
      <c r="I20" s="3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25">
      <c r="A21" s="23" t="s">
        <v>19</v>
      </c>
      <c r="B21" s="96">
        <f ca="1"/>
        <v>48766.043727882759</v>
      </c>
      <c r="C21" s="12">
        <f ca="1"/>
        <v>32510.695818588509</v>
      </c>
      <c r="D21" s="12">
        <f ca="1"/>
        <v>16255.347909294254</v>
      </c>
      <c r="H21" s="18"/>
      <c r="I21" s="32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25">
      <c r="A22" s="37" t="s">
        <v>143</v>
      </c>
      <c r="B22" s="32">
        <f ca="1">(B21)/($B$28)*3.6*B6</f>
        <v>3.5091427744127079</v>
      </c>
      <c r="C22" s="97">
        <f ca="1">(C21)/($B$28)*3.6*C6</f>
        <v>2.3394285162751385</v>
      </c>
      <c r="D22" s="32">
        <f ca="1">(D21)/($B$28)*3.6*D6</f>
        <v>1.1697142581375692</v>
      </c>
      <c r="H22" s="18"/>
      <c r="I22" s="32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25">
      <c r="A23" s="18"/>
      <c r="B23" s="36"/>
      <c r="C23" s="36"/>
      <c r="D23" s="36"/>
      <c r="H23" s="18"/>
      <c r="I23" s="32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H24" s="18"/>
      <c r="I24" s="9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x14ac:dyDescent="0.25">
      <c r="A25" t="s">
        <v>129</v>
      </c>
      <c r="B25" s="13">
        <f ca="1">SUM(B12:D12)</f>
        <v>120.00507709251585</v>
      </c>
      <c r="H25" s="18"/>
      <c r="I25" s="9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t="s">
        <v>69</v>
      </c>
      <c r="B26" s="13">
        <f ca="1">SUM(B18:D18)</f>
        <v>121.20512786344099</v>
      </c>
      <c r="H26" s="18"/>
      <c r="I26" s="3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5">
      <c r="A27" t="s">
        <v>70</v>
      </c>
      <c r="B27" s="17">
        <f ca="1">SUM(B21:D21)</f>
        <v>97532.087455765533</v>
      </c>
      <c r="H27" s="18"/>
      <c r="I27" s="3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5">
      <c r="A28" t="s">
        <v>144</v>
      </c>
      <c r="B28" s="1">
        <f>_xll.NHVm(Compositions!C3)</f>
        <v>50028.673298925372</v>
      </c>
      <c r="H28" s="18"/>
      <c r="I28" s="3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H29" s="18"/>
      <c r="I29" s="3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H30" s="18"/>
      <c r="I30" s="3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H31" s="18"/>
      <c r="I31" s="99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H32" s="18"/>
      <c r="I32" s="100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2:22" x14ac:dyDescent="0.25">
      <c r="H33" s="18"/>
      <c r="I33" s="35"/>
      <c r="J33" s="18"/>
      <c r="K33" s="18"/>
      <c r="L33" s="93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2:22" x14ac:dyDescent="0.25">
      <c r="H34" s="18"/>
      <c r="I34" s="35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2:22" x14ac:dyDescent="0.25">
      <c r="B35" s="39"/>
      <c r="H35" s="18"/>
      <c r="I35" s="35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2:22" x14ac:dyDescent="0.25">
      <c r="H36" s="18"/>
      <c r="I36" s="3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2:22" x14ac:dyDescent="0.25">
      <c r="H37" s="18"/>
      <c r="I37" s="3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2:22" x14ac:dyDescent="0.25">
      <c r="H38" s="18"/>
      <c r="I38" s="94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2:22" x14ac:dyDescent="0.25"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2:22" x14ac:dyDescent="0.25"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2:22" x14ac:dyDescent="0.25"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2:22" x14ac:dyDescent="0.25"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2:22" x14ac:dyDescent="0.25"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2:22" x14ac:dyDescent="0.25"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3"/>
  <sheetViews>
    <sheetView workbookViewId="0">
      <selection activeCell="C13" sqref="C13"/>
    </sheetView>
  </sheetViews>
  <sheetFormatPr defaultRowHeight="15" x14ac:dyDescent="0.25"/>
  <cols>
    <col min="2" max="2" width="16.42578125" bestFit="1" customWidth="1"/>
    <col min="3" max="6" width="14.140625" bestFit="1" customWidth="1"/>
  </cols>
  <sheetData>
    <row r="1" spans="1:6" ht="15.75" x14ac:dyDescent="0.25">
      <c r="A1" s="130" t="s">
        <v>20</v>
      </c>
      <c r="B1" s="130"/>
      <c r="C1" s="130"/>
      <c r="D1" s="130"/>
      <c r="E1" s="130"/>
    </row>
    <row r="5" spans="1:6" x14ac:dyDescent="0.25">
      <c r="B5" t="s">
        <v>20</v>
      </c>
      <c r="C5" s="2" t="s">
        <v>52</v>
      </c>
      <c r="D5" s="2" t="s">
        <v>53</v>
      </c>
      <c r="E5" s="2" t="s">
        <v>21</v>
      </c>
      <c r="F5" s="2" t="s">
        <v>22</v>
      </c>
    </row>
    <row r="6" spans="1:6" x14ac:dyDescent="0.25">
      <c r="B6" t="s">
        <v>57</v>
      </c>
      <c r="C6" s="103">
        <f>Control!B14</f>
        <v>1</v>
      </c>
      <c r="D6" s="103">
        <f>Control!C14</f>
        <v>1</v>
      </c>
      <c r="E6" s="103">
        <f>Control!B19</f>
        <v>1</v>
      </c>
      <c r="F6" s="103">
        <f>Control!C19</f>
        <v>0</v>
      </c>
    </row>
    <row r="7" spans="1:6" x14ac:dyDescent="0.25">
      <c r="B7" t="s">
        <v>71</v>
      </c>
      <c r="C7" s="17">
        <v>2000</v>
      </c>
      <c r="D7" s="17">
        <v>2000</v>
      </c>
      <c r="E7" s="17">
        <f>Control!B20</f>
        <v>600</v>
      </c>
      <c r="F7" s="17">
        <f>Control!C20</f>
        <v>200</v>
      </c>
    </row>
    <row r="9" spans="1:6" x14ac:dyDescent="0.25">
      <c r="B9" s="3" t="s">
        <v>23</v>
      </c>
      <c r="C9" s="6">
        <f ca="1">PFD!Q7</f>
        <v>3214.3735088712319</v>
      </c>
      <c r="D9" s="6">
        <f ca="1">PFD!Q7</f>
        <v>3214.3735088712319</v>
      </c>
      <c r="E9" s="6">
        <f ca="1">PFD!Q7</f>
        <v>3214.3735088712319</v>
      </c>
      <c r="F9" s="6">
        <f ca="1">PFD!Q16</f>
        <v>2993.3963756373273</v>
      </c>
    </row>
    <row r="10" spans="1:6" x14ac:dyDescent="0.25">
      <c r="B10" s="3" t="s">
        <v>24</v>
      </c>
      <c r="C10" s="9">
        <f>PFD!Q8</f>
        <v>40</v>
      </c>
      <c r="D10" s="9">
        <f>PFD!Q8</f>
        <v>40</v>
      </c>
      <c r="E10" s="9">
        <f>PFD!Q8</f>
        <v>40</v>
      </c>
      <c r="F10" s="9">
        <f>PFD!Q17</f>
        <v>11</v>
      </c>
    </row>
    <row r="11" spans="1:6" x14ac:dyDescent="0.25">
      <c r="B11" s="3" t="s">
        <v>25</v>
      </c>
      <c r="C11" s="9">
        <f>PFD!Q17</f>
        <v>11</v>
      </c>
      <c r="D11" s="9">
        <f>PFD!Q26</f>
        <v>4</v>
      </c>
      <c r="E11" s="9">
        <f>PFD!Q17</f>
        <v>11</v>
      </c>
      <c r="F11" s="9">
        <f>PFD!Q26</f>
        <v>4</v>
      </c>
    </row>
    <row r="12" spans="1:6" x14ac:dyDescent="0.25">
      <c r="B12" s="3" t="s">
        <v>26</v>
      </c>
      <c r="C12" s="124">
        <f>Control!B16</f>
        <v>0.69643303545180502</v>
      </c>
      <c r="D12" s="124">
        <f>Control!C16</f>
        <v>0.65922615765277204</v>
      </c>
      <c r="E12" s="124">
        <f>Control!B21</f>
        <v>0.6</v>
      </c>
      <c r="F12" s="124">
        <f>Control!C21</f>
        <v>0.6</v>
      </c>
    </row>
    <row r="13" spans="1:6" ht="15.75" thickBot="1" x14ac:dyDescent="0.3">
      <c r="B13" s="5" t="s">
        <v>6</v>
      </c>
      <c r="C13" s="102">
        <f>Control!B15</f>
        <v>2000.0000199661499</v>
      </c>
      <c r="D13" s="102">
        <f>Control!C15</f>
        <v>1493.8390786770001</v>
      </c>
      <c r="E13" s="14">
        <f>E7*E6</f>
        <v>600</v>
      </c>
      <c r="F13" s="14">
        <f>F7*F6</f>
        <v>0</v>
      </c>
    </row>
    <row r="14" spans="1:6" x14ac:dyDescent="0.25">
      <c r="B14" s="4" t="s">
        <v>27</v>
      </c>
      <c r="C14" s="15">
        <f t="array" aca="1" ref="C14:C15" ca="1">_xll.Turbine1Q(C9,C10,C11,C12,C13,"outM,outH")</f>
        <v>31.418065881205557</v>
      </c>
      <c r="D14" s="15">
        <f t="array" aca="1" ref="D14:D15" ca="1">_xll.Turbine1Q(D9,D10,D11,D12,D13,"outM,outH")</f>
        <v>15.447569470817756</v>
      </c>
      <c r="E14" s="15">
        <f t="array" aca="1" ref="E14:E15" ca="1">_xll.Turbine1Q(E9,E10,E11,E12,E13,"outM,outH")</f>
        <v>10.940289385618648</v>
      </c>
      <c r="F14" s="15">
        <f t="array" aca="1" ref="F14:F15" ca="1">_xll.Turbine1Q(F9,F10,F11,F12,F13,"outM,outH")</f>
        <v>0</v>
      </c>
    </row>
    <row r="15" spans="1:6" x14ac:dyDescent="0.25">
      <c r="B15" s="3" t="s">
        <v>28</v>
      </c>
      <c r="C15" s="6">
        <f ca="1"/>
        <v>2985.2059942603082</v>
      </c>
      <c r="D15" s="6">
        <f ca="1"/>
        <v>2866.2397333024264</v>
      </c>
      <c r="E15" s="6">
        <f ca="1"/>
        <v>3016.9381464356288</v>
      </c>
      <c r="F15" s="6">
        <f ca="1"/>
        <v>2861.183622053537</v>
      </c>
    </row>
    <row r="17" spans="1:5" x14ac:dyDescent="0.25">
      <c r="A17" s="18"/>
      <c r="B17" s="18"/>
      <c r="C17" s="36"/>
      <c r="D17" s="18"/>
      <c r="E17" s="18"/>
    </row>
    <row r="18" spans="1:5" x14ac:dyDescent="0.25">
      <c r="A18" s="18"/>
      <c r="B18" s="95" t="s">
        <v>142</v>
      </c>
      <c r="C18" s="36">
        <f ca="1">C13+D13-(1-E6)*E7-(1-F6)*F7-PlantEquip!G20</f>
        <v>3056.9249177618631</v>
      </c>
      <c r="D18" s="18"/>
      <c r="E18" s="18"/>
    </row>
    <row r="19" spans="1:5" x14ac:dyDescent="0.25">
      <c r="A19" s="18"/>
      <c r="B19" s="18"/>
      <c r="C19" s="18"/>
      <c r="D19" s="18"/>
      <c r="E19" s="18"/>
    </row>
    <row r="20" spans="1:5" x14ac:dyDescent="0.25">
      <c r="A20" s="18"/>
      <c r="B20" s="18"/>
      <c r="C20" s="36"/>
      <c r="D20" s="18"/>
      <c r="E20" s="18"/>
    </row>
    <row r="21" spans="1:5" x14ac:dyDescent="0.25">
      <c r="A21" s="18"/>
      <c r="B21" s="18"/>
      <c r="C21" s="18"/>
      <c r="D21" s="18"/>
      <c r="E21" s="18"/>
    </row>
    <row r="22" spans="1:5" x14ac:dyDescent="0.25">
      <c r="A22" s="18"/>
      <c r="B22" s="18"/>
      <c r="C22" s="18"/>
      <c r="D22" s="18"/>
      <c r="E22" s="18"/>
    </row>
    <row r="23" spans="1:5" x14ac:dyDescent="0.25">
      <c r="A23" s="18"/>
      <c r="B23" s="18"/>
      <c r="C23" s="31"/>
      <c r="D23" s="31"/>
      <c r="E23" s="18"/>
    </row>
    <row r="24" spans="1:5" x14ac:dyDescent="0.25">
      <c r="A24" s="18"/>
      <c r="B24" s="18"/>
      <c r="C24" s="34"/>
      <c r="D24" s="34"/>
      <c r="E24" s="18"/>
    </row>
    <row r="25" spans="1:5" x14ac:dyDescent="0.25">
      <c r="A25" s="18"/>
      <c r="B25" s="18"/>
      <c r="C25" s="34"/>
      <c r="D25" s="34"/>
      <c r="E25" s="18"/>
    </row>
    <row r="26" spans="1:5" x14ac:dyDescent="0.25">
      <c r="A26" s="18"/>
      <c r="B26" s="18"/>
      <c r="C26" s="89"/>
      <c r="D26" s="89"/>
      <c r="E26" s="18"/>
    </row>
    <row r="27" spans="1:5" x14ac:dyDescent="0.25">
      <c r="A27" s="18"/>
      <c r="B27" s="18"/>
      <c r="C27" s="36"/>
      <c r="D27" s="36"/>
      <c r="E27" s="18"/>
    </row>
    <row r="28" spans="1:5" x14ac:dyDescent="0.25">
      <c r="A28" s="18"/>
      <c r="B28" s="18"/>
      <c r="C28" s="36"/>
      <c r="D28" s="36"/>
      <c r="E28" s="18"/>
    </row>
    <row r="29" spans="1:5" x14ac:dyDescent="0.25">
      <c r="A29" s="18"/>
      <c r="B29" s="18"/>
      <c r="C29" s="30"/>
      <c r="D29" s="30"/>
      <c r="E29" s="18"/>
    </row>
    <row r="30" spans="1:5" x14ac:dyDescent="0.25">
      <c r="A30" s="18"/>
      <c r="B30" s="18"/>
      <c r="C30" s="31"/>
      <c r="D30" s="31"/>
      <c r="E30" s="18"/>
    </row>
    <row r="31" spans="1:5" x14ac:dyDescent="0.25">
      <c r="A31" s="18"/>
      <c r="B31" s="18"/>
      <c r="C31" s="18"/>
      <c r="D31" s="18"/>
      <c r="E31" s="18"/>
    </row>
    <row r="32" spans="1:5" x14ac:dyDescent="0.25">
      <c r="A32" s="18"/>
      <c r="B32" s="18"/>
      <c r="C32" s="18"/>
      <c r="D32" s="18"/>
      <c r="E32" s="18"/>
    </row>
    <row r="33" spans="3:3" x14ac:dyDescent="0.25">
      <c r="C33" s="39"/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tr">
        <f>_xll.SetPresUnit(B2)</f>
        <v>OK</v>
      </c>
    </row>
    <row r="3" spans="1:3" x14ac:dyDescent="0.25">
      <c r="A3" t="s">
        <v>3</v>
      </c>
      <c r="B3" t="s">
        <v>4</v>
      </c>
      <c r="C3" t="str">
        <f>_xll.SetTempUnit(B3)</f>
        <v>OK</v>
      </c>
    </row>
    <row r="4" spans="1:3" x14ac:dyDescent="0.25">
      <c r="A4" t="s">
        <v>160</v>
      </c>
      <c r="B4" t="s">
        <v>5</v>
      </c>
      <c r="C4" t="str">
        <f>_xll.SetMassFUnit(B4)</f>
        <v>OK</v>
      </c>
    </row>
    <row r="5" spans="1:3" x14ac:dyDescent="0.25">
      <c r="A5" t="s">
        <v>161</v>
      </c>
      <c r="B5" t="s">
        <v>168</v>
      </c>
      <c r="C5" t="str">
        <f>_xll.SetMoleFUnit(B5)</f>
        <v>OK</v>
      </c>
    </row>
    <row r="6" spans="1:3" x14ac:dyDescent="0.25">
      <c r="A6" t="s">
        <v>6</v>
      </c>
      <c r="B6" t="s">
        <v>7</v>
      </c>
      <c r="C6" t="str">
        <f>_xll.SetPowerUnit(B6)</f>
        <v>OK</v>
      </c>
    </row>
    <row r="7" spans="1:3" x14ac:dyDescent="0.25">
      <c r="A7" t="s">
        <v>162</v>
      </c>
      <c r="B7" t="s">
        <v>169</v>
      </c>
      <c r="C7" t="str">
        <f>_xll.SetEnergyUnit(B7)</f>
        <v>OK</v>
      </c>
    </row>
    <row r="8" spans="1:3" x14ac:dyDescent="0.25">
      <c r="A8" t="s">
        <v>163</v>
      </c>
      <c r="B8" t="s">
        <v>170</v>
      </c>
      <c r="C8" t="str">
        <f>_xll.SetMassUnit(B8)</f>
        <v>OK</v>
      </c>
    </row>
    <row r="9" spans="1:3" x14ac:dyDescent="0.25">
      <c r="A9" t="s">
        <v>164</v>
      </c>
      <c r="B9" t="s">
        <v>171</v>
      </c>
      <c r="C9" t="str">
        <f>_xll.SetMoleUnit(B9)</f>
        <v>OK</v>
      </c>
    </row>
    <row r="10" spans="1:3" x14ac:dyDescent="0.25">
      <c r="A10" t="s">
        <v>165</v>
      </c>
      <c r="B10" t="s">
        <v>172</v>
      </c>
      <c r="C10" t="str">
        <f>_xll.SetVolUnit(B10)</f>
        <v>OK</v>
      </c>
    </row>
    <row r="11" spans="1:3" x14ac:dyDescent="0.25">
      <c r="A11" t="s">
        <v>166</v>
      </c>
      <c r="B11" t="s">
        <v>173</v>
      </c>
      <c r="C11" t="str">
        <f>_xll.SetVisUnit(B11)</f>
        <v>OK</v>
      </c>
    </row>
    <row r="12" spans="1:3" x14ac:dyDescent="0.25">
      <c r="A12" t="s">
        <v>167</v>
      </c>
      <c r="B12" t="s">
        <v>174</v>
      </c>
      <c r="C12" t="str">
        <f>_xll.SetThermCUnit(B12)</f>
        <v>OK</v>
      </c>
    </row>
    <row r="13" spans="1:3" x14ac:dyDescent="0.25">
      <c r="A13" t="s">
        <v>79</v>
      </c>
      <c r="B13" t="s">
        <v>175</v>
      </c>
      <c r="C13" t="str">
        <f>_xll.SetBasis(B13)</f>
        <v>OK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2"/>
  <sheetViews>
    <sheetView workbookViewId="0">
      <selection activeCell="E31" sqref="E31"/>
    </sheetView>
  </sheetViews>
  <sheetFormatPr defaultRowHeight="15" x14ac:dyDescent="0.25"/>
  <cols>
    <col min="2" max="2" width="19" bestFit="1" customWidth="1"/>
    <col min="3" max="3" width="15.140625" bestFit="1" customWidth="1"/>
    <col min="4" max="4" width="13.140625" bestFit="1" customWidth="1"/>
    <col min="6" max="6" width="18.28515625" bestFit="1" customWidth="1"/>
    <col min="7" max="7" width="14.140625" bestFit="1" customWidth="1"/>
    <col min="11" max="11" width="19" bestFit="1" customWidth="1"/>
    <col min="12" max="12" width="14.140625" bestFit="1" customWidth="1"/>
  </cols>
  <sheetData>
    <row r="1" spans="1:12" ht="15.75" x14ac:dyDescent="0.25">
      <c r="A1" s="130" t="s">
        <v>64</v>
      </c>
      <c r="B1" s="130"/>
      <c r="C1" s="130"/>
      <c r="D1" s="130"/>
      <c r="E1" s="130"/>
    </row>
    <row r="3" spans="1:12" x14ac:dyDescent="0.25">
      <c r="B3" s="2" t="s">
        <v>65</v>
      </c>
      <c r="C3" s="2" t="s">
        <v>67</v>
      </c>
      <c r="D3" s="2" t="s">
        <v>68</v>
      </c>
      <c r="F3" s="2" t="s">
        <v>66</v>
      </c>
      <c r="K3" s="18"/>
      <c r="L3" s="18"/>
    </row>
    <row r="4" spans="1:12" x14ac:dyDescent="0.25">
      <c r="B4" s="3" t="s">
        <v>15</v>
      </c>
      <c r="C4" s="6">
        <f ca="1">PFD!Q7</f>
        <v>3214.3735088712319</v>
      </c>
      <c r="D4" s="6">
        <f ca="1">PFD!Q16</f>
        <v>2993.3963756373273</v>
      </c>
      <c r="F4" s="3" t="s">
        <v>32</v>
      </c>
      <c r="G4" s="9">
        <f>PFD!Q26</f>
        <v>4</v>
      </c>
      <c r="K4" s="18"/>
      <c r="L4" s="31"/>
    </row>
    <row r="5" spans="1:12" x14ac:dyDescent="0.25">
      <c r="B5" s="3" t="s">
        <v>40</v>
      </c>
      <c r="C5" s="6">
        <f ca="1">G19</f>
        <v>511.57704950845476</v>
      </c>
      <c r="D5" s="6">
        <f ca="1">G19</f>
        <v>511.57704950845476</v>
      </c>
      <c r="F5" s="3" t="s">
        <v>23</v>
      </c>
      <c r="G5" s="6">
        <f ca="1">PFD!T27</f>
        <v>897.96872166886249</v>
      </c>
      <c r="K5" s="18"/>
      <c r="L5" s="31"/>
    </row>
    <row r="6" spans="1:12" ht="15.75" thickBot="1" x14ac:dyDescent="0.3">
      <c r="B6" s="3" t="s">
        <v>25</v>
      </c>
      <c r="C6" s="9">
        <f>PFD!Q17</f>
        <v>11</v>
      </c>
      <c r="D6" s="9">
        <f>PFD!Q26</f>
        <v>4</v>
      </c>
      <c r="F6" s="5" t="s">
        <v>33</v>
      </c>
      <c r="G6" s="16">
        <f ca="1">PFD!T26</f>
        <v>71.019251812817586</v>
      </c>
      <c r="K6" s="18"/>
      <c r="L6" s="34"/>
    </row>
    <row r="7" spans="1:12" x14ac:dyDescent="0.25">
      <c r="B7" s="3" t="s">
        <v>45</v>
      </c>
      <c r="C7" s="8">
        <f ca="1">PFD!Q18</f>
        <v>274.36130398255773</v>
      </c>
      <c r="D7" s="8">
        <f ca="1">PFD!Q27</f>
        <v>179.04736527882608</v>
      </c>
      <c r="F7" s="4" t="s">
        <v>34</v>
      </c>
      <c r="G7" s="15">
        <f t="array" aca="1" ref="G7:G10" ca="1">_xll.FlashDrum(G4,G5,G6,"vapM,vapH,liqM,liqH")</f>
        <v>9.762215567764823</v>
      </c>
      <c r="K7" s="18"/>
      <c r="L7" s="33"/>
    </row>
    <row r="8" spans="1:12" ht="15.75" thickBot="1" x14ac:dyDescent="0.3">
      <c r="B8" s="5" t="s">
        <v>27</v>
      </c>
      <c r="C8" s="16">
        <f ca="1">PFD!F15</f>
        <v>30.871958511569005</v>
      </c>
      <c r="D8" s="16">
        <f ca="1">PFD!F24</f>
        <v>0</v>
      </c>
      <c r="F8" s="3" t="s">
        <v>35</v>
      </c>
      <c r="G8" s="6">
        <f ca="1"/>
        <v>2738.0566229312817</v>
      </c>
      <c r="K8" s="18"/>
      <c r="L8" s="32"/>
    </row>
    <row r="9" spans="1:12" x14ac:dyDescent="0.25">
      <c r="B9" s="4" t="s">
        <v>42</v>
      </c>
      <c r="C9" s="15">
        <f t="array" aca="1" ref="C9:C11" ca="1">_xll.DesuperheaterMout(C4,C5,C6,C7,C8,"watM,stmM,outH")</f>
        <v>2.5241355889222028</v>
      </c>
      <c r="D9" s="15">
        <f t="array" aca="1" ref="D9:D11" ca="1">_xll.DesuperheaterMout(D4,D5,D6,D7,D8,"watM,stmM,outH")</f>
        <v>0</v>
      </c>
      <c r="F9" s="3" t="s">
        <v>36</v>
      </c>
      <c r="G9" s="7">
        <f ca="1"/>
        <v>61.25703624505276</v>
      </c>
      <c r="K9" s="18"/>
      <c r="L9" s="32"/>
    </row>
    <row r="10" spans="1:12" x14ac:dyDescent="0.25">
      <c r="B10" s="3" t="s">
        <v>10</v>
      </c>
      <c r="C10" s="7">
        <f ca="1"/>
        <v>28.347822922646802</v>
      </c>
      <c r="D10" s="7">
        <f ca="1"/>
        <v>0</v>
      </c>
      <c r="F10" s="3" t="s">
        <v>37</v>
      </c>
      <c r="G10" s="6">
        <f ca="1"/>
        <v>604.72347415314641</v>
      </c>
      <c r="K10" s="18"/>
      <c r="L10" s="32"/>
    </row>
    <row r="11" spans="1:12" x14ac:dyDescent="0.25">
      <c r="B11" s="3" t="s">
        <v>28</v>
      </c>
      <c r="C11" s="6">
        <f ca="1"/>
        <v>2993.3889953641301</v>
      </c>
      <c r="D11" s="6">
        <f ca="1"/>
        <v>2816.5996239393444</v>
      </c>
      <c r="K11" s="18"/>
      <c r="L11" s="31"/>
    </row>
    <row r="12" spans="1:12" x14ac:dyDescent="0.25">
      <c r="K12" s="18"/>
      <c r="L12" s="18"/>
    </row>
    <row r="13" spans="1:12" x14ac:dyDescent="0.25">
      <c r="B13" s="2" t="s">
        <v>39</v>
      </c>
      <c r="F13" s="2" t="s">
        <v>43</v>
      </c>
    </row>
    <row r="14" spans="1:12" x14ac:dyDescent="0.25">
      <c r="B14" s="19" t="s">
        <v>32</v>
      </c>
      <c r="C14" s="107">
        <v>2</v>
      </c>
      <c r="F14" s="3" t="s">
        <v>23</v>
      </c>
      <c r="G14" s="6">
        <f ca="1">C21</f>
        <v>504.68384552926028</v>
      </c>
    </row>
    <row r="15" spans="1:12" x14ac:dyDescent="0.25">
      <c r="B15" s="20" t="s">
        <v>15</v>
      </c>
      <c r="C15" s="22">
        <f ca="1">PFD!Q25</f>
        <v>2816.6022154229772</v>
      </c>
      <c r="F15" s="3" t="s">
        <v>24</v>
      </c>
      <c r="G15" s="9">
        <f>C14</f>
        <v>2</v>
      </c>
    </row>
    <row r="16" spans="1:12" x14ac:dyDescent="0.25">
      <c r="B16" s="20" t="s">
        <v>40</v>
      </c>
      <c r="C16" s="22">
        <f ca="1">PFD!F34</f>
        <v>394.37225080934127</v>
      </c>
      <c r="F16" s="3" t="s">
        <v>33</v>
      </c>
      <c r="G16" s="7">
        <f ca="1">C17</f>
        <v>123.7292634523632</v>
      </c>
    </row>
    <row r="17" spans="2:7" x14ac:dyDescent="0.25">
      <c r="B17" s="20" t="s">
        <v>36</v>
      </c>
      <c r="C17" s="21">
        <f ca="1">PFD!C28</f>
        <v>123.7292634523632</v>
      </c>
      <c r="F17" s="3" t="s">
        <v>25</v>
      </c>
      <c r="G17" s="9">
        <v>47</v>
      </c>
    </row>
    <row r="18" spans="2:7" ht="15.75" thickBot="1" x14ac:dyDescent="0.3">
      <c r="B18" s="25" t="s">
        <v>41</v>
      </c>
      <c r="C18" s="108">
        <v>0.01</v>
      </c>
      <c r="F18" s="5" t="s">
        <v>26</v>
      </c>
      <c r="G18" s="10">
        <v>0.7</v>
      </c>
    </row>
    <row r="19" spans="2:7" x14ac:dyDescent="0.25">
      <c r="B19" s="24" t="s">
        <v>10</v>
      </c>
      <c r="C19" s="26">
        <f t="array" aca="1" ref="C19:C22" ca="1">_xll.Deaerator(C14,C15,C16,C17,C18,"stmM,watM,liqH,vapM")</f>
        <v>6.8157157676493982</v>
      </c>
      <c r="F19" s="4" t="s">
        <v>28</v>
      </c>
      <c r="G19" s="11">
        <f t="array" aca="1" ref="G19:G20" ca="1">_xll.Pump(G14,G15,G16,G17,G18,"outH,pwr")</f>
        <v>511.57704950845476</v>
      </c>
    </row>
    <row r="20" spans="2:7" x14ac:dyDescent="0.25">
      <c r="B20" s="20" t="s">
        <v>42</v>
      </c>
      <c r="C20" s="21">
        <f ca="1"/>
        <v>118.15084031923743</v>
      </c>
      <c r="F20" s="3" t="s">
        <v>6</v>
      </c>
      <c r="G20" s="12">
        <f ca="1"/>
        <v>236.91418088128677</v>
      </c>
    </row>
    <row r="21" spans="2:7" x14ac:dyDescent="0.25">
      <c r="B21" s="20" t="s">
        <v>37</v>
      </c>
      <c r="C21" s="22">
        <f ca="1"/>
        <v>504.68384552926028</v>
      </c>
    </row>
    <row r="22" spans="2:7" x14ac:dyDescent="0.25">
      <c r="B22" s="23" t="s">
        <v>34</v>
      </c>
      <c r="C22" s="27">
        <f ca="1"/>
        <v>1.2372926345236319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00"/>
  <sheetViews>
    <sheetView workbookViewId="0">
      <selection activeCell="E11" sqref="E11"/>
    </sheetView>
  </sheetViews>
  <sheetFormatPr defaultRowHeight="15" x14ac:dyDescent="0.25"/>
  <cols>
    <col min="1" max="1" width="16.7109375" customWidth="1"/>
    <col min="2" max="14" width="14" customWidth="1"/>
  </cols>
  <sheetData>
    <row r="1" spans="1:14" ht="21" customHeight="1" x14ac:dyDescent="0.35">
      <c r="A1" s="40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 t="s">
        <v>76</v>
      </c>
    </row>
    <row r="2" spans="1:14" ht="12" customHeight="1" thickBot="1" x14ac:dyDescent="0.3"/>
    <row r="3" spans="1:14" ht="12" customHeight="1" x14ac:dyDescent="0.25">
      <c r="A3" s="136" t="s">
        <v>77</v>
      </c>
      <c r="B3" s="136"/>
      <c r="C3" s="46" t="str">
        <f t="array" ref="C3:C4">_xll.GenFuelMix(0,C7,C9:C19,C21:C22,C24:C28,C30:C31)</f>
        <v>Fuel_1                    2</v>
      </c>
      <c r="D3" s="54" t="e">
        <f t="array" aca="1" ref="D3:D4" ca="1">_xll.GenComp(1,D7,D9:D19,D21:D22,D24:D28,D30:D31)</f>
        <v>#NAME?</v>
      </c>
      <c r="E3" s="54" t="e">
        <f t="array" aca="1" ref="E3:E4" ca="1">_xll.GenComp(2,E7,E9:E19,E21:E22,E24:E28,E30:E31)</f>
        <v>#NAME?</v>
      </c>
      <c r="F3" s="54" t="e">
        <f t="array" aca="1" ref="F3:F4" ca="1">_xll.GenComp(3,F7,F9:F19,F21:F22,F24:F28,F30:F31)</f>
        <v>#NAME?</v>
      </c>
      <c r="G3" s="54" t="e">
        <f t="array" aca="1" ref="G3:G4" ca="1">_xll.GenComp(4,G7,G9:G19,G21:G22,G24:G28,G30:G31)</f>
        <v>#NAME?</v>
      </c>
      <c r="H3" s="54" t="e">
        <f t="array" aca="1" ref="H3:H4" ca="1">_xll.GenComp(5,H7,H9:H19,H21:H22,H24:H28,H30:H31)</f>
        <v>#NAME?</v>
      </c>
      <c r="I3" s="54" t="e">
        <f t="array" aca="1" ref="I3:I4" ca="1">_xll.GenComp(6,I7,I9:I19,I21:I22,I24:I28,I30:I31)</f>
        <v>#NAME?</v>
      </c>
      <c r="J3" s="54" t="e">
        <f t="array" aca="1" ref="J3:J4" ca="1">_xll.GenComp(7,J7,J9:J19,J21:J22,J24:J28,J30:J31)</f>
        <v>#NAME?</v>
      </c>
      <c r="K3" s="54" t="e">
        <f t="array" aca="1" ref="K3:K4" ca="1">_xll.GenComp(8,K7,K9:K19,K21:K22,K24:K28,K30:K31)</f>
        <v>#NAME?</v>
      </c>
      <c r="L3" s="54" t="e">
        <f t="array" aca="1" ref="L3:L4" ca="1">_xll.GenComp(9,L7,L9:L19,L21:L22,L24:L28,L30:L31)</f>
        <v>#NAME?</v>
      </c>
      <c r="M3" s="54" t="e">
        <f t="array" aca="1" ref="M3:M4" ca="1">_xll.GenComp(10,M7,M9:M19,M21:M22,M24:M28,M30:M31)</f>
        <v>#NAME?</v>
      </c>
      <c r="N3" s="62" t="e">
        <f t="array" aca="1" ref="N3:N4" ca="1">_xll.GenComp(11,N7,N9:N19,N21:N22,N24:N28,N30:N31)</f>
        <v>#NAME?</v>
      </c>
    </row>
    <row r="4" spans="1:14" ht="12" customHeight="1" x14ac:dyDescent="0.25">
      <c r="A4" s="137" t="s">
        <v>74</v>
      </c>
      <c r="B4" s="137"/>
      <c r="C4" s="47" t="str">
        <v>OK</v>
      </c>
      <c r="D4" s="55" t="e">
        <f ca="1"/>
        <v>#NAME?</v>
      </c>
      <c r="E4" s="55" t="e">
        <f ca="1"/>
        <v>#NAME?</v>
      </c>
      <c r="F4" s="55" t="e">
        <f ca="1"/>
        <v>#NAME?</v>
      </c>
      <c r="G4" s="55" t="e">
        <f ca="1"/>
        <v>#NAME?</v>
      </c>
      <c r="H4" s="55" t="e">
        <f ca="1"/>
        <v>#NAME?</v>
      </c>
      <c r="I4" s="55" t="e">
        <f ca="1"/>
        <v>#NAME?</v>
      </c>
      <c r="J4" s="55" t="e">
        <f ca="1"/>
        <v>#NAME?</v>
      </c>
      <c r="K4" s="55" t="e">
        <f ca="1"/>
        <v>#NAME?</v>
      </c>
      <c r="L4" s="55" t="e">
        <f ca="1"/>
        <v>#NAME?</v>
      </c>
      <c r="M4" s="55" t="e">
        <f ca="1"/>
        <v>#NAME?</v>
      </c>
      <c r="N4" s="63" t="e">
        <f ca="1"/>
        <v>#NAME?</v>
      </c>
    </row>
    <row r="5" spans="1:14" ht="12" customHeight="1" x14ac:dyDescent="0.25">
      <c r="A5" s="138" t="s">
        <v>78</v>
      </c>
      <c r="B5" s="139"/>
      <c r="C5" s="143" t="s">
        <v>124</v>
      </c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44"/>
    </row>
    <row r="6" spans="1:14" ht="12" customHeight="1" x14ac:dyDescent="0.25">
      <c r="A6" s="139"/>
      <c r="B6" s="139"/>
      <c r="C6" s="143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44"/>
    </row>
    <row r="7" spans="1:14" ht="12" customHeight="1" x14ac:dyDescent="0.25">
      <c r="A7" s="137" t="s">
        <v>79</v>
      </c>
      <c r="B7" s="137"/>
      <c r="C7" s="48" t="s">
        <v>123</v>
      </c>
      <c r="D7" s="56" t="s">
        <v>123</v>
      </c>
      <c r="E7" s="56" t="s">
        <v>123</v>
      </c>
      <c r="F7" s="56" t="s">
        <v>123</v>
      </c>
      <c r="G7" s="56" t="s">
        <v>123</v>
      </c>
      <c r="H7" s="56" t="s">
        <v>123</v>
      </c>
      <c r="I7" s="56" t="s">
        <v>123</v>
      </c>
      <c r="J7" s="56" t="s">
        <v>123</v>
      </c>
      <c r="K7" s="56" t="s">
        <v>123</v>
      </c>
      <c r="L7" s="56" t="s">
        <v>123</v>
      </c>
      <c r="M7" s="56" t="s">
        <v>123</v>
      </c>
      <c r="N7" s="64" t="s">
        <v>123</v>
      </c>
    </row>
    <row r="8" spans="1:14" ht="12" customHeight="1" x14ac:dyDescent="0.25">
      <c r="A8" s="138" t="s">
        <v>80</v>
      </c>
      <c r="B8" s="139"/>
      <c r="C8" s="49"/>
      <c r="D8" s="57"/>
      <c r="E8" s="57"/>
      <c r="F8" s="57"/>
      <c r="G8" s="57"/>
      <c r="H8" s="57"/>
      <c r="I8" s="57"/>
      <c r="J8" s="57"/>
      <c r="K8" s="57"/>
      <c r="L8" s="57"/>
      <c r="M8" s="57"/>
      <c r="N8" s="65"/>
    </row>
    <row r="9" spans="1:14" ht="12" customHeight="1" x14ac:dyDescent="0.25">
      <c r="A9" s="43" t="s">
        <v>85</v>
      </c>
      <c r="B9" s="45" t="s">
        <v>86</v>
      </c>
      <c r="C9" s="50">
        <v>100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66"/>
    </row>
    <row r="10" spans="1:14" ht="12" customHeight="1" x14ac:dyDescent="0.25">
      <c r="A10" s="43" t="s">
        <v>87</v>
      </c>
      <c r="B10" s="45" t="s">
        <v>88</v>
      </c>
      <c r="C10" s="50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66"/>
    </row>
    <row r="11" spans="1:14" ht="12" customHeight="1" x14ac:dyDescent="0.25">
      <c r="A11" s="43" t="s">
        <v>89</v>
      </c>
      <c r="B11" s="45" t="s">
        <v>90</v>
      </c>
      <c r="C11" s="50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66"/>
    </row>
    <row r="12" spans="1:14" ht="12" customHeight="1" x14ac:dyDescent="0.25">
      <c r="A12" s="43" t="s">
        <v>91</v>
      </c>
      <c r="B12" s="45" t="s">
        <v>92</v>
      </c>
      <c r="C12" s="50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66"/>
    </row>
    <row r="13" spans="1:14" ht="12" customHeight="1" x14ac:dyDescent="0.25">
      <c r="A13" s="43" t="s">
        <v>93</v>
      </c>
      <c r="B13" s="45" t="s">
        <v>94</v>
      </c>
      <c r="C13" s="50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66"/>
    </row>
    <row r="14" spans="1:14" ht="12" customHeight="1" x14ac:dyDescent="0.25">
      <c r="A14" s="43" t="s">
        <v>95</v>
      </c>
      <c r="B14" s="45" t="s">
        <v>96</v>
      </c>
      <c r="C14" s="50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66"/>
    </row>
    <row r="15" spans="1:14" ht="12" customHeight="1" x14ac:dyDescent="0.25">
      <c r="A15" s="43" t="s">
        <v>97</v>
      </c>
      <c r="B15" s="45" t="s">
        <v>98</v>
      </c>
      <c r="C15" s="50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66"/>
    </row>
    <row r="16" spans="1:14" ht="12" customHeight="1" x14ac:dyDescent="0.25">
      <c r="A16" s="43" t="s">
        <v>99</v>
      </c>
      <c r="B16" s="45" t="s">
        <v>100</v>
      </c>
      <c r="C16" s="50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66"/>
    </row>
    <row r="17" spans="1:14" ht="12" customHeight="1" x14ac:dyDescent="0.25">
      <c r="A17" s="43" t="s">
        <v>101</v>
      </c>
      <c r="B17" s="45" t="s">
        <v>102</v>
      </c>
      <c r="C17" s="50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66"/>
    </row>
    <row r="18" spans="1:14" ht="12" customHeight="1" x14ac:dyDescent="0.25">
      <c r="A18" s="43" t="s">
        <v>103</v>
      </c>
      <c r="B18" s="45" t="s">
        <v>104</v>
      </c>
      <c r="C18" s="50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66"/>
    </row>
    <row r="19" spans="1:14" ht="12" customHeight="1" x14ac:dyDescent="0.25">
      <c r="A19" s="43" t="s">
        <v>105</v>
      </c>
      <c r="B19" s="45" t="s">
        <v>106</v>
      </c>
      <c r="C19" s="50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66"/>
    </row>
    <row r="20" spans="1:14" ht="12" customHeight="1" x14ac:dyDescent="0.25">
      <c r="A20" s="138" t="s">
        <v>81</v>
      </c>
      <c r="B20" s="139"/>
      <c r="C20" s="51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7"/>
    </row>
    <row r="21" spans="1:14" ht="12" customHeight="1" x14ac:dyDescent="0.25">
      <c r="A21" s="43" t="s">
        <v>107</v>
      </c>
      <c r="B21" s="45" t="s">
        <v>108</v>
      </c>
      <c r="C21" s="50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66"/>
    </row>
    <row r="22" spans="1:14" ht="12" customHeight="1" x14ac:dyDescent="0.25">
      <c r="A22" s="43" t="s">
        <v>109</v>
      </c>
      <c r="B22" s="45" t="s">
        <v>110</v>
      </c>
      <c r="C22" s="5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66"/>
    </row>
    <row r="23" spans="1:14" ht="12" customHeight="1" x14ac:dyDescent="0.25">
      <c r="A23" s="138" t="s">
        <v>82</v>
      </c>
      <c r="B23" s="139"/>
      <c r="C23" s="51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67"/>
    </row>
    <row r="24" spans="1:14" ht="12" customHeight="1" x14ac:dyDescent="0.25">
      <c r="A24" s="43" t="s">
        <v>111</v>
      </c>
      <c r="B24" s="45" t="s">
        <v>4</v>
      </c>
      <c r="C24" s="5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66"/>
    </row>
    <row r="25" spans="1:14" ht="12" customHeight="1" x14ac:dyDescent="0.25">
      <c r="A25" s="43" t="s">
        <v>112</v>
      </c>
      <c r="B25" s="45" t="s">
        <v>113</v>
      </c>
      <c r="C25" s="5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66"/>
    </row>
    <row r="26" spans="1:14" ht="12" customHeight="1" x14ac:dyDescent="0.25">
      <c r="A26" s="43" t="s">
        <v>114</v>
      </c>
      <c r="B26" s="45" t="s">
        <v>115</v>
      </c>
      <c r="C26" s="50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66"/>
    </row>
    <row r="27" spans="1:14" ht="12" customHeight="1" x14ac:dyDescent="0.25">
      <c r="A27" s="43" t="s">
        <v>116</v>
      </c>
      <c r="B27" s="45" t="s">
        <v>117</v>
      </c>
      <c r="C27" s="50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6"/>
    </row>
    <row r="28" spans="1:14" ht="12" customHeight="1" x14ac:dyDescent="0.25">
      <c r="A28" s="43" t="s">
        <v>49</v>
      </c>
      <c r="B28" s="45" t="s">
        <v>118</v>
      </c>
      <c r="C28" s="50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66"/>
    </row>
    <row r="29" spans="1:14" ht="12" customHeight="1" x14ac:dyDescent="0.25">
      <c r="A29" s="140" t="s">
        <v>83</v>
      </c>
      <c r="B29" s="141"/>
      <c r="C29" s="5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8"/>
    </row>
    <row r="30" spans="1:14" ht="12" customHeight="1" x14ac:dyDescent="0.25">
      <c r="A30" s="43" t="s">
        <v>119</v>
      </c>
      <c r="B30" s="45" t="s">
        <v>120</v>
      </c>
      <c r="C30" s="5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9"/>
    </row>
    <row r="31" spans="1:14" ht="12" customHeight="1" x14ac:dyDescent="0.25">
      <c r="A31" s="43" t="s">
        <v>121</v>
      </c>
      <c r="B31" s="45" t="s">
        <v>122</v>
      </c>
      <c r="C31" s="5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9"/>
    </row>
    <row r="32" spans="1:14" ht="12" customHeight="1" x14ac:dyDescent="0.25">
      <c r="A32" s="142" t="s">
        <v>84</v>
      </c>
      <c r="B32" s="142"/>
      <c r="C32" s="44">
        <f t="shared" ref="C32:N32" si="0">SUM(C9:C19,C21:C22,C24:C28,C30:C31)</f>
        <v>100</v>
      </c>
      <c r="D32" s="44">
        <f t="shared" si="0"/>
        <v>0</v>
      </c>
      <c r="E32" s="44">
        <f t="shared" si="0"/>
        <v>0</v>
      </c>
      <c r="F32" s="44">
        <f t="shared" si="0"/>
        <v>0</v>
      </c>
      <c r="G32" s="44">
        <f t="shared" si="0"/>
        <v>0</v>
      </c>
      <c r="H32" s="44">
        <f t="shared" si="0"/>
        <v>0</v>
      </c>
      <c r="I32" s="44">
        <f t="shared" si="0"/>
        <v>0</v>
      </c>
      <c r="J32" s="44">
        <f t="shared" si="0"/>
        <v>0</v>
      </c>
      <c r="K32" s="44">
        <f t="shared" si="0"/>
        <v>0</v>
      </c>
      <c r="L32" s="44">
        <f t="shared" si="0"/>
        <v>0</v>
      </c>
      <c r="M32" s="44">
        <f t="shared" si="0"/>
        <v>0</v>
      </c>
      <c r="N32" s="44">
        <f t="shared" si="0"/>
        <v>0</v>
      </c>
    </row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</sheetData>
  <protectedRanges>
    <protectedRange sqref="C5:N31" name="userarea"/>
  </protectedRanges>
  <mergeCells count="21">
    <mergeCell ref="L5:L6"/>
    <mergeCell ref="M5:M6"/>
    <mergeCell ref="N5:N6"/>
    <mergeCell ref="F5:F6"/>
    <mergeCell ref="G5:G6"/>
    <mergeCell ref="H5:H6"/>
    <mergeCell ref="I5:I6"/>
    <mergeCell ref="J5:J6"/>
    <mergeCell ref="K5:K6"/>
    <mergeCell ref="A23:B23"/>
    <mergeCell ref="A29:B29"/>
    <mergeCell ref="A32:B32"/>
    <mergeCell ref="C5:C6"/>
    <mergeCell ref="D5:D6"/>
    <mergeCell ref="A8:B8"/>
    <mergeCell ref="A20:B20"/>
    <mergeCell ref="E5:E6"/>
    <mergeCell ref="A3:B3"/>
    <mergeCell ref="A4:B4"/>
    <mergeCell ref="A5:B6"/>
    <mergeCell ref="A7:B7"/>
  </mergeCells>
  <dataValidations count="1">
    <dataValidation type="list" allowBlank="1" showInputMessage="1" showErrorMessage="1" sqref="C7 D7 E7 F7 G7 H7 I7 J7 K7 L7 M7 N7">
      <formula1>"Mole Fraction,Mass Fraction"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PFD</vt:lpstr>
      <vt:lpstr>Control</vt:lpstr>
      <vt:lpstr>MATLAB</vt:lpstr>
      <vt:lpstr>Producers</vt:lpstr>
      <vt:lpstr>Turbines</vt:lpstr>
      <vt:lpstr>JSteamHidden</vt:lpstr>
      <vt:lpstr>PlantEquip</vt:lpstr>
      <vt:lpstr>Compositions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Currie</dc:creator>
  <cp:lastModifiedBy>Jonathan Currie</cp:lastModifiedBy>
  <cp:lastPrinted>2013-11-12T06:04:53Z</cp:lastPrinted>
  <dcterms:created xsi:type="dcterms:W3CDTF">2012-05-21T05:30:29Z</dcterms:created>
  <dcterms:modified xsi:type="dcterms:W3CDTF">2016-03-27T09:01:55Z</dcterms:modified>
</cp:coreProperties>
</file>