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rptecnologia-my.sharepoint.com/personal/luana_passos_crptecnologia_com_br/Documents/Documentos/SEPLAG-MT/Medições/"/>
    </mc:Choice>
  </mc:AlternateContent>
  <xr:revisionPtr revIDLastSave="1" documentId="13_ncr:1_{6B56939E-A5AB-4A94-950D-7AEF8A0F431B}" xr6:coauthVersionLast="47" xr6:coauthVersionMax="47" xr10:uidLastSave="{4895934B-2FC4-4B7E-A21B-BE9DC4A28815}"/>
  <bookViews>
    <workbookView xWindow="-108" yWindow="-108" windowWidth="23256" windowHeight="12576" tabRatio="306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_FilterDatabase" localSheetId="1" hidden="1">Funções!$A$7:$P$27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2" l="1"/>
  <c r="I35" i="2"/>
  <c r="H35" i="2" s="1"/>
  <c r="I78" i="2"/>
  <c r="F78" i="2" s="1"/>
  <c r="J78" i="2"/>
  <c r="F162" i="2"/>
  <c r="H162" i="2"/>
  <c r="I162" i="2"/>
  <c r="G162" i="2" s="1"/>
  <c r="J162" i="2"/>
  <c r="L162" i="2"/>
  <c r="F163" i="2"/>
  <c r="H163" i="2"/>
  <c r="I163" i="2"/>
  <c r="G163" i="2" s="1"/>
  <c r="J163" i="2"/>
  <c r="L163" i="2"/>
  <c r="I164" i="2"/>
  <c r="H164" i="2" s="1"/>
  <c r="J164" i="2"/>
  <c r="I165" i="2"/>
  <c r="H165" i="2" s="1"/>
  <c r="J165" i="2"/>
  <c r="I166" i="2"/>
  <c r="G166" i="2" s="1"/>
  <c r="J166" i="2"/>
  <c r="F167" i="2"/>
  <c r="H167" i="2"/>
  <c r="I167" i="2"/>
  <c r="G167" i="2" s="1"/>
  <c r="J167" i="2"/>
  <c r="L167" i="2"/>
  <c r="F168" i="2"/>
  <c r="H168" i="2"/>
  <c r="I168" i="2"/>
  <c r="G168" i="2" s="1"/>
  <c r="J168" i="2"/>
  <c r="L168" i="2"/>
  <c r="I169" i="2"/>
  <c r="F169" i="2" s="1"/>
  <c r="J169" i="2"/>
  <c r="I170" i="2"/>
  <c r="F170" i="2" s="1"/>
  <c r="J170" i="2"/>
  <c r="I171" i="2"/>
  <c r="G171" i="2" s="1"/>
  <c r="J171" i="2"/>
  <c r="I172" i="2"/>
  <c r="H172" i="2" s="1"/>
  <c r="J172" i="2"/>
  <c r="F173" i="2"/>
  <c r="H173" i="2"/>
  <c r="I173" i="2"/>
  <c r="G173" i="2" s="1"/>
  <c r="J173" i="2"/>
  <c r="L173" i="2"/>
  <c r="F174" i="2"/>
  <c r="H174" i="2"/>
  <c r="I174" i="2"/>
  <c r="G174" i="2" s="1"/>
  <c r="J174" i="2"/>
  <c r="L174" i="2"/>
  <c r="I175" i="2"/>
  <c r="F175" i="2" s="1"/>
  <c r="J175" i="2"/>
  <c r="I176" i="2"/>
  <c r="F176" i="2" s="1"/>
  <c r="J176" i="2"/>
  <c r="I177" i="2"/>
  <c r="F177" i="2" s="1"/>
  <c r="J177" i="2"/>
  <c r="F178" i="2"/>
  <c r="H178" i="2"/>
  <c r="I178" i="2"/>
  <c r="G178" i="2" s="1"/>
  <c r="J178" i="2"/>
  <c r="L178" i="2"/>
  <c r="F179" i="2"/>
  <c r="H179" i="2"/>
  <c r="I179" i="2"/>
  <c r="G179" i="2" s="1"/>
  <c r="J179" i="2"/>
  <c r="L179" i="2"/>
  <c r="I180" i="2"/>
  <c r="H180" i="2" s="1"/>
  <c r="J180" i="2"/>
  <c r="I181" i="2"/>
  <c r="G181" i="2" s="1"/>
  <c r="J181" i="2"/>
  <c r="I182" i="2"/>
  <c r="F182" i="2" s="1"/>
  <c r="J182" i="2"/>
  <c r="F183" i="2"/>
  <c r="H183" i="2"/>
  <c r="I183" i="2"/>
  <c r="G183" i="2" s="1"/>
  <c r="J183" i="2"/>
  <c r="L183" i="2"/>
  <c r="F184" i="2"/>
  <c r="H184" i="2"/>
  <c r="I184" i="2"/>
  <c r="G184" i="2" s="1"/>
  <c r="J184" i="2"/>
  <c r="L184" i="2"/>
  <c r="I185" i="2"/>
  <c r="F185" i="2" s="1"/>
  <c r="J185" i="2"/>
  <c r="I186" i="2"/>
  <c r="F186" i="2" s="1"/>
  <c r="J186" i="2"/>
  <c r="I187" i="2"/>
  <c r="G187" i="2" s="1"/>
  <c r="J187" i="2"/>
  <c r="F188" i="2"/>
  <c r="H188" i="2"/>
  <c r="I188" i="2"/>
  <c r="G188" i="2" s="1"/>
  <c r="J188" i="2"/>
  <c r="L188" i="2"/>
  <c r="F189" i="2"/>
  <c r="H189" i="2"/>
  <c r="I189" i="2"/>
  <c r="G189" i="2" s="1"/>
  <c r="J189" i="2"/>
  <c r="L189" i="2"/>
  <c r="I190" i="2"/>
  <c r="F190" i="2" s="1"/>
  <c r="J190" i="2"/>
  <c r="I191" i="2"/>
  <c r="F191" i="2" s="1"/>
  <c r="J191" i="2"/>
  <c r="I192" i="2"/>
  <c r="F192" i="2" s="1"/>
  <c r="J192" i="2"/>
  <c r="F193" i="2"/>
  <c r="H193" i="2"/>
  <c r="I193" i="2"/>
  <c r="G193" i="2" s="1"/>
  <c r="J193" i="2"/>
  <c r="L193" i="2"/>
  <c r="F194" i="2"/>
  <c r="H194" i="2"/>
  <c r="I194" i="2"/>
  <c r="G194" i="2" s="1"/>
  <c r="J194" i="2"/>
  <c r="L194" i="2"/>
  <c r="I195" i="2"/>
  <c r="G195" i="2" s="1"/>
  <c r="J195" i="2"/>
  <c r="I196" i="2"/>
  <c r="G196" i="2" s="1"/>
  <c r="J196" i="2"/>
  <c r="I197" i="2"/>
  <c r="F197" i="2" s="1"/>
  <c r="J197" i="2"/>
  <c r="F198" i="2"/>
  <c r="H198" i="2"/>
  <c r="I198" i="2"/>
  <c r="G198" i="2" s="1"/>
  <c r="J198" i="2"/>
  <c r="L198" i="2"/>
  <c r="F199" i="2"/>
  <c r="H199" i="2"/>
  <c r="I199" i="2"/>
  <c r="G199" i="2" s="1"/>
  <c r="J199" i="2"/>
  <c r="L199" i="2"/>
  <c r="I200" i="2"/>
  <c r="H200" i="2" s="1"/>
  <c r="J200" i="2"/>
  <c r="I201" i="2"/>
  <c r="H201" i="2" s="1"/>
  <c r="J201" i="2"/>
  <c r="I202" i="2"/>
  <c r="F202" i="2" s="1"/>
  <c r="J202" i="2"/>
  <c r="F203" i="2"/>
  <c r="H203" i="2"/>
  <c r="I203" i="2"/>
  <c r="G203" i="2" s="1"/>
  <c r="J203" i="2"/>
  <c r="L203" i="2"/>
  <c r="F204" i="2"/>
  <c r="H204" i="2"/>
  <c r="I204" i="2"/>
  <c r="G204" i="2" s="1"/>
  <c r="J204" i="2"/>
  <c r="L204" i="2"/>
  <c r="I205" i="2"/>
  <c r="F205" i="2" s="1"/>
  <c r="J205" i="2"/>
  <c r="I206" i="2"/>
  <c r="F206" i="2" s="1"/>
  <c r="J206" i="2"/>
  <c r="I207" i="2"/>
  <c r="F207" i="2" s="1"/>
  <c r="J207" i="2"/>
  <c r="I208" i="2"/>
  <c r="H208" i="2" s="1"/>
  <c r="J208" i="2"/>
  <c r="I209" i="2"/>
  <c r="G209" i="2" s="1"/>
  <c r="J209" i="2"/>
  <c r="F210" i="2"/>
  <c r="H210" i="2"/>
  <c r="I210" i="2"/>
  <c r="G210" i="2" s="1"/>
  <c r="J210" i="2"/>
  <c r="L210" i="2"/>
  <c r="F211" i="2"/>
  <c r="H211" i="2"/>
  <c r="I211" i="2"/>
  <c r="G211" i="2" s="1"/>
  <c r="J211" i="2"/>
  <c r="L211" i="2"/>
  <c r="I212" i="2"/>
  <c r="F212" i="2" s="1"/>
  <c r="J212" i="2"/>
  <c r="I213" i="2"/>
  <c r="F213" i="2" s="1"/>
  <c r="J213" i="2"/>
  <c r="I147" i="2"/>
  <c r="H147" i="2" s="1"/>
  <c r="J147" i="2"/>
  <c r="L35" i="2" l="1"/>
  <c r="K35" i="2"/>
  <c r="F35" i="2"/>
  <c r="G35" i="2"/>
  <c r="H78" i="2"/>
  <c r="G78" i="2"/>
  <c r="F209" i="2"/>
  <c r="K189" i="2"/>
  <c r="K193" i="2"/>
  <c r="K198" i="2"/>
  <c r="K204" i="2"/>
  <c r="K174" i="2"/>
  <c r="K194" i="2"/>
  <c r="H181" i="2"/>
  <c r="K181" i="2" s="1"/>
  <c r="F166" i="2"/>
  <c r="H209" i="2"/>
  <c r="L209" i="2" s="1"/>
  <c r="F181" i="2"/>
  <c r="K178" i="2"/>
  <c r="K199" i="2"/>
  <c r="H195" i="2"/>
  <c r="K195" i="2" s="1"/>
  <c r="H182" i="2"/>
  <c r="K182" i="2" s="1"/>
  <c r="G208" i="2"/>
  <c r="G201" i="2"/>
  <c r="F195" i="2"/>
  <c r="G182" i="2"/>
  <c r="K211" i="2"/>
  <c r="F208" i="2"/>
  <c r="H205" i="2"/>
  <c r="F201" i="2"/>
  <c r="G180" i="2"/>
  <c r="G172" i="2"/>
  <c r="K167" i="2"/>
  <c r="K203" i="2"/>
  <c r="F180" i="2"/>
  <c r="F172" i="2"/>
  <c r="K163" i="2"/>
  <c r="G213" i="2"/>
  <c r="K183" i="2"/>
  <c r="K201" i="2"/>
  <c r="L201" i="2"/>
  <c r="H196" i="2"/>
  <c r="K196" i="2" s="1"/>
  <c r="G165" i="2"/>
  <c r="G202" i="2"/>
  <c r="F196" i="2"/>
  <c r="K179" i="2"/>
  <c r="F165" i="2"/>
  <c r="K173" i="2"/>
  <c r="K168" i="2"/>
  <c r="K210" i="2"/>
  <c r="G205" i="2"/>
  <c r="G200" i="2"/>
  <c r="H190" i="2"/>
  <c r="L190" i="2" s="1"/>
  <c r="F187" i="2"/>
  <c r="K184" i="2"/>
  <c r="H166" i="2"/>
  <c r="K166" i="2" s="1"/>
  <c r="F200" i="2"/>
  <c r="G190" i="2"/>
  <c r="F164" i="2"/>
  <c r="K188" i="2"/>
  <c r="K162" i="2"/>
  <c r="H213" i="2"/>
  <c r="H206" i="2"/>
  <c r="K164" i="2"/>
  <c r="L164" i="2"/>
  <c r="K200" i="2"/>
  <c r="L200" i="2"/>
  <c r="K165" i="2"/>
  <c r="L165" i="2"/>
  <c r="K208" i="2"/>
  <c r="L208" i="2"/>
  <c r="K180" i="2"/>
  <c r="L180" i="2"/>
  <c r="K172" i="2"/>
  <c r="L172" i="2"/>
  <c r="H202" i="2"/>
  <c r="F171" i="2"/>
  <c r="G164" i="2"/>
  <c r="H212" i="2"/>
  <c r="H197" i="2"/>
  <c r="H175" i="2"/>
  <c r="G197" i="2"/>
  <c r="H176" i="2"/>
  <c r="G175" i="2"/>
  <c r="H191" i="2"/>
  <c r="H185" i="2"/>
  <c r="H177" i="2"/>
  <c r="G176" i="2"/>
  <c r="H169" i="2"/>
  <c r="G212" i="2"/>
  <c r="H207" i="2"/>
  <c r="G206" i="2"/>
  <c r="H192" i="2"/>
  <c r="G191" i="2"/>
  <c r="H186" i="2"/>
  <c r="G185" i="2"/>
  <c r="G177" i="2"/>
  <c r="H170" i="2"/>
  <c r="G169" i="2"/>
  <c r="G207" i="2"/>
  <c r="G192" i="2"/>
  <c r="H187" i="2"/>
  <c r="G186" i="2"/>
  <c r="H171" i="2"/>
  <c r="G170" i="2"/>
  <c r="K147" i="2"/>
  <c r="L147" i="2"/>
  <c r="K78" i="2" l="1"/>
  <c r="L78" i="2"/>
  <c r="K209" i="2"/>
  <c r="L195" i="2"/>
  <c r="L166" i="2"/>
  <c r="L196" i="2"/>
  <c r="L181" i="2"/>
  <c r="L182" i="2"/>
  <c r="K205" i="2"/>
  <c r="L205" i="2"/>
  <c r="K190" i="2"/>
  <c r="L206" i="2"/>
  <c r="K206" i="2"/>
  <c r="K213" i="2"/>
  <c r="L213" i="2"/>
  <c r="K202" i="2"/>
  <c r="L202" i="2"/>
  <c r="L176" i="2"/>
  <c r="K176" i="2"/>
  <c r="K187" i="2"/>
  <c r="L187" i="2"/>
  <c r="K169" i="2"/>
  <c r="L169" i="2"/>
  <c r="K175" i="2"/>
  <c r="L175" i="2"/>
  <c r="K171" i="2"/>
  <c r="L171" i="2"/>
  <c r="K186" i="2"/>
  <c r="L186" i="2"/>
  <c r="K197" i="2"/>
  <c r="L197" i="2"/>
  <c r="K177" i="2"/>
  <c r="L177" i="2"/>
  <c r="K212" i="2"/>
  <c r="L212" i="2"/>
  <c r="L192" i="2"/>
  <c r="K192" i="2"/>
  <c r="K185" i="2"/>
  <c r="L185" i="2"/>
  <c r="L207" i="2"/>
  <c r="K207" i="2"/>
  <c r="K191" i="2"/>
  <c r="L191" i="2"/>
  <c r="K170" i="2"/>
  <c r="L170" i="2"/>
  <c r="I34" i="2"/>
  <c r="H34" i="2" s="1"/>
  <c r="J34" i="2"/>
  <c r="F36" i="2"/>
  <c r="H36" i="2"/>
  <c r="I36" i="2"/>
  <c r="G36" i="2" s="1"/>
  <c r="J36" i="2"/>
  <c r="L36" i="2"/>
  <c r="F37" i="2"/>
  <c r="H37" i="2"/>
  <c r="I37" i="2"/>
  <c r="G37" i="2" s="1"/>
  <c r="J37" i="2"/>
  <c r="L37" i="2"/>
  <c r="I38" i="2"/>
  <c r="F38" i="2" s="1"/>
  <c r="J38" i="2"/>
  <c r="K37" i="2" l="1"/>
  <c r="F34" i="2"/>
  <c r="G34" i="2"/>
  <c r="K36" i="2"/>
  <c r="K34" i="2"/>
  <c r="L34" i="2"/>
  <c r="H38" i="2"/>
  <c r="G38" i="2"/>
  <c r="K38" i="2" l="1"/>
  <c r="L38" i="2"/>
  <c r="I52" i="2"/>
  <c r="G52" i="2" s="1"/>
  <c r="J52" i="2"/>
  <c r="F159" i="2"/>
  <c r="H159" i="2"/>
  <c r="I159" i="2"/>
  <c r="G159" i="2" s="1"/>
  <c r="J159" i="2"/>
  <c r="L159" i="2"/>
  <c r="F160" i="2"/>
  <c r="H160" i="2"/>
  <c r="I160" i="2"/>
  <c r="G160" i="2" s="1"/>
  <c r="J160" i="2"/>
  <c r="L160" i="2"/>
  <c r="I161" i="2"/>
  <c r="G161" i="2" s="1"/>
  <c r="J161" i="2"/>
  <c r="I152" i="2"/>
  <c r="F152" i="2" s="1"/>
  <c r="J152" i="2"/>
  <c r="I153" i="2"/>
  <c r="F153" i="2" s="1"/>
  <c r="J153" i="2"/>
  <c r="I154" i="2"/>
  <c r="G154" i="2" s="1"/>
  <c r="J154" i="2"/>
  <c r="I155" i="2"/>
  <c r="H155" i="2" s="1"/>
  <c r="J155" i="2"/>
  <c r="I127" i="2"/>
  <c r="F127" i="2" s="1"/>
  <c r="J127" i="2"/>
  <c r="I128" i="2"/>
  <c r="G128" i="2" s="1"/>
  <c r="J128" i="2"/>
  <c r="I129" i="2"/>
  <c r="H129" i="2" s="1"/>
  <c r="J129" i="2"/>
  <c r="I130" i="2"/>
  <c r="H130" i="2" s="1"/>
  <c r="J130" i="2"/>
  <c r="I131" i="2"/>
  <c r="G131" i="2" s="1"/>
  <c r="J131" i="2"/>
  <c r="I120" i="2"/>
  <c r="F120" i="2" s="1"/>
  <c r="J120" i="2"/>
  <c r="I121" i="2"/>
  <c r="G121" i="2" s="1"/>
  <c r="J121" i="2"/>
  <c r="I122" i="2"/>
  <c r="H122" i="2" s="1"/>
  <c r="J122" i="2"/>
  <c r="F123" i="2"/>
  <c r="H123" i="2"/>
  <c r="I123" i="2"/>
  <c r="G123" i="2" s="1"/>
  <c r="J123" i="2"/>
  <c r="L123" i="2"/>
  <c r="H124" i="2"/>
  <c r="I124" i="2"/>
  <c r="G124" i="2" s="1"/>
  <c r="J124" i="2"/>
  <c r="L124" i="2"/>
  <c r="F110" i="2"/>
  <c r="H110" i="2"/>
  <c r="I110" i="2"/>
  <c r="G110" i="2" s="1"/>
  <c r="J110" i="2"/>
  <c r="L110" i="2"/>
  <c r="F111" i="2"/>
  <c r="H111" i="2"/>
  <c r="I111" i="2"/>
  <c r="G111" i="2" s="1"/>
  <c r="J111" i="2"/>
  <c r="L111" i="2"/>
  <c r="I112" i="2"/>
  <c r="G112" i="2" s="1"/>
  <c r="J112" i="2"/>
  <c r="I113" i="2"/>
  <c r="G113" i="2" s="1"/>
  <c r="J113" i="2"/>
  <c r="I114" i="2"/>
  <c r="G114" i="2" s="1"/>
  <c r="J114" i="2"/>
  <c r="I115" i="2"/>
  <c r="G115" i="2" s="1"/>
  <c r="J115" i="2"/>
  <c r="I97" i="2"/>
  <c r="F97" i="2" s="1"/>
  <c r="J97" i="2"/>
  <c r="F98" i="2"/>
  <c r="H98" i="2"/>
  <c r="I98" i="2"/>
  <c r="G98" i="2" s="1"/>
  <c r="J98" i="2"/>
  <c r="L98" i="2"/>
  <c r="F99" i="2"/>
  <c r="H99" i="2"/>
  <c r="I99" i="2"/>
  <c r="G99" i="2" s="1"/>
  <c r="J99" i="2"/>
  <c r="L99" i="2"/>
  <c r="I100" i="2"/>
  <c r="F100" i="2" s="1"/>
  <c r="J100" i="2"/>
  <c r="I101" i="2"/>
  <c r="G101" i="2" s="1"/>
  <c r="J101" i="2"/>
  <c r="F102" i="2"/>
  <c r="H102" i="2"/>
  <c r="I102" i="2"/>
  <c r="G102" i="2" s="1"/>
  <c r="J102" i="2"/>
  <c r="L102" i="2"/>
  <c r="F103" i="2"/>
  <c r="H103" i="2"/>
  <c r="I103" i="2"/>
  <c r="G103" i="2" s="1"/>
  <c r="J103" i="2"/>
  <c r="L103" i="2"/>
  <c r="I104" i="2"/>
  <c r="G104" i="2" s="1"/>
  <c r="J104" i="2"/>
  <c r="I105" i="2"/>
  <c r="H105" i="2" s="1"/>
  <c r="K105" i="2" s="1"/>
  <c r="J105" i="2"/>
  <c r="I106" i="2"/>
  <c r="G106" i="2" s="1"/>
  <c r="J106" i="2"/>
  <c r="I107" i="2"/>
  <c r="H107" i="2" s="1"/>
  <c r="J107" i="2"/>
  <c r="I108" i="2"/>
  <c r="F108" i="2" s="1"/>
  <c r="J108" i="2"/>
  <c r="I94" i="2"/>
  <c r="H94" i="2" s="1"/>
  <c r="J94" i="2"/>
  <c r="I95" i="2"/>
  <c r="H95" i="2" s="1"/>
  <c r="J95" i="2"/>
  <c r="I96" i="2"/>
  <c r="H96" i="2" s="1"/>
  <c r="J96" i="2"/>
  <c r="I90" i="2"/>
  <c r="F90" i="2" s="1"/>
  <c r="J90" i="2"/>
  <c r="I91" i="2"/>
  <c r="G91" i="2" s="1"/>
  <c r="J91" i="2"/>
  <c r="I92" i="2"/>
  <c r="H92" i="2" s="1"/>
  <c r="J92" i="2"/>
  <c r="I93" i="2"/>
  <c r="G93" i="2" s="1"/>
  <c r="J93" i="2"/>
  <c r="I81" i="2"/>
  <c r="H81" i="2" s="1"/>
  <c r="J81" i="2"/>
  <c r="I83" i="2"/>
  <c r="F83" i="2" s="1"/>
  <c r="J83" i="2"/>
  <c r="I84" i="2"/>
  <c r="G84" i="2" s="1"/>
  <c r="J84" i="2"/>
  <c r="I85" i="2"/>
  <c r="H85" i="2" s="1"/>
  <c r="J85" i="2"/>
  <c r="I86" i="2"/>
  <c r="F86" i="2" s="1"/>
  <c r="J86" i="2"/>
  <c r="F57" i="2"/>
  <c r="H57" i="2"/>
  <c r="I57" i="2"/>
  <c r="G57" i="2" s="1"/>
  <c r="J57" i="2"/>
  <c r="L57" i="2"/>
  <c r="I58" i="2"/>
  <c r="H58" i="2" s="1"/>
  <c r="J58" i="2"/>
  <c r="I59" i="2"/>
  <c r="G59" i="2" s="1"/>
  <c r="J59" i="2"/>
  <c r="I60" i="2"/>
  <c r="F60" i="2" s="1"/>
  <c r="J60" i="2"/>
  <c r="I61" i="2"/>
  <c r="G61" i="2" s="1"/>
  <c r="J61" i="2"/>
  <c r="I62" i="2"/>
  <c r="G62" i="2" s="1"/>
  <c r="J62" i="2"/>
  <c r="F63" i="2"/>
  <c r="H63" i="2"/>
  <c r="I63" i="2"/>
  <c r="G63" i="2" s="1"/>
  <c r="J63" i="2"/>
  <c r="L63" i="2"/>
  <c r="F64" i="2"/>
  <c r="H64" i="2"/>
  <c r="I64" i="2"/>
  <c r="G64" i="2" s="1"/>
  <c r="J64" i="2"/>
  <c r="L64" i="2"/>
  <c r="I65" i="2"/>
  <c r="G65" i="2" s="1"/>
  <c r="J65" i="2"/>
  <c r="I66" i="2"/>
  <c r="H66" i="2" s="1"/>
  <c r="J66" i="2"/>
  <c r="I67" i="2"/>
  <c r="G67" i="2" s="1"/>
  <c r="J67" i="2"/>
  <c r="I68" i="2"/>
  <c r="F68" i="2" s="1"/>
  <c r="J68" i="2"/>
  <c r="F69" i="2"/>
  <c r="H69" i="2"/>
  <c r="I69" i="2"/>
  <c r="G69" i="2" s="1"/>
  <c r="J69" i="2"/>
  <c r="L69" i="2"/>
  <c r="F70" i="2"/>
  <c r="H70" i="2"/>
  <c r="I70" i="2"/>
  <c r="G70" i="2" s="1"/>
  <c r="J70" i="2"/>
  <c r="L70" i="2"/>
  <c r="F71" i="2"/>
  <c r="H71" i="2"/>
  <c r="I71" i="2"/>
  <c r="G71" i="2" s="1"/>
  <c r="J71" i="2"/>
  <c r="L71" i="2"/>
  <c r="I72" i="2"/>
  <c r="F72" i="2" s="1"/>
  <c r="J72" i="2"/>
  <c r="I73" i="2"/>
  <c r="G73" i="2" s="1"/>
  <c r="J73" i="2"/>
  <c r="I74" i="2"/>
  <c r="H74" i="2" s="1"/>
  <c r="J74" i="2"/>
  <c r="I75" i="2"/>
  <c r="G75" i="2" s="1"/>
  <c r="J75" i="2"/>
  <c r="I76" i="2"/>
  <c r="F76" i="2" s="1"/>
  <c r="J76" i="2"/>
  <c r="I77" i="2"/>
  <c r="H77" i="2" s="1"/>
  <c r="J77" i="2"/>
  <c r="F79" i="2"/>
  <c r="H79" i="2"/>
  <c r="I79" i="2"/>
  <c r="G79" i="2" s="1"/>
  <c r="J79" i="2"/>
  <c r="L79" i="2"/>
  <c r="F80" i="2"/>
  <c r="H80" i="2"/>
  <c r="I80" i="2"/>
  <c r="G80" i="2" s="1"/>
  <c r="J80" i="2"/>
  <c r="L80" i="2"/>
  <c r="I82" i="2"/>
  <c r="G82" i="2" s="1"/>
  <c r="J82" i="2"/>
  <c r="I49" i="2"/>
  <c r="G49" i="2" s="1"/>
  <c r="J49" i="2"/>
  <c r="F50" i="2"/>
  <c r="H50" i="2"/>
  <c r="I50" i="2"/>
  <c r="G50" i="2" s="1"/>
  <c r="J50" i="2"/>
  <c r="L50" i="2"/>
  <c r="F51" i="2"/>
  <c r="H51" i="2"/>
  <c r="I51" i="2"/>
  <c r="G51" i="2" s="1"/>
  <c r="J51" i="2"/>
  <c r="L51" i="2"/>
  <c r="I53" i="2"/>
  <c r="G53" i="2" s="1"/>
  <c r="J53" i="2"/>
  <c r="I54" i="2"/>
  <c r="G54" i="2" s="1"/>
  <c r="J54" i="2"/>
  <c r="I55" i="2"/>
  <c r="G55" i="2" s="1"/>
  <c r="J55" i="2"/>
  <c r="F56" i="2"/>
  <c r="H56" i="2"/>
  <c r="I56" i="2"/>
  <c r="G56" i="2" s="1"/>
  <c r="J56" i="2"/>
  <c r="L56" i="2"/>
  <c r="F87" i="2"/>
  <c r="H87" i="2"/>
  <c r="I87" i="2"/>
  <c r="G87" i="2" s="1"/>
  <c r="J87" i="2"/>
  <c r="L87" i="2"/>
  <c r="H69" i="5"/>
  <c r="I69" i="5" s="1"/>
  <c r="J69" i="5" s="1"/>
  <c r="D69" i="5"/>
  <c r="B69" i="5"/>
  <c r="H68" i="5"/>
  <c r="I68" i="5" s="1"/>
  <c r="J68" i="5" s="1"/>
  <c r="D68" i="5"/>
  <c r="B68" i="5"/>
  <c r="H67" i="5"/>
  <c r="I67" i="5" s="1"/>
  <c r="J67" i="5" s="1"/>
  <c r="D67" i="5"/>
  <c r="B67" i="5"/>
  <c r="H66" i="5"/>
  <c r="I66" i="5" s="1"/>
  <c r="J66" i="5" s="1"/>
  <c r="D66" i="5"/>
  <c r="B66" i="5"/>
  <c r="H65" i="5"/>
  <c r="I65" i="5" s="1"/>
  <c r="J65" i="5" s="1"/>
  <c r="D65" i="5"/>
  <c r="B65" i="5"/>
  <c r="H64" i="5"/>
  <c r="I64" i="5" s="1"/>
  <c r="J64" i="5" s="1"/>
  <c r="D64" i="5"/>
  <c r="B64" i="5"/>
  <c r="H63" i="5"/>
  <c r="I63" i="5" s="1"/>
  <c r="J63" i="5" s="1"/>
  <c r="D63" i="5"/>
  <c r="B63" i="5"/>
  <c r="H62" i="5"/>
  <c r="I62" i="5" s="1"/>
  <c r="J62" i="5" s="1"/>
  <c r="D62" i="5"/>
  <c r="B62" i="5"/>
  <c r="H61" i="5"/>
  <c r="I61" i="5" s="1"/>
  <c r="J61" i="5" s="1"/>
  <c r="D61" i="5"/>
  <c r="B61" i="5"/>
  <c r="H60" i="5"/>
  <c r="I60" i="5" s="1"/>
  <c r="J60" i="5" s="1"/>
  <c r="D60" i="5"/>
  <c r="B60" i="5"/>
  <c r="H59" i="5"/>
  <c r="I59" i="5" s="1"/>
  <c r="J59" i="5" s="1"/>
  <c r="D59" i="5"/>
  <c r="B59" i="5"/>
  <c r="H58" i="5"/>
  <c r="I58" i="5" s="1"/>
  <c r="J58" i="5" s="1"/>
  <c r="D58" i="5"/>
  <c r="B58" i="5"/>
  <c r="H57" i="5"/>
  <c r="I57" i="5" s="1"/>
  <c r="J57" i="5" s="1"/>
  <c r="D57" i="5"/>
  <c r="B57" i="5"/>
  <c r="H56" i="5"/>
  <c r="I56" i="5" s="1"/>
  <c r="J56" i="5" s="1"/>
  <c r="D56" i="5"/>
  <c r="B56" i="5"/>
  <c r="H55" i="5"/>
  <c r="I55" i="5" s="1"/>
  <c r="J55" i="5" s="1"/>
  <c r="D55" i="5"/>
  <c r="B55" i="5"/>
  <c r="H54" i="5"/>
  <c r="I54" i="5" s="1"/>
  <c r="J54" i="5" s="1"/>
  <c r="D54" i="5"/>
  <c r="B54" i="5"/>
  <c r="H53" i="5"/>
  <c r="I53" i="5" s="1"/>
  <c r="J53" i="5" s="1"/>
  <c r="D53" i="5"/>
  <c r="B53" i="5"/>
  <c r="H52" i="5"/>
  <c r="I52" i="5" s="1"/>
  <c r="J52" i="5" s="1"/>
  <c r="D52" i="5"/>
  <c r="B52" i="5"/>
  <c r="H51" i="5"/>
  <c r="I51" i="5" s="1"/>
  <c r="J51" i="5" s="1"/>
  <c r="D51" i="5"/>
  <c r="B51" i="5"/>
  <c r="H50" i="5"/>
  <c r="I50" i="5" s="1"/>
  <c r="J50" i="5" s="1"/>
  <c r="D50" i="5"/>
  <c r="B50" i="5"/>
  <c r="H49" i="5"/>
  <c r="D49" i="5"/>
  <c r="B49" i="5"/>
  <c r="H48" i="5"/>
  <c r="D48" i="5"/>
  <c r="B48" i="5"/>
  <c r="H47" i="5"/>
  <c r="D47" i="5"/>
  <c r="B47" i="5"/>
  <c r="H44" i="5"/>
  <c r="G44" i="5"/>
  <c r="F44" i="5"/>
  <c r="D44" i="5"/>
  <c r="E44" i="5" s="1"/>
  <c r="B44" i="5"/>
  <c r="H43" i="5"/>
  <c r="G43" i="5"/>
  <c r="F43" i="5"/>
  <c r="D43" i="5"/>
  <c r="E43" i="5" s="1"/>
  <c r="B43" i="5"/>
  <c r="H42" i="5"/>
  <c r="G42" i="5"/>
  <c r="F42" i="5"/>
  <c r="D42" i="5"/>
  <c r="E42" i="5" s="1"/>
  <c r="B42" i="5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H37" i="5"/>
  <c r="G37" i="5"/>
  <c r="F37" i="5"/>
  <c r="D37" i="5"/>
  <c r="E37" i="5" s="1"/>
  <c r="B37" i="5"/>
  <c r="H36" i="5"/>
  <c r="G36" i="5"/>
  <c r="F36" i="5"/>
  <c r="D36" i="5"/>
  <c r="E36" i="5" s="1"/>
  <c r="B36" i="5"/>
  <c r="H35" i="5"/>
  <c r="G35" i="5"/>
  <c r="F35" i="5"/>
  <c r="D35" i="5"/>
  <c r="E35" i="5" s="1"/>
  <c r="B35" i="5"/>
  <c r="H34" i="5"/>
  <c r="G34" i="5"/>
  <c r="F34" i="5"/>
  <c r="D34" i="5"/>
  <c r="E34" i="5" s="1"/>
  <c r="B34" i="5"/>
  <c r="H33" i="5"/>
  <c r="G33" i="5"/>
  <c r="F33" i="5"/>
  <c r="D33" i="5"/>
  <c r="E33" i="5" s="1"/>
  <c r="B33" i="5"/>
  <c r="H32" i="5"/>
  <c r="G32" i="5"/>
  <c r="F32" i="5"/>
  <c r="D32" i="5"/>
  <c r="E32" i="5" s="1"/>
  <c r="B32" i="5"/>
  <c r="H31" i="5"/>
  <c r="G31" i="5"/>
  <c r="F31" i="5"/>
  <c r="D31" i="5"/>
  <c r="E31" i="5" s="1"/>
  <c r="B31" i="5"/>
  <c r="H30" i="5"/>
  <c r="G30" i="5"/>
  <c r="F30" i="5"/>
  <c r="D30" i="5"/>
  <c r="E30" i="5" s="1"/>
  <c r="B30" i="5"/>
  <c r="H29" i="5"/>
  <c r="G29" i="5"/>
  <c r="F29" i="5"/>
  <c r="D29" i="5"/>
  <c r="E29" i="5" s="1"/>
  <c r="B29" i="5"/>
  <c r="H28" i="5"/>
  <c r="G28" i="5"/>
  <c r="F28" i="5"/>
  <c r="D28" i="5"/>
  <c r="E28" i="5" s="1"/>
  <c r="B28" i="5"/>
  <c r="H27" i="5"/>
  <c r="G27" i="5"/>
  <c r="F27" i="5"/>
  <c r="D27" i="5"/>
  <c r="E27" i="5" s="1"/>
  <c r="B27" i="5"/>
  <c r="H26" i="5"/>
  <c r="G26" i="5"/>
  <c r="F26" i="5"/>
  <c r="D26" i="5"/>
  <c r="E26" i="5" s="1"/>
  <c r="B26" i="5"/>
  <c r="H25" i="5"/>
  <c r="G25" i="5"/>
  <c r="F25" i="5"/>
  <c r="D25" i="5"/>
  <c r="E25" i="5" s="1"/>
  <c r="B25" i="5"/>
  <c r="H24" i="5"/>
  <c r="G24" i="5"/>
  <c r="F24" i="5"/>
  <c r="D24" i="5"/>
  <c r="E24" i="5" s="1"/>
  <c r="B24" i="5"/>
  <c r="H23" i="5"/>
  <c r="G23" i="5"/>
  <c r="F23" i="5"/>
  <c r="D23" i="5"/>
  <c r="E23" i="5" s="1"/>
  <c r="B23" i="5"/>
  <c r="H22" i="5"/>
  <c r="G22" i="5"/>
  <c r="F22" i="5"/>
  <c r="D22" i="5"/>
  <c r="E22" i="5" s="1"/>
  <c r="B22" i="5"/>
  <c r="H21" i="5"/>
  <c r="G21" i="5"/>
  <c r="F21" i="5"/>
  <c r="D21" i="5"/>
  <c r="E21" i="5" s="1"/>
  <c r="B21" i="5"/>
  <c r="H20" i="5"/>
  <c r="G20" i="5"/>
  <c r="F20" i="5"/>
  <c r="D20" i="5"/>
  <c r="E20" i="5" s="1"/>
  <c r="B20" i="5"/>
  <c r="H19" i="5"/>
  <c r="G19" i="5"/>
  <c r="F19" i="5"/>
  <c r="D19" i="5"/>
  <c r="E19" i="5" s="1"/>
  <c r="B19" i="5"/>
  <c r="H18" i="5"/>
  <c r="G18" i="5"/>
  <c r="F18" i="5"/>
  <c r="D18" i="5"/>
  <c r="E18" i="5" s="1"/>
  <c r="B18" i="5"/>
  <c r="H17" i="5"/>
  <c r="G17" i="5"/>
  <c r="F17" i="5"/>
  <c r="D17" i="5"/>
  <c r="E17" i="5" s="1"/>
  <c r="B17" i="5"/>
  <c r="H16" i="5"/>
  <c r="G16" i="5"/>
  <c r="F16" i="5"/>
  <c r="D16" i="5"/>
  <c r="E16" i="5" s="1"/>
  <c r="B16" i="5"/>
  <c r="H15" i="5"/>
  <c r="G15" i="5"/>
  <c r="F15" i="5"/>
  <c r="D15" i="5"/>
  <c r="E15" i="5" s="1"/>
  <c r="B15" i="5"/>
  <c r="H14" i="5"/>
  <c r="G14" i="5"/>
  <c r="F14" i="5"/>
  <c r="D14" i="5"/>
  <c r="E14" i="5" s="1"/>
  <c r="B14" i="5"/>
  <c r="H13" i="5"/>
  <c r="G13" i="5"/>
  <c r="F13" i="5"/>
  <c r="D13" i="5"/>
  <c r="E13" i="5" s="1"/>
  <c r="B13" i="5"/>
  <c r="H12" i="5"/>
  <c r="G12" i="5"/>
  <c r="F12" i="5"/>
  <c r="D12" i="5"/>
  <c r="E12" i="5" s="1"/>
  <c r="B12" i="5"/>
  <c r="H11" i="5"/>
  <c r="G11" i="5"/>
  <c r="F11" i="5"/>
  <c r="D11" i="5"/>
  <c r="E11" i="5" s="1"/>
  <c r="B11" i="5"/>
  <c r="H10" i="5"/>
  <c r="G10" i="5"/>
  <c r="D10" i="5"/>
  <c r="E10" i="5" s="1"/>
  <c r="B10" i="5"/>
  <c r="F6" i="5"/>
  <c r="A6" i="5"/>
  <c r="F5" i="5"/>
  <c r="A5" i="5"/>
  <c r="F4" i="5"/>
  <c r="A4" i="5"/>
  <c r="J40" i="4"/>
  <c r="J39" i="4"/>
  <c r="J38" i="4"/>
  <c r="J33" i="4"/>
  <c r="J32" i="4"/>
  <c r="J31" i="4"/>
  <c r="J26" i="4"/>
  <c r="J25" i="4"/>
  <c r="J24" i="4"/>
  <c r="J19" i="4"/>
  <c r="J18" i="4"/>
  <c r="J17" i="4"/>
  <c r="J12" i="4"/>
  <c r="J11" i="4"/>
  <c r="J10" i="4"/>
  <c r="F6" i="4"/>
  <c r="A6" i="4"/>
  <c r="F5" i="4"/>
  <c r="A5" i="4"/>
  <c r="F4" i="4"/>
  <c r="A4" i="4"/>
  <c r="L64" i="3"/>
  <c r="K64" i="3"/>
  <c r="J64" i="3"/>
  <c r="E69" i="5" s="1"/>
  <c r="L63" i="3"/>
  <c r="K63" i="3"/>
  <c r="J63" i="3"/>
  <c r="E68" i="5" s="1"/>
  <c r="L62" i="3"/>
  <c r="K62" i="3"/>
  <c r="J62" i="3"/>
  <c r="E67" i="5" s="1"/>
  <c r="L61" i="3"/>
  <c r="K61" i="3"/>
  <c r="J61" i="3"/>
  <c r="E66" i="5" s="1"/>
  <c r="L60" i="3"/>
  <c r="K60" i="3"/>
  <c r="J60" i="3"/>
  <c r="E65" i="5" s="1"/>
  <c r="L59" i="3"/>
  <c r="K59" i="3"/>
  <c r="J59" i="3"/>
  <c r="E64" i="5" s="1"/>
  <c r="L58" i="3"/>
  <c r="K58" i="3"/>
  <c r="J58" i="3"/>
  <c r="E63" i="5" s="1"/>
  <c r="L57" i="3"/>
  <c r="K57" i="3"/>
  <c r="J57" i="3"/>
  <c r="E62" i="5" s="1"/>
  <c r="L56" i="3"/>
  <c r="K56" i="3"/>
  <c r="J56" i="3"/>
  <c r="E61" i="5" s="1"/>
  <c r="L55" i="3"/>
  <c r="K55" i="3"/>
  <c r="J55" i="3"/>
  <c r="E60" i="5" s="1"/>
  <c r="L54" i="3"/>
  <c r="K54" i="3"/>
  <c r="J54" i="3"/>
  <c r="E59" i="5" s="1"/>
  <c r="L53" i="3"/>
  <c r="K53" i="3"/>
  <c r="J53" i="3"/>
  <c r="E58" i="5" s="1"/>
  <c r="L52" i="3"/>
  <c r="K52" i="3"/>
  <c r="J52" i="3"/>
  <c r="E57" i="5" s="1"/>
  <c r="L51" i="3"/>
  <c r="K51" i="3"/>
  <c r="J51" i="3"/>
  <c r="E56" i="5" s="1"/>
  <c r="L50" i="3"/>
  <c r="K50" i="3"/>
  <c r="J50" i="3"/>
  <c r="E55" i="5" s="1"/>
  <c r="L49" i="3"/>
  <c r="K49" i="3"/>
  <c r="J49" i="3"/>
  <c r="E54" i="5" s="1"/>
  <c r="L48" i="3"/>
  <c r="K48" i="3"/>
  <c r="J48" i="3"/>
  <c r="E53" i="5" s="1"/>
  <c r="L47" i="3"/>
  <c r="K47" i="3"/>
  <c r="J47" i="3"/>
  <c r="E52" i="5" s="1"/>
  <c r="L46" i="3"/>
  <c r="K46" i="3"/>
  <c r="J46" i="3"/>
  <c r="E51" i="5" s="1"/>
  <c r="L45" i="3"/>
  <c r="K45" i="3"/>
  <c r="J45" i="3"/>
  <c r="E50" i="5" s="1"/>
  <c r="L44" i="3"/>
  <c r="K44" i="3"/>
  <c r="J44" i="3"/>
  <c r="E49" i="5" s="1"/>
  <c r="L43" i="3"/>
  <c r="K43" i="3"/>
  <c r="J43" i="3"/>
  <c r="E48" i="5" s="1"/>
  <c r="L42" i="3"/>
  <c r="K42" i="3"/>
  <c r="J42" i="3"/>
  <c r="E47" i="5" s="1"/>
  <c r="K38" i="3"/>
  <c r="I44" i="5" s="1"/>
  <c r="J38" i="3"/>
  <c r="K37" i="3"/>
  <c r="I43" i="5" s="1"/>
  <c r="J37" i="3"/>
  <c r="J36" i="3"/>
  <c r="K36" i="3" s="1"/>
  <c r="I42" i="5" s="1"/>
  <c r="J35" i="3"/>
  <c r="K35" i="3" s="1"/>
  <c r="I41" i="5" s="1"/>
  <c r="J34" i="3"/>
  <c r="K34" i="3" s="1"/>
  <c r="I40" i="5" s="1"/>
  <c r="J33" i="3"/>
  <c r="K33" i="3" s="1"/>
  <c r="I39" i="5" s="1"/>
  <c r="J32" i="3"/>
  <c r="K32" i="3" s="1"/>
  <c r="I38" i="5" s="1"/>
  <c r="J31" i="3"/>
  <c r="K31" i="3" s="1"/>
  <c r="I37" i="5" s="1"/>
  <c r="J30" i="3"/>
  <c r="K30" i="3" s="1"/>
  <c r="I36" i="5" s="1"/>
  <c r="J29" i="3"/>
  <c r="K29" i="3" s="1"/>
  <c r="I35" i="5" s="1"/>
  <c r="J28" i="3"/>
  <c r="K28" i="3" s="1"/>
  <c r="I34" i="5" s="1"/>
  <c r="J27" i="3"/>
  <c r="K27" i="3" s="1"/>
  <c r="I33" i="5" s="1"/>
  <c r="J26" i="3"/>
  <c r="K26" i="3" s="1"/>
  <c r="I32" i="5" s="1"/>
  <c r="J25" i="3"/>
  <c r="K25" i="3" s="1"/>
  <c r="I31" i="5" s="1"/>
  <c r="J24" i="3"/>
  <c r="K24" i="3" s="1"/>
  <c r="I30" i="5" s="1"/>
  <c r="J23" i="3"/>
  <c r="K23" i="3" s="1"/>
  <c r="I29" i="5" s="1"/>
  <c r="K22" i="3"/>
  <c r="I28" i="5" s="1"/>
  <c r="J22" i="3"/>
  <c r="J21" i="3"/>
  <c r="K21" i="3" s="1"/>
  <c r="I27" i="5" s="1"/>
  <c r="J20" i="3"/>
  <c r="K20" i="3" s="1"/>
  <c r="I26" i="5" s="1"/>
  <c r="J19" i="3"/>
  <c r="K19" i="3" s="1"/>
  <c r="I25" i="5" s="1"/>
  <c r="J18" i="3"/>
  <c r="K18" i="3" s="1"/>
  <c r="I24" i="5" s="1"/>
  <c r="J17" i="3"/>
  <c r="K17" i="3" s="1"/>
  <c r="I23" i="5" s="1"/>
  <c r="J16" i="3"/>
  <c r="K16" i="3" s="1"/>
  <c r="I22" i="5" s="1"/>
  <c r="J15" i="3"/>
  <c r="K15" i="3" s="1"/>
  <c r="I21" i="5" s="1"/>
  <c r="J14" i="3"/>
  <c r="K14" i="3" s="1"/>
  <c r="I20" i="5" s="1"/>
  <c r="J13" i="3"/>
  <c r="K13" i="3" s="1"/>
  <c r="I19" i="5" s="1"/>
  <c r="J12" i="3"/>
  <c r="K12" i="3" s="1"/>
  <c r="I18" i="5" s="1"/>
  <c r="J11" i="3"/>
  <c r="K11" i="3" s="1"/>
  <c r="I17" i="5" s="1"/>
  <c r="J10" i="3"/>
  <c r="K10" i="3" s="1"/>
  <c r="I16" i="5" s="1"/>
  <c r="J9" i="3"/>
  <c r="K9" i="3" s="1"/>
  <c r="I15" i="5" s="1"/>
  <c r="J8" i="3"/>
  <c r="K8" i="3" s="1"/>
  <c r="I14" i="5" s="1"/>
  <c r="J7" i="3"/>
  <c r="K7" i="3" s="1"/>
  <c r="I13" i="5" s="1"/>
  <c r="J6" i="3"/>
  <c r="K6" i="3" s="1"/>
  <c r="J5" i="3"/>
  <c r="K5" i="3" s="1"/>
  <c r="J158" i="2"/>
  <c r="I158" i="2"/>
  <c r="G158" i="2" s="1"/>
  <c r="L157" i="2"/>
  <c r="J157" i="2"/>
  <c r="I157" i="2"/>
  <c r="G157" i="2" s="1"/>
  <c r="H157" i="2"/>
  <c r="F157" i="2"/>
  <c r="L156" i="2"/>
  <c r="J156" i="2"/>
  <c r="I156" i="2"/>
  <c r="G156" i="2" s="1"/>
  <c r="H156" i="2"/>
  <c r="F156" i="2"/>
  <c r="J151" i="2"/>
  <c r="I151" i="2"/>
  <c r="G151" i="2" s="1"/>
  <c r="J150" i="2"/>
  <c r="I150" i="2"/>
  <c r="G150" i="2" s="1"/>
  <c r="L149" i="2"/>
  <c r="J149" i="2"/>
  <c r="I149" i="2"/>
  <c r="G149" i="2" s="1"/>
  <c r="H149" i="2"/>
  <c r="F149" i="2"/>
  <c r="L148" i="2"/>
  <c r="J148" i="2"/>
  <c r="I148" i="2"/>
  <c r="G148" i="2" s="1"/>
  <c r="H148" i="2"/>
  <c r="F148" i="2"/>
  <c r="J146" i="2"/>
  <c r="I146" i="2"/>
  <c r="G146" i="2" s="1"/>
  <c r="J145" i="2"/>
  <c r="I145" i="2"/>
  <c r="G145" i="2" s="1"/>
  <c r="L144" i="2"/>
  <c r="J144" i="2"/>
  <c r="I144" i="2"/>
  <c r="G144" i="2" s="1"/>
  <c r="H144" i="2"/>
  <c r="F144" i="2"/>
  <c r="L143" i="2"/>
  <c r="J143" i="2"/>
  <c r="I143" i="2"/>
  <c r="G143" i="2" s="1"/>
  <c r="H143" i="2"/>
  <c r="F143" i="2"/>
  <c r="J142" i="2"/>
  <c r="I142" i="2"/>
  <c r="G142" i="2" s="1"/>
  <c r="J141" i="2"/>
  <c r="I141" i="2"/>
  <c r="G141" i="2" s="1"/>
  <c r="J140" i="2"/>
  <c r="I140" i="2"/>
  <c r="G140" i="2" s="1"/>
  <c r="J139" i="2"/>
  <c r="I139" i="2"/>
  <c r="G139" i="2" s="1"/>
  <c r="L138" i="2"/>
  <c r="J138" i="2"/>
  <c r="I138" i="2"/>
  <c r="G138" i="2" s="1"/>
  <c r="H138" i="2"/>
  <c r="F138" i="2"/>
  <c r="L137" i="2"/>
  <c r="J137" i="2"/>
  <c r="I137" i="2"/>
  <c r="G137" i="2" s="1"/>
  <c r="H137" i="2"/>
  <c r="F137" i="2"/>
  <c r="J136" i="2"/>
  <c r="I136" i="2"/>
  <c r="G136" i="2" s="1"/>
  <c r="J135" i="2"/>
  <c r="I135" i="2"/>
  <c r="G135" i="2" s="1"/>
  <c r="J134" i="2"/>
  <c r="I134" i="2"/>
  <c r="G134" i="2" s="1"/>
  <c r="J133" i="2"/>
  <c r="I133" i="2"/>
  <c r="G133" i="2" s="1"/>
  <c r="L132" i="2"/>
  <c r="J132" i="2"/>
  <c r="I132" i="2"/>
  <c r="G132" i="2" s="1"/>
  <c r="H132" i="2"/>
  <c r="F132" i="2"/>
  <c r="J126" i="2"/>
  <c r="I126" i="2"/>
  <c r="G126" i="2" s="1"/>
  <c r="J125" i="2"/>
  <c r="I125" i="2"/>
  <c r="G125" i="2" s="1"/>
  <c r="J119" i="2"/>
  <c r="I119" i="2"/>
  <c r="G119" i="2" s="1"/>
  <c r="L118" i="2"/>
  <c r="J118" i="2"/>
  <c r="I118" i="2"/>
  <c r="G118" i="2" s="1"/>
  <c r="H118" i="2"/>
  <c r="F118" i="2"/>
  <c r="L117" i="2"/>
  <c r="J117" i="2"/>
  <c r="I117" i="2"/>
  <c r="G117" i="2" s="1"/>
  <c r="H117" i="2"/>
  <c r="F117" i="2"/>
  <c r="J116" i="2"/>
  <c r="I116" i="2"/>
  <c r="G116" i="2" s="1"/>
  <c r="J109" i="2"/>
  <c r="I109" i="2"/>
  <c r="G109" i="2" s="1"/>
  <c r="J89" i="2"/>
  <c r="I89" i="2"/>
  <c r="G89" i="2" s="1"/>
  <c r="L88" i="2"/>
  <c r="J88" i="2"/>
  <c r="I88" i="2"/>
  <c r="G88" i="2" s="1"/>
  <c r="H88" i="2"/>
  <c r="F88" i="2"/>
  <c r="J48" i="2"/>
  <c r="I48" i="2"/>
  <c r="G48" i="2" s="1"/>
  <c r="J47" i="2"/>
  <c r="I47" i="2"/>
  <c r="H47" i="2" s="1"/>
  <c r="J46" i="2"/>
  <c r="I46" i="2"/>
  <c r="G46" i="2" s="1"/>
  <c r="J45" i="2"/>
  <c r="I45" i="2"/>
  <c r="H45" i="2" s="1"/>
  <c r="L44" i="2"/>
  <c r="J44" i="2"/>
  <c r="I44" i="2"/>
  <c r="G44" i="2" s="1"/>
  <c r="H44" i="2"/>
  <c r="F44" i="2"/>
  <c r="L43" i="2"/>
  <c r="J43" i="2"/>
  <c r="I43" i="2"/>
  <c r="G43" i="2" s="1"/>
  <c r="H43" i="2"/>
  <c r="F43" i="2"/>
  <c r="J42" i="2"/>
  <c r="I42" i="2"/>
  <c r="H42" i="2" s="1"/>
  <c r="L41" i="2"/>
  <c r="J41" i="2"/>
  <c r="I41" i="2"/>
  <c r="G41" i="2" s="1"/>
  <c r="H41" i="2"/>
  <c r="F41" i="2"/>
  <c r="L40" i="2"/>
  <c r="J40" i="2"/>
  <c r="I40" i="2"/>
  <c r="G40" i="2" s="1"/>
  <c r="H40" i="2"/>
  <c r="F40" i="2"/>
  <c r="J39" i="2"/>
  <c r="I39" i="2"/>
  <c r="H39" i="2" s="1"/>
  <c r="J33" i="2"/>
  <c r="I33" i="2"/>
  <c r="F33" i="2" s="1"/>
  <c r="J32" i="2"/>
  <c r="I32" i="2"/>
  <c r="H32" i="2" s="1"/>
  <c r="J31" i="2"/>
  <c r="I31" i="2"/>
  <c r="G31" i="2" s="1"/>
  <c r="J30" i="2"/>
  <c r="I30" i="2"/>
  <c r="H30" i="2" s="1"/>
  <c r="J29" i="2"/>
  <c r="I29" i="2"/>
  <c r="H29" i="2" s="1"/>
  <c r="J28" i="2"/>
  <c r="I28" i="2"/>
  <c r="H28" i="2" s="1"/>
  <c r="L28" i="2" s="1"/>
  <c r="J27" i="2"/>
  <c r="I27" i="2"/>
  <c r="H27" i="2" s="1"/>
  <c r="J26" i="2"/>
  <c r="I26" i="2"/>
  <c r="H26" i="2" s="1"/>
  <c r="J25" i="2"/>
  <c r="I25" i="2"/>
  <c r="H25" i="2" s="1"/>
  <c r="L25" i="2" s="1"/>
  <c r="J24" i="2"/>
  <c r="I24" i="2"/>
  <c r="H24" i="2" s="1"/>
  <c r="J23" i="2"/>
  <c r="I23" i="2"/>
  <c r="G23" i="2" s="1"/>
  <c r="J22" i="2"/>
  <c r="I22" i="2"/>
  <c r="H22" i="2" s="1"/>
  <c r="J21" i="2"/>
  <c r="I21" i="2"/>
  <c r="H21" i="2" s="1"/>
  <c r="J20" i="2"/>
  <c r="I20" i="2"/>
  <c r="F20" i="2" s="1"/>
  <c r="J19" i="2"/>
  <c r="I19" i="2"/>
  <c r="H19" i="2" s="1"/>
  <c r="J18" i="2"/>
  <c r="I18" i="2"/>
  <c r="H18" i="2" s="1"/>
  <c r="J17" i="2"/>
  <c r="I17" i="2"/>
  <c r="H17" i="2" s="1"/>
  <c r="L17" i="2" s="1"/>
  <c r="J16" i="2"/>
  <c r="I16" i="2"/>
  <c r="H16" i="2" s="1"/>
  <c r="J15" i="2"/>
  <c r="I15" i="2"/>
  <c r="G15" i="2" s="1"/>
  <c r="J14" i="2"/>
  <c r="I14" i="2"/>
  <c r="H14" i="2" s="1"/>
  <c r="J13" i="2"/>
  <c r="I13" i="2"/>
  <c r="H13" i="2" s="1"/>
  <c r="J12" i="2"/>
  <c r="I12" i="2"/>
  <c r="H12" i="2" s="1"/>
  <c r="J11" i="2"/>
  <c r="I11" i="2"/>
  <c r="H11" i="2" s="1"/>
  <c r="J10" i="2"/>
  <c r="I10" i="2"/>
  <c r="G10" i="2" s="1"/>
  <c r="J9" i="2"/>
  <c r="I9" i="2"/>
  <c r="H9" i="2" s="1"/>
  <c r="L8" i="2"/>
  <c r="J8" i="2"/>
  <c r="I8" i="2"/>
  <c r="G8" i="2" s="1"/>
  <c r="H8" i="2"/>
  <c r="F8" i="2"/>
  <c r="B6" i="2"/>
  <c r="A6" i="2"/>
  <c r="B5" i="2"/>
  <c r="A5" i="2"/>
  <c r="B4" i="2"/>
  <c r="A4" i="2"/>
  <c r="I49" i="5" l="1"/>
  <c r="F136" i="2"/>
  <c r="I47" i="5"/>
  <c r="I48" i="5"/>
  <c r="H136" i="2"/>
  <c r="L136" i="2" s="1"/>
  <c r="H54" i="2"/>
  <c r="L54" i="2" s="1"/>
  <c r="K159" i="2"/>
  <c r="H55" i="2"/>
  <c r="L55" i="2" s="1"/>
  <c r="F55" i="2"/>
  <c r="H53" i="2"/>
  <c r="L53" i="2" s="1"/>
  <c r="F53" i="2"/>
  <c r="F54" i="2"/>
  <c r="H52" i="2"/>
  <c r="F52" i="2"/>
  <c r="F158" i="2"/>
  <c r="K110" i="2"/>
  <c r="K160" i="2"/>
  <c r="F161" i="2"/>
  <c r="H161" i="2"/>
  <c r="G155" i="2"/>
  <c r="F155" i="2"/>
  <c r="H152" i="2"/>
  <c r="F154" i="2"/>
  <c r="G152" i="2"/>
  <c r="H158" i="2"/>
  <c r="L158" i="2" s="1"/>
  <c r="K155" i="2"/>
  <c r="L155" i="2"/>
  <c r="H153" i="2"/>
  <c r="H154" i="2"/>
  <c r="G153" i="2"/>
  <c r="H151" i="2"/>
  <c r="F151" i="2"/>
  <c r="F150" i="2"/>
  <c r="H150" i="2"/>
  <c r="L150" i="2" s="1"/>
  <c r="F147" i="2"/>
  <c r="G147" i="2"/>
  <c r="H146" i="2"/>
  <c r="L146" i="2" s="1"/>
  <c r="F146" i="2"/>
  <c r="F145" i="2"/>
  <c r="H145" i="2"/>
  <c r="L145" i="2" s="1"/>
  <c r="K102" i="2"/>
  <c r="F141" i="2"/>
  <c r="H142" i="2"/>
  <c r="L142" i="2" s="1"/>
  <c r="F142" i="2"/>
  <c r="H141" i="2"/>
  <c r="L141" i="2" s="1"/>
  <c r="F140" i="2"/>
  <c r="H140" i="2"/>
  <c r="L140" i="2" s="1"/>
  <c r="H139" i="2"/>
  <c r="L139" i="2" s="1"/>
  <c r="F139" i="2"/>
  <c r="G130" i="2"/>
  <c r="H134" i="2"/>
  <c r="L134" i="2" s="1"/>
  <c r="F133" i="2"/>
  <c r="F135" i="2"/>
  <c r="H135" i="2"/>
  <c r="L135" i="2" s="1"/>
  <c r="F134" i="2"/>
  <c r="H133" i="2"/>
  <c r="L133" i="2" s="1"/>
  <c r="F131" i="2"/>
  <c r="K130" i="2"/>
  <c r="L130" i="2"/>
  <c r="F130" i="2"/>
  <c r="H128" i="2"/>
  <c r="F128" i="2"/>
  <c r="G127" i="2"/>
  <c r="F126" i="2"/>
  <c r="H126" i="2"/>
  <c r="L126" i="2" s="1"/>
  <c r="F125" i="2"/>
  <c r="H125" i="2"/>
  <c r="L125" i="2" s="1"/>
  <c r="L129" i="2"/>
  <c r="K129" i="2"/>
  <c r="H131" i="2"/>
  <c r="F129" i="2"/>
  <c r="G129" i="2"/>
  <c r="H127" i="2"/>
  <c r="F124" i="2"/>
  <c r="K124" i="2"/>
  <c r="H121" i="2"/>
  <c r="K121" i="2" s="1"/>
  <c r="F121" i="2"/>
  <c r="K123" i="2"/>
  <c r="H120" i="2"/>
  <c r="G120" i="2"/>
  <c r="K98" i="2"/>
  <c r="G122" i="2"/>
  <c r="K122" i="2"/>
  <c r="L122" i="2"/>
  <c r="F122" i="2"/>
  <c r="F119" i="2"/>
  <c r="F113" i="2"/>
  <c r="H113" i="2"/>
  <c r="L113" i="2" s="1"/>
  <c r="H119" i="2"/>
  <c r="L119" i="2" s="1"/>
  <c r="H114" i="2"/>
  <c r="F114" i="2"/>
  <c r="K99" i="2"/>
  <c r="F116" i="2"/>
  <c r="H116" i="2"/>
  <c r="L116" i="2" s="1"/>
  <c r="F115" i="2"/>
  <c r="H115" i="2"/>
  <c r="L115" i="2" s="1"/>
  <c r="H112" i="2"/>
  <c r="F112" i="2"/>
  <c r="F101" i="2"/>
  <c r="H97" i="2"/>
  <c r="K97" i="2" s="1"/>
  <c r="F91" i="2"/>
  <c r="G97" i="2"/>
  <c r="K103" i="2"/>
  <c r="K111" i="2"/>
  <c r="F109" i="2"/>
  <c r="H106" i="2"/>
  <c r="L106" i="2" s="1"/>
  <c r="F105" i="2"/>
  <c r="G105" i="2"/>
  <c r="L107" i="2"/>
  <c r="K107" i="2"/>
  <c r="F104" i="2"/>
  <c r="H108" i="2"/>
  <c r="G107" i="2"/>
  <c r="F106" i="2"/>
  <c r="G108" i="2"/>
  <c r="F107" i="2"/>
  <c r="L105" i="2"/>
  <c r="H101" i="2"/>
  <c r="G100" i="2"/>
  <c r="H100" i="2"/>
  <c r="H104" i="2"/>
  <c r="H109" i="2"/>
  <c r="L109" i="2" s="1"/>
  <c r="F95" i="2"/>
  <c r="K96" i="2"/>
  <c r="L96" i="2"/>
  <c r="K95" i="2"/>
  <c r="L95" i="2"/>
  <c r="K94" i="2"/>
  <c r="L94" i="2"/>
  <c r="F96" i="2"/>
  <c r="H93" i="2"/>
  <c r="K93" i="2" s="1"/>
  <c r="F93" i="2"/>
  <c r="F92" i="2"/>
  <c r="G92" i="2"/>
  <c r="K92" i="2"/>
  <c r="L92" i="2"/>
  <c r="G94" i="2"/>
  <c r="G95" i="2"/>
  <c r="F94" i="2"/>
  <c r="G96" i="2"/>
  <c r="H90" i="2"/>
  <c r="H91" i="2"/>
  <c r="G90" i="2"/>
  <c r="F89" i="2"/>
  <c r="H89" i="2"/>
  <c r="L89" i="2" s="1"/>
  <c r="G60" i="2"/>
  <c r="K70" i="2"/>
  <c r="F81" i="2"/>
  <c r="G74" i="2"/>
  <c r="F67" i="2"/>
  <c r="K64" i="2"/>
  <c r="K69" i="2"/>
  <c r="F61" i="2"/>
  <c r="H86" i="2"/>
  <c r="G81" i="2"/>
  <c r="K79" i="2"/>
  <c r="G85" i="2"/>
  <c r="K81" i="2"/>
  <c r="L81" i="2"/>
  <c r="G76" i="2"/>
  <c r="F73" i="2"/>
  <c r="H67" i="2"/>
  <c r="L67" i="2" s="1"/>
  <c r="K63" i="2"/>
  <c r="F85" i="2"/>
  <c r="G66" i="2"/>
  <c r="F84" i="2"/>
  <c r="K71" i="2"/>
  <c r="K57" i="2"/>
  <c r="G86" i="2"/>
  <c r="K85" i="2"/>
  <c r="L85" i="2"/>
  <c r="H83" i="2"/>
  <c r="H84" i="2"/>
  <c r="G83" i="2"/>
  <c r="K80" i="2"/>
  <c r="G58" i="2"/>
  <c r="G68" i="2"/>
  <c r="F65" i="2"/>
  <c r="H61" i="2"/>
  <c r="K61" i="2" s="1"/>
  <c r="H59" i="2"/>
  <c r="K59" i="2" s="1"/>
  <c r="F59" i="2"/>
  <c r="H82" i="2"/>
  <c r="F82" i="2"/>
  <c r="G77" i="2"/>
  <c r="F75" i="2"/>
  <c r="H75" i="2"/>
  <c r="K75" i="2" s="1"/>
  <c r="F77" i="2"/>
  <c r="K58" i="2"/>
  <c r="L58" i="2"/>
  <c r="K74" i="2"/>
  <c r="L74" i="2"/>
  <c r="K66" i="2"/>
  <c r="L66" i="2"/>
  <c r="H76" i="2"/>
  <c r="F74" i="2"/>
  <c r="H68" i="2"/>
  <c r="F66" i="2"/>
  <c r="H60" i="2"/>
  <c r="F58" i="2"/>
  <c r="H62" i="2"/>
  <c r="H72" i="2"/>
  <c r="F62" i="2"/>
  <c r="H73" i="2"/>
  <c r="G72" i="2"/>
  <c r="H65" i="2"/>
  <c r="K77" i="2"/>
  <c r="L77" i="2"/>
  <c r="H46" i="2"/>
  <c r="L46" i="2" s="1"/>
  <c r="K149" i="2"/>
  <c r="F17" i="2"/>
  <c r="H33" i="2"/>
  <c r="L33" i="2" s="1"/>
  <c r="K40" i="2"/>
  <c r="K157" i="2"/>
  <c r="K88" i="2"/>
  <c r="F19" i="2"/>
  <c r="G33" i="2"/>
  <c r="F28" i="2"/>
  <c r="F31" i="2"/>
  <c r="G28" i="2"/>
  <c r="K44" i="2"/>
  <c r="G20" i="2"/>
  <c r="F18" i="2"/>
  <c r="H20" i="2"/>
  <c r="L20" i="2" s="1"/>
  <c r="K43" i="2"/>
  <c r="G19" i="2"/>
  <c r="K118" i="2"/>
  <c r="K143" i="2"/>
  <c r="K56" i="2"/>
  <c r="K50" i="2"/>
  <c r="G14" i="2"/>
  <c r="K19" i="2"/>
  <c r="L19" i="2"/>
  <c r="K8" i="2"/>
  <c r="F11" i="2"/>
  <c r="K137" i="2"/>
  <c r="K144" i="2"/>
  <c r="K54" i="2"/>
  <c r="K51" i="2"/>
  <c r="F15" i="2"/>
  <c r="G17" i="2"/>
  <c r="K87" i="2"/>
  <c r="H15" i="2"/>
  <c r="H31" i="2"/>
  <c r="F49" i="2"/>
  <c r="K117" i="2"/>
  <c r="K27" i="2"/>
  <c r="L27" i="2"/>
  <c r="K12" i="2"/>
  <c r="L12" i="2"/>
  <c r="K39" i="4"/>
  <c r="K132" i="2"/>
  <c r="F25" i="2"/>
  <c r="F27" i="2"/>
  <c r="F23" i="2"/>
  <c r="G25" i="2"/>
  <c r="G27" i="2"/>
  <c r="K19" i="4"/>
  <c r="H23" i="2"/>
  <c r="F39" i="2"/>
  <c r="K138" i="2"/>
  <c r="K148" i="2"/>
  <c r="F12" i="2"/>
  <c r="F10" i="2"/>
  <c r="G12" i="2"/>
  <c r="F26" i="2"/>
  <c r="G30" i="2"/>
  <c r="G32" i="2"/>
  <c r="K41" i="2"/>
  <c r="K156" i="2"/>
  <c r="H10" i="2"/>
  <c r="L10" i="2" s="1"/>
  <c r="G22" i="2"/>
  <c r="H49" i="2"/>
  <c r="H48" i="2"/>
  <c r="K48" i="2" s="1"/>
  <c r="F48" i="2"/>
  <c r="F47" i="2"/>
  <c r="G45" i="2"/>
  <c r="I11" i="5"/>
  <c r="L22" i="2"/>
  <c r="K22" i="2"/>
  <c r="L26" i="2"/>
  <c r="K26" i="2"/>
  <c r="K16" i="2"/>
  <c r="L16" i="2"/>
  <c r="L18" i="2"/>
  <c r="K18" i="2"/>
  <c r="L47" i="2"/>
  <c r="K47" i="2"/>
  <c r="K32" i="2"/>
  <c r="L32" i="2"/>
  <c r="K25" i="4" s="1"/>
  <c r="L14" i="2"/>
  <c r="K14" i="2"/>
  <c r="L42" i="2"/>
  <c r="K42" i="2"/>
  <c r="L13" i="2"/>
  <c r="K13" i="2"/>
  <c r="K45" i="2"/>
  <c r="L45" i="2"/>
  <c r="L30" i="2"/>
  <c r="K30" i="2"/>
  <c r="K11" i="2"/>
  <c r="L11" i="2"/>
  <c r="K9" i="2"/>
  <c r="L9" i="2"/>
  <c r="L29" i="2"/>
  <c r="K29" i="2"/>
  <c r="L39" i="2"/>
  <c r="K39" i="2"/>
  <c r="K24" i="2"/>
  <c r="L24" i="2"/>
  <c r="L21" i="2"/>
  <c r="K21" i="2"/>
  <c r="K11" i="4"/>
  <c r="G11" i="2"/>
  <c r="G18" i="2"/>
  <c r="G26" i="2"/>
  <c r="G39" i="2"/>
  <c r="F46" i="2"/>
  <c r="G47" i="2"/>
  <c r="K32" i="4"/>
  <c r="K40" i="4"/>
  <c r="F9" i="2"/>
  <c r="F16" i="2"/>
  <c r="F24" i="2"/>
  <c r="F32" i="2"/>
  <c r="F45" i="2"/>
  <c r="K12" i="4"/>
  <c r="G16" i="2"/>
  <c r="G24" i="2"/>
  <c r="K28" i="2"/>
  <c r="K33" i="4"/>
  <c r="G9" i="2"/>
  <c r="F14" i="2"/>
  <c r="F22" i="2"/>
  <c r="F30" i="2"/>
  <c r="F13" i="2"/>
  <c r="F21" i="2"/>
  <c r="F29" i="2"/>
  <c r="F42" i="2"/>
  <c r="G13" i="2"/>
  <c r="K17" i="2"/>
  <c r="G21" i="2"/>
  <c r="K25" i="2"/>
  <c r="G29" i="2"/>
  <c r="G42" i="2"/>
  <c r="K18" i="4"/>
  <c r="K26" i="4"/>
  <c r="I12" i="5"/>
  <c r="K146" i="2" l="1"/>
  <c r="K136" i="2"/>
  <c r="K55" i="2"/>
  <c r="K52" i="2"/>
  <c r="L52" i="2"/>
  <c r="K53" i="2"/>
  <c r="K158" i="2"/>
  <c r="K161" i="2"/>
  <c r="L161" i="2"/>
  <c r="K152" i="2"/>
  <c r="L152" i="2"/>
  <c r="K154" i="2"/>
  <c r="L154" i="2"/>
  <c r="K153" i="2"/>
  <c r="L153" i="2"/>
  <c r="K151" i="2"/>
  <c r="L151" i="2"/>
  <c r="K150" i="2"/>
  <c r="L121" i="2"/>
  <c r="K145" i="2"/>
  <c r="K134" i="2"/>
  <c r="K135" i="2"/>
  <c r="K142" i="2"/>
  <c r="K141" i="2"/>
  <c r="K140" i="2"/>
  <c r="K139" i="2"/>
  <c r="K133" i="2"/>
  <c r="L128" i="2"/>
  <c r="K128" i="2"/>
  <c r="K126" i="2"/>
  <c r="K125" i="2"/>
  <c r="K127" i="2"/>
  <c r="L127" i="2"/>
  <c r="K131" i="2"/>
  <c r="L131" i="2"/>
  <c r="K120" i="2"/>
  <c r="L120" i="2"/>
  <c r="K113" i="2"/>
  <c r="K119" i="2"/>
  <c r="L114" i="2"/>
  <c r="K114" i="2"/>
  <c r="K109" i="2"/>
  <c r="L97" i="2"/>
  <c r="K116" i="2"/>
  <c r="K115" i="2"/>
  <c r="K112" i="2"/>
  <c r="L112" i="2"/>
  <c r="K106" i="2"/>
  <c r="L104" i="2"/>
  <c r="K104" i="2"/>
  <c r="K108" i="2"/>
  <c r="L108" i="2"/>
  <c r="K100" i="2"/>
  <c r="L100" i="2"/>
  <c r="L101" i="2"/>
  <c r="K101" i="2"/>
  <c r="L93" i="2"/>
  <c r="K91" i="2"/>
  <c r="L91" i="2"/>
  <c r="K90" i="2"/>
  <c r="L90" i="2"/>
  <c r="K89" i="2"/>
  <c r="K67" i="2"/>
  <c r="L75" i="2"/>
  <c r="K86" i="2"/>
  <c r="L86" i="2"/>
  <c r="K46" i="2"/>
  <c r="L61" i="2"/>
  <c r="L48" i="2"/>
  <c r="K10" i="4" s="1"/>
  <c r="K14" i="4" s="1"/>
  <c r="K84" i="2"/>
  <c r="L84" i="2"/>
  <c r="L83" i="2"/>
  <c r="K83" i="2"/>
  <c r="L59" i="2"/>
  <c r="K82" i="2"/>
  <c r="L82" i="2"/>
  <c r="K20" i="2"/>
  <c r="K72" i="2"/>
  <c r="L72" i="2"/>
  <c r="K65" i="2"/>
  <c r="L65" i="2"/>
  <c r="K62" i="2"/>
  <c r="L62" i="2"/>
  <c r="L73" i="2"/>
  <c r="K73" i="2"/>
  <c r="K60" i="2"/>
  <c r="L60" i="2"/>
  <c r="K76" i="2"/>
  <c r="L76" i="2"/>
  <c r="K68" i="2"/>
  <c r="L68" i="2"/>
  <c r="K33" i="2"/>
  <c r="K10" i="2"/>
  <c r="L31" i="2"/>
  <c r="K31" i="2"/>
  <c r="L15" i="2"/>
  <c r="K38" i="4" s="1"/>
  <c r="K42" i="4" s="1"/>
  <c r="K15" i="2"/>
  <c r="L23" i="2"/>
  <c r="K17" i="4" s="1"/>
  <c r="K21" i="4" s="1"/>
  <c r="K23" i="2"/>
  <c r="K49" i="2"/>
  <c r="L49" i="2"/>
  <c r="L4" i="2"/>
  <c r="Q4" i="1" s="1"/>
  <c r="L14" i="5" s="1"/>
  <c r="F10" i="5"/>
  <c r="I10" i="5" s="1"/>
  <c r="J4" i="3"/>
  <c r="K4" i="3" s="1"/>
  <c r="K31" i="4"/>
  <c r="K35" i="4" s="1"/>
  <c r="C39" i="4"/>
  <c r="G39" i="4" s="1"/>
  <c r="C12" i="4"/>
  <c r="G12" i="4" s="1"/>
  <c r="C10" i="4"/>
  <c r="C17" i="4"/>
  <c r="C32" i="4"/>
  <c r="G32" i="4" s="1"/>
  <c r="C31" i="4"/>
  <c r="C25" i="4"/>
  <c r="G25" i="4" s="1"/>
  <c r="C24" i="4"/>
  <c r="C18" i="4"/>
  <c r="G18" i="4" s="1"/>
  <c r="C26" i="4"/>
  <c r="G26" i="4" s="1"/>
  <c r="C40" i="4"/>
  <c r="G40" i="4" s="1"/>
  <c r="C38" i="4"/>
  <c r="C11" i="4"/>
  <c r="G11" i="4" s="1"/>
  <c r="C33" i="4"/>
  <c r="G33" i="4" s="1"/>
  <c r="C19" i="4"/>
  <c r="G19" i="4" s="1"/>
  <c r="K24" i="4" l="1"/>
  <c r="K28" i="4" s="1"/>
  <c r="L5" i="2"/>
  <c r="Q5" i="1" s="1"/>
  <c r="L6" i="2"/>
  <c r="Q6" i="1" s="1"/>
  <c r="L11" i="5" s="1"/>
  <c r="J42" i="5" s="1"/>
  <c r="C42" i="4"/>
  <c r="G38" i="4"/>
  <c r="G42" i="4" s="1"/>
  <c r="G17" i="4"/>
  <c r="G21" i="4" s="1"/>
  <c r="C21" i="4"/>
  <c r="C28" i="4"/>
  <c r="G24" i="4"/>
  <c r="G28" i="4" s="1"/>
  <c r="G47" i="4"/>
  <c r="C35" i="4"/>
  <c r="G31" i="4"/>
  <c r="G35" i="4" s="1"/>
  <c r="G46" i="4"/>
  <c r="C14" i="4"/>
  <c r="G10" i="4"/>
  <c r="G14" i="4" s="1"/>
  <c r="J19" i="5" l="1"/>
  <c r="J43" i="5"/>
  <c r="J28" i="5"/>
  <c r="J36" i="5"/>
  <c r="J35" i="5"/>
  <c r="L28" i="4"/>
  <c r="J47" i="5"/>
  <c r="J12" i="5"/>
  <c r="J15" i="5"/>
  <c r="J39" i="5"/>
  <c r="J48" i="5"/>
  <c r="J23" i="5"/>
  <c r="J20" i="5"/>
  <c r="J44" i="5"/>
  <c r="L42" i="4"/>
  <c r="J27" i="5"/>
  <c r="J31" i="5"/>
  <c r="L21" i="4"/>
  <c r="J13" i="5"/>
  <c r="J21" i="5"/>
  <c r="J29" i="5"/>
  <c r="J37" i="5"/>
  <c r="L14" i="4"/>
  <c r="L35" i="4"/>
  <c r="J14" i="5"/>
  <c r="J22" i="5"/>
  <c r="J30" i="5"/>
  <c r="J38" i="5"/>
  <c r="J49" i="5"/>
  <c r="J16" i="5"/>
  <c r="J24" i="5"/>
  <c r="J32" i="5"/>
  <c r="J40" i="5"/>
  <c r="J10" i="5"/>
  <c r="J17" i="5"/>
  <c r="J25" i="5"/>
  <c r="J33" i="5"/>
  <c r="J41" i="5"/>
  <c r="J11" i="5"/>
  <c r="J18" i="5"/>
  <c r="J26" i="5"/>
  <c r="J34" i="5"/>
  <c r="G45" i="4"/>
  <c r="H28" i="4" s="1"/>
  <c r="H42" i="4" l="1"/>
  <c r="H14" i="4"/>
  <c r="H21" i="4"/>
  <c r="H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Luana Alves de Araújo Passos Aguiar</author>
    <author>crp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898C5B6E-E116-42F7-BFEF-A2F9547FAA56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>* Tipo de Categoria</t>
        </r>
        <r>
          <rPr>
            <sz val="9"/>
            <color indexed="81"/>
            <rFont val="Segoe UI"/>
            <family val="2"/>
          </rPr>
          <t xml:space="preserve">
09 - código
10 - descrição</t>
        </r>
      </text>
    </comment>
    <comment ref="E9" authorId="1" shapeId="0" xr:uid="{50CF0250-0590-4FC4-9B8F-BBA47E10A24C}">
      <text>
        <r>
          <rPr>
            <sz val="9"/>
            <color indexed="81"/>
            <rFont val="Segoe UI"/>
            <family val="2"/>
          </rPr>
          <t>01 - Categorias
02 - Tipo de Categoria</t>
        </r>
      </text>
    </comment>
    <comment ref="D10" authorId="1" shapeId="0" xr:uid="{F704E262-9525-46BE-9F25-4BF8D97268AC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sigla
04 - flag ativo
</t>
        </r>
        <r>
          <rPr>
            <b/>
            <sz val="9"/>
            <color indexed="81"/>
            <rFont val="Segoe UI"/>
            <family val="2"/>
          </rPr>
          <t xml:space="preserve">
* Setores</t>
        </r>
        <r>
          <rPr>
            <sz val="9"/>
            <color indexed="81"/>
            <rFont val="Segoe UI"/>
            <family val="2"/>
          </rPr>
          <t xml:space="preserve">
05 - código
06 - código do órgão
07 - código setor pai
08 - descrição
09 - gestor
10 - flag ativo</t>
        </r>
      </text>
    </comment>
    <comment ref="E10" authorId="1" shapeId="0" xr:uid="{189C9609-571B-4ACB-B4F7-BC72EC6C3695}">
      <text>
        <r>
          <rPr>
            <sz val="9"/>
            <color indexed="81"/>
            <rFont val="Segoe UI"/>
            <family val="2"/>
          </rPr>
          <t>01 - Órgão
02 - Setores</t>
        </r>
      </text>
    </comment>
    <comment ref="D11" authorId="1" shapeId="0" xr:uid="{E1AB134D-7041-4EB5-AB64-ADC5A50B353B}">
      <text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01 - código
02 - cpf
03 - nome
04 - endereço
05 - e-mail
06 - data de nascimento
07 - município
08 - sexo
09 - telefone
10 - código estado civil
11 - código escolaridade
12 - flag ativo
</t>
        </r>
      </text>
    </comment>
    <comment ref="E11" authorId="1" shapeId="0" xr:uid="{CA85B34F-FDA6-4C78-9BAC-0B1993ADA0C4}">
      <text>
        <r>
          <rPr>
            <sz val="9"/>
            <color indexed="81"/>
            <rFont val="Segoe UI"/>
            <family val="2"/>
          </rPr>
          <t xml:space="preserve">01 - Pessoa
</t>
        </r>
      </text>
    </comment>
    <comment ref="D12" authorId="1" shapeId="0" xr:uid="{56D3E04D-F059-4F5D-8E06-20B092AD7CB1}">
      <text>
        <r>
          <rPr>
            <b/>
            <sz val="9"/>
            <color indexed="81"/>
            <rFont val="Segoe UI"/>
            <family val="2"/>
          </rPr>
          <t>* Servidor</t>
        </r>
        <r>
          <rPr>
            <sz val="9"/>
            <color indexed="81"/>
            <rFont val="Segoe UI"/>
            <family val="2"/>
          </rPr>
          <t xml:space="preserve">
01 - código
02 - código da pessoa
03 - matrícula
04 - código órgão
05 - código vínculo
06 - código setor
07 - código do cargo
08 - data início
09 - data fim
10 - flag ativo
</t>
        </r>
      </text>
    </comment>
    <comment ref="E12" authorId="1" shapeId="0" xr:uid="{33E0ACC1-5412-46BC-AA54-E2BDA2BDEAA6}">
      <text>
        <r>
          <rPr>
            <sz val="9"/>
            <color indexed="81"/>
            <rFont val="Segoe UI"/>
            <family val="2"/>
          </rPr>
          <t xml:space="preserve">01 - Servidor
</t>
        </r>
      </text>
    </comment>
    <comment ref="D13" authorId="2" shapeId="0" xr:uid="{F4B350FF-E390-4618-9A3B-DBEFCFF5C152}">
      <text>
        <r>
          <rPr>
            <b/>
            <sz val="9"/>
            <color indexed="81"/>
            <rFont val="Segoe UI"/>
            <family val="2"/>
          </rPr>
          <t>* CID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3" authorId="2" shapeId="0" xr:uid="{27AB7DC2-760C-4C68-82CF-E2DBC3EF4469}">
      <text>
        <r>
          <rPr>
            <sz val="9"/>
            <color indexed="81"/>
            <rFont val="Segoe UI"/>
            <family val="2"/>
          </rPr>
          <t>01 - CID</t>
        </r>
      </text>
    </comment>
    <comment ref="D14" authorId="2" shapeId="0" xr:uid="{DD566882-2636-4BE0-8A36-09F3156B5255}">
      <text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4" authorId="2" shapeId="0" xr:uid="{C1D9D10E-C541-451D-9EB3-409933F2616A}">
      <text>
        <r>
          <rPr>
            <sz val="9"/>
            <color indexed="81"/>
            <rFont val="Segoe UI"/>
            <family val="2"/>
          </rPr>
          <t>01 - Cargo</t>
        </r>
      </text>
    </comment>
    <comment ref="D15" authorId="2" shapeId="0" xr:uid="{22EC80EC-05EF-4944-82C0-BBBBF9991ED8}">
      <text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5" authorId="2" shapeId="0" xr:uid="{5C5BDD1C-A44D-4458-A97E-0CE80FCA2E0F}">
      <text>
        <r>
          <rPr>
            <sz val="9"/>
            <color indexed="81"/>
            <rFont val="Segoe UI"/>
            <family val="2"/>
          </rPr>
          <t>01 - Vínculo</t>
        </r>
      </text>
    </comment>
    <comment ref="D16" authorId="2" shapeId="0" xr:uid="{DF5F456C-6253-4635-9945-2FA54303CF5D}">
      <text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6" authorId="2" shapeId="0" xr:uid="{F4A1C087-3E17-464D-8C8E-FBB3558A20F3}">
      <text>
        <r>
          <rPr>
            <sz val="9"/>
            <color indexed="81"/>
            <rFont val="Segoe UI"/>
            <family val="2"/>
          </rPr>
          <t>01 - Perfil</t>
        </r>
      </text>
    </comment>
    <comment ref="D17" authorId="2" shapeId="0" xr:uid="{1048BFAB-C732-4052-ABCF-A722CFDBB043}">
      <text>
        <r>
          <rPr>
            <b/>
            <sz val="9"/>
            <color indexed="81"/>
            <rFont val="Segoe UI"/>
            <family val="2"/>
          </rPr>
          <t>* Escolaridade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7" authorId="2" shapeId="0" xr:uid="{C348D9A9-528E-4FCE-964B-B78A76704D45}">
      <text>
        <r>
          <rPr>
            <sz val="9"/>
            <color indexed="81"/>
            <rFont val="Segoe UI"/>
            <family val="2"/>
          </rPr>
          <t>01 - Escolaridade</t>
        </r>
      </text>
    </comment>
    <comment ref="D18" authorId="2" shapeId="0" xr:uid="{14C976BC-AD79-4E20-ABBD-CB95251F6D6B}">
      <text>
        <r>
          <rPr>
            <b/>
            <sz val="9"/>
            <color indexed="81"/>
            <rFont val="Segoe UI"/>
            <family val="2"/>
          </rPr>
          <t>* Município</t>
        </r>
        <r>
          <rPr>
            <sz val="9"/>
            <color indexed="81"/>
            <rFont val="Segoe UI"/>
            <family val="2"/>
          </rPr>
          <t xml:space="preserve">
01 - código
02 - descrição
03 - UF
</t>
        </r>
      </text>
    </comment>
    <comment ref="E18" authorId="2" shapeId="0" xr:uid="{B969ED7B-D18E-4266-A41B-9EB12B8A9D87}">
      <text>
        <r>
          <rPr>
            <sz val="9"/>
            <color indexed="81"/>
            <rFont val="Segoe UI"/>
            <family val="2"/>
          </rPr>
          <t xml:space="preserve">01 - Município
</t>
        </r>
      </text>
    </comment>
    <comment ref="D19" authorId="2" shapeId="0" xr:uid="{410C1D1E-651C-44AA-8324-23461E69601E}">
      <text>
        <r>
          <rPr>
            <b/>
            <sz val="9"/>
            <color indexed="81"/>
            <rFont val="Segoe UI"/>
            <family val="2"/>
          </rPr>
          <t>* Estado Civil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19" authorId="2" shapeId="0" xr:uid="{FB70FD55-21AD-4438-8CE0-49DCA1638EE7}">
      <text>
        <r>
          <rPr>
            <sz val="9"/>
            <color indexed="81"/>
            <rFont val="Segoe UI"/>
            <family val="2"/>
          </rPr>
          <t>01 - Escolaridade</t>
        </r>
      </text>
    </comment>
    <comment ref="D20" authorId="2" shapeId="0" xr:uid="{A1B46B68-8DD5-4B8C-B1A6-BB0A7A7B1224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motivo encaminhamento
16 - código origem
17 - código do órgão
18 - código situação
19 - código psicólogo responsável
20 - código assistente social responsável
21 - data cadastro
22 - usuário cadastro
23 - data alteração
24 - usuário alteração
</t>
        </r>
        <r>
          <rPr>
            <b/>
            <sz val="9"/>
            <color indexed="81"/>
            <rFont val="Segoe UI"/>
            <family val="2"/>
          </rPr>
          <t xml:space="preserve">* Origem do Acompanhamento
</t>
        </r>
        <r>
          <rPr>
            <sz val="9"/>
            <color indexed="81"/>
            <rFont val="Segoe UI"/>
            <family val="2"/>
          </rPr>
          <t xml:space="preserve">25 - código
26 - descrição
27 - data cadastro
28 - data alteração
29 - usuário cadastro
30 - usuário alteração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31 - código
32 - descrição 
33 - data cadastro
34 - data alteração
35 - usuário cadastro
36 -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do Acompanhamento </t>
        </r>
        <r>
          <rPr>
            <sz val="9"/>
            <color indexed="81"/>
            <rFont val="Segoe UI"/>
            <family val="2"/>
          </rPr>
          <t xml:space="preserve">
37 - código
38 - código do acompanhamento
39 - código da situação do acompanhamento
40 - motivo cancelamento
41 - data cadastro
42 - data alteração
43 - usuário cadastro
44 - usuário alteração
</t>
        </r>
        <r>
          <rPr>
            <b/>
            <sz val="9"/>
            <color indexed="81"/>
            <rFont val="Segoe UI"/>
            <family val="2"/>
          </rPr>
          <t>* Notificações do Acompanhamento</t>
        </r>
        <r>
          <rPr>
            <sz val="9"/>
            <color indexed="81"/>
            <rFont val="Segoe UI"/>
            <family val="2"/>
          </rPr>
          <t xml:space="preserve">
45 - código
46 - código do acompanhamento
47 - e-mail
48 - usuário
49 - mensagem
50 - tipo de notificação
51 - usuário cadastro
52 - usuário alteração
53 - data cadastro
54 - data alteração
</t>
        </r>
        <r>
          <rPr>
            <b/>
            <sz val="9"/>
            <color indexed="81"/>
            <rFont val="Segoe UI"/>
            <family val="2"/>
          </rPr>
          <t xml:space="preserve">* Encaminhamento Profissional
</t>
        </r>
        <r>
          <rPr>
            <sz val="9"/>
            <color indexed="81"/>
            <rFont val="Segoe UI"/>
            <family val="2"/>
          </rPr>
          <t xml:space="preserve">55 - código
56 - código do acompanhamento
57 - número do encaminhamento
58 - flag equipe psicólogo
59 - movito encaminhamento psicólogo
60 - flag equipe assistente social
61 - movito encaminhamento assistente social
62 - usuário cadastro
63 - usuário alteração
64 - data cadastro
65 - data alteração
</t>
        </r>
        <r>
          <rPr>
            <b/>
            <sz val="9"/>
            <color indexed="81"/>
            <rFont val="Segoe UI"/>
            <family val="2"/>
          </rPr>
          <t xml:space="preserve">
* Encaminhamento Externo
</t>
        </r>
        <r>
          <rPr>
            <sz val="9"/>
            <color indexed="81"/>
            <rFont val="Segoe UI"/>
            <family val="2"/>
          </rPr>
          <t xml:space="preserve">66 - código
67 - código do acompanhamento
68 - código da especialidade profissional
69 - código da unidade de encaminhamento
70 - motivo do encaminhamento
71 - celular do profissional
72 - e-mail do profissional 
73 - usuário cadastro
74 - usuário alteração
75 - data cadastro
76 - data alteração
</t>
        </r>
        <r>
          <rPr>
            <b/>
            <sz val="9"/>
            <color indexed="81"/>
            <rFont val="Segoe UI"/>
            <family val="2"/>
          </rPr>
          <t xml:space="preserve">* Anotações Gerais
</t>
        </r>
        <r>
          <rPr>
            <sz val="9"/>
            <color indexed="81"/>
            <rFont val="Segoe UI"/>
            <family val="2"/>
          </rPr>
          <t xml:space="preserve">77 - código
78 - código do acompanhamento
79 - data de referência
80 - título
81 - anotações
82 - usuário cadastro
83 - usuário alteração
84 - data cadastro
85 - data alteração
</t>
        </r>
        <r>
          <rPr>
            <b/>
            <sz val="9"/>
            <color indexed="81"/>
            <rFont val="Segoe UI"/>
            <family val="2"/>
          </rPr>
          <t xml:space="preserve">* Motivo Encerramento
</t>
        </r>
        <r>
          <rPr>
            <sz val="9"/>
            <color indexed="81"/>
            <rFont val="Segoe UI"/>
            <family val="2"/>
          </rPr>
          <t xml:space="preserve">86 - código
87 - descrição
</t>
        </r>
      </text>
    </comment>
    <comment ref="E20" authorId="2" shapeId="0" xr:uid="{7DFF715A-5AE7-4916-B9D1-ED655DFF3507}">
      <text>
        <r>
          <rPr>
            <sz val="9"/>
            <color indexed="81"/>
            <rFont val="Segoe UI"/>
            <family val="2"/>
          </rPr>
          <t xml:space="preserve">01 - Acompanhamento Psicossocial
02 - Origem do acompanhamento
03 - Situação do acompanhamento
04 - Histório de Andamento do Acompanhamento 
05 - Notificações do Acompanhamento
06 - Encaminhamento Profissional
07 - Encaminhamento Externo
08 - Anotações Gerais
09 - Motivo Encerramento
</t>
        </r>
      </text>
    </comment>
    <comment ref="D21" authorId="2" shapeId="0" xr:uid="{056689EA-427C-4D3A-86E7-E448E31616E3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19 - data cadastro
20 -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21 - código
22 - código do acompanhamento
23 - código da situação do acompanhamento
24 - motivo cancelamento
25 - data cadastro
26 - usuário cadastro
27 - comando
28 - mensagem</t>
        </r>
      </text>
    </comment>
    <comment ref="E21" authorId="2" shapeId="0" xr:uid="{6963D990-EA76-448F-B6C9-A0977D3F767C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22" authorId="1" shapeId="0" xr:uid="{856993C1-DD5C-4534-818E-23A6733BF9F1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" authorId="2" shapeId="0" xr:uid="{3BE925EE-AD41-4A8B-BA4D-7464AAE1ECEF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23" authorId="1" shapeId="0" xr:uid="{82D6302A-A486-4263-8FE8-72289CA54A85}">
      <text>
        <r>
          <rPr>
            <b/>
            <sz val="9"/>
            <color indexed="81"/>
            <rFont val="Segoe UI"/>
            <family val="2"/>
          </rPr>
          <t>* Servidor</t>
        </r>
        <r>
          <rPr>
            <sz val="9"/>
            <color indexed="81"/>
            <rFont val="Segoe UI"/>
            <family val="2"/>
          </rPr>
          <t xml:space="preserve">
01 - código
02 - código da pessoa
03 - matrícula
04 - código órgão
05 - código vínculo
06 - código setor
07 - código do cargo
08 - data início
09 - data fim
10 - flag ativo
</t>
        </r>
        <r>
          <rPr>
            <b/>
            <sz val="9"/>
            <color indexed="81"/>
            <rFont val="Segoe UI"/>
            <family val="2"/>
          </rPr>
          <t xml:space="preserve">*Órgão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15 - cpf
16 - nome
17 - e-mail
18 - data de nascimento
19 - município
20 - sexo
21 - telefone
22 - código estado civil
23 - código escolaridade
</t>
        </r>
        <r>
          <rPr>
            <b/>
            <sz val="9"/>
            <color indexed="81"/>
            <rFont val="Segoe UI"/>
            <family val="2"/>
          </rPr>
          <t xml:space="preserve">* Estado Civil
</t>
        </r>
        <r>
          <rPr>
            <sz val="9"/>
            <color indexed="81"/>
            <rFont val="Segoe UI"/>
            <family val="2"/>
          </rPr>
          <t xml:space="preserve">24 - descrição
</t>
        </r>
        <r>
          <rPr>
            <b/>
            <sz val="9"/>
            <color indexed="81"/>
            <rFont val="Segoe UI"/>
            <family val="2"/>
          </rPr>
          <t xml:space="preserve">* Escolaridade
</t>
        </r>
        <r>
          <rPr>
            <sz val="9"/>
            <color indexed="81"/>
            <rFont val="Segoe UI"/>
            <family val="2"/>
          </rPr>
          <t>25 - descrição
26 - idade
27 - tempo serviço</t>
        </r>
      </text>
    </comment>
    <comment ref="E23" authorId="1" shapeId="0" xr:uid="{1074A36B-7DC8-49B7-B726-8BD6D43C74DC}">
      <text>
        <r>
          <rPr>
            <sz val="9"/>
            <color indexed="81"/>
            <rFont val="Segoe UI"/>
            <family val="2"/>
          </rPr>
          <t>01 - Servidor
02 - Órgão
03 - Cargo
04 - Vínculo
05 - Pessoa
06 - Estado Civil
07 - Escolaridade</t>
        </r>
      </text>
    </comment>
    <comment ref="D24" authorId="2" shapeId="0" xr:uid="{A4DAA82C-16DE-40BA-9A33-5C84F3C252A4}">
      <text>
        <r>
          <rPr>
            <b/>
            <sz val="9"/>
            <color indexed="81"/>
            <rFont val="Segoe UI"/>
            <family val="2"/>
          </rPr>
          <t>* CID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24" authorId="2" shapeId="0" xr:uid="{4EE27BA0-0AF4-4A22-B5E4-3D895794AF19}">
      <text>
        <r>
          <rPr>
            <sz val="9"/>
            <color indexed="81"/>
            <rFont val="Segoe UI"/>
            <family val="2"/>
          </rPr>
          <t>01 - CID</t>
        </r>
      </text>
    </comment>
    <comment ref="D25" authorId="1" shapeId="0" xr:uid="{8E075D9D-425C-4C56-B6CF-6DDAD6161B34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5" authorId="2" shapeId="0" xr:uid="{CAC0858D-D581-4D60-A9E3-8624467BBD29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26" authorId="2" shapeId="0" xr:uid="{800AA485-10BE-40E1-A560-54D4F1B21038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19 - data alteração
20 - usuário alteração
21 - comando
22 - mensagem</t>
        </r>
      </text>
    </comment>
    <comment ref="E26" authorId="2" shapeId="0" xr:uid="{1AA8EF40-8DF8-4760-8C68-6C252698C2C8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27" authorId="2" shapeId="0" xr:uid="{C4BDFD7D-3E18-4ED7-A502-979CE58CC226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</t>
        </r>
      </text>
    </comment>
    <comment ref="E27" authorId="2" shapeId="0" xr:uid="{49DAAFBE-7122-4182-AF82-E685D928C0DE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28" authorId="2" shapeId="0" xr:uid="{E1BBA0FD-51B2-438A-8554-277A0F96F12A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situação
03 - comando
04 - mensagem</t>
        </r>
      </text>
    </comment>
    <comment ref="E28" authorId="2" shapeId="0" xr:uid="{55495267-E613-4556-8037-F5C00928A749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29" authorId="2" shapeId="0" xr:uid="{3C6EA08B-8D92-4149-B36A-52ECA67744B4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situação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05 - código
06 - código do acompanhamento
07 - código da situação do acompanhamento
08 - motivo cancelamento
09 - data cadastro
10 - usuário cadastro
11 - comando
12 - mensagem</t>
        </r>
      </text>
    </comment>
    <comment ref="E29" authorId="2" shapeId="0" xr:uid="{92B99A01-C12F-42E4-9660-5C7D85C1116B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30" authorId="1" shapeId="0" xr:uid="{AA6A1B2D-98E6-4F12-BDB9-DD9C86F4764A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código origem
05 - código do órgão
06 - código situação
07 - código responsável psicólogo
08 - código responsável assistente social
09 - usuário cadastro
10 - data cadastro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>* Origem do Acompanhamento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14 - código da pessoa
15 - matrícula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16 - nome
17 - comando
18 - mensagem
</t>
        </r>
      </text>
    </comment>
    <comment ref="E30" authorId="1" shapeId="0" xr:uid="{B7BEF903-FEDD-49A2-BF84-27DD0CA4B232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31" authorId="1" shapeId="0" xr:uid="{4F3A1398-1FAF-4697-B6CF-79E48E074518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código origem
05 - código do órgão
06 - código situação
07 - código responsável psicólogo
08 - código responsável assistente social
09 - usuário cadastro
10 - data cadastro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>* Origem do Acompanhamento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15 -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16 - código da pessoa
17 - matrícula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18 - nome
19 - comando
20 - mensagem
</t>
        </r>
      </text>
    </comment>
    <comment ref="E31" authorId="1" shapeId="0" xr:uid="{B9129602-4DF4-4D0D-92E4-CE35613FBCED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32" authorId="2" shapeId="0" xr:uid="{463B2F0F-5754-4278-B7F8-E6B6BE21FF02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motivo do encaminhamento
04 - usuário cadastro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05 - código pessoa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>06 - nome
07 - comando
08 - mensagem</t>
        </r>
      </text>
    </comment>
    <comment ref="E32" authorId="2" shapeId="0" xr:uid="{436C6AA7-270B-47D6-896C-7AFEB5B32473}">
      <text>
        <r>
          <rPr>
            <sz val="9"/>
            <color indexed="81"/>
            <rFont val="Segoe UI"/>
            <family val="2"/>
          </rPr>
          <t>01 - Acompanhamento Psicossocial
02 - Servidor
03 - Pessoa</t>
        </r>
      </text>
    </comment>
    <comment ref="D33" authorId="2" shapeId="0" xr:uid="{18547B0B-7DD1-4432-83BA-EA7F4A704A22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celular
05 - e-mail
06 - flag apresentou atestado médico
07 - flag havia cid
08 - código cid principal
09 - código cid secundário
10 - código cid terciário
11 - código especialidade profissional apresentada
12 - data do acolhimento
13 - breve relato do acolhimento
14 - flag deseja acompanhamento
15 - flag risco de suicídio
16 - código origem
17 - código do órgão
18 - código situação
19 - data cadastro
20 - usuário cadastro
21 - data alteração
22 -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23 - código
24 - código do acompanhamento
25 - código da situação do acompanhamento
26 - motivo cancelamento
27 - data cadastro
28 - usuário cadastro
29 - comando
30 - mensagem</t>
        </r>
      </text>
    </comment>
    <comment ref="E33" authorId="2" shapeId="0" xr:uid="{C74857A3-8452-42D0-88FE-12840BD6169D}">
      <text>
        <r>
          <rPr>
            <sz val="9"/>
            <color indexed="81"/>
            <rFont val="Segoe UI"/>
            <family val="2"/>
          </rPr>
          <t>01 - Acompanhamento Psicossocial
02 - Servidor
03 - CID
04 - Categoria
05 - Órgão</t>
        </r>
      </text>
    </comment>
    <comment ref="D34" authorId="1" shapeId="0" xr:uid="{DADDF414-13A8-4D00-8AE4-B746D74A599E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código origem
05 - código do órgão
06 - código situação
07 - código responsável psicólogo
08 - código responsável assistente social
</t>
        </r>
        <r>
          <rPr>
            <b/>
            <sz val="9"/>
            <color indexed="81"/>
            <rFont val="Segoe UI"/>
            <family val="2"/>
          </rPr>
          <t xml:space="preserve">* Situação do Acompanhamento
</t>
        </r>
        <r>
          <rPr>
            <sz val="9"/>
            <color indexed="81"/>
            <rFont val="Segoe UI"/>
            <family val="2"/>
          </rPr>
          <t xml:space="preserve">09 - descrição
</t>
        </r>
        <r>
          <rPr>
            <b/>
            <sz val="9"/>
            <color indexed="81"/>
            <rFont val="Segoe UI"/>
            <family val="2"/>
          </rPr>
          <t>* Origem do Acompanhamento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12 - código da pessoa
13 - matrícula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14 - nome
15 - comando
16 - mensagem
</t>
        </r>
      </text>
    </comment>
    <comment ref="E34" authorId="1" shapeId="0" xr:uid="{EC669FF3-2F09-494B-97A1-0FA4221A99EB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35" authorId="1" shapeId="0" xr:uid="{9D5667F7-C32F-4AFE-B5C2-5324B8D310D0}">
      <text>
        <r>
          <rPr>
            <sz val="9"/>
            <color indexed="81"/>
            <rFont val="Segoe UI"/>
            <family val="2"/>
          </rPr>
          <t xml:space="preserve">1 - Nome
2 - Matricula
3 - Idade
4 - Sexo
5 - Telefone
6 - Estado Civil
7 - Escolaridade
8 - Cargo
9 - Perfil
10 - Jornada
11 - Municipio
12 - Órgão
13 - Unidade
14 - Tipo Vínculo
15 - Tempo Serviço
16 - Categoria
17 - Tipo de Entrada
18 - Celular
19 - Email
20 - Data Acolhimento
21 - Risco Suicídio
22 - Flag Deseja Acompanhamento
23 - Breve Relato
24 - Atestado médico
25 - Presença CID
26 - CID Principal
27 - CID Secundário
28 - Especialidade Profissional
29 - comando
30 - mensagem
</t>
        </r>
      </text>
    </comment>
    <comment ref="E35" authorId="1" shapeId="0" xr:uid="{991CC276-BA57-4EF0-883A-2D70F21B88B5}">
      <text>
        <r>
          <rPr>
            <sz val="9"/>
            <color indexed="81"/>
            <rFont val="Segoe UI"/>
            <family val="2"/>
          </rPr>
          <t>01 - Acompanhamento Psicossocial
02 - Servidor
03 - Pessoa
04 - Categoria
05 - CID
06 - Cargo
07 - Vínculo
08 - Perfil
09 - Escolaridade
10 - Município
11 - Estado Civil</t>
        </r>
      </text>
    </comment>
    <comment ref="D38" authorId="2" shapeId="0" xr:uid="{19C81559-92D0-4756-A834-1880474BD5CF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código da demanda
03 - tipo de acompanhamento
04 - código do profissional
05 - número do encaminhamento
06 - encaminhado por
07 - motivo encaminhamento
08 - situação 
09 - motivo desligamento
10 - data desligamento
11 - motivo do encerramento
12 - justificativa do encerramento
13 - data cadastro
14 - usuário cadastro
15 - data alteração
16 -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17 - código
18 - código da demanda
19 - código do acompanhamento
20 - número de atendimentos
21 - situação
22 - motivo encerramento
23 - justificativa encerramento
24 - flag prorrogação
25 - data cadastro
26 - usuário cadastro
27 - data alteração
28 - usuário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29 - código
30 - código do plano de acompanhamento
31 - número do atendimento
32 - data do agendamento
33 - hora do agendamento
34 - modalidade
35 - flag comparecimento
36 - data cadastro
37 - usuário cadastro
38 - data alteração
39 - usuário alteração
</t>
        </r>
        <r>
          <rPr>
            <b/>
            <sz val="9"/>
            <color indexed="81"/>
            <rFont val="Segoe UI"/>
            <family val="2"/>
          </rPr>
          <t xml:space="preserve">* Histórico Prorrogação </t>
        </r>
        <r>
          <rPr>
            <sz val="9"/>
            <color indexed="81"/>
            <rFont val="Segoe UI"/>
            <family val="2"/>
          </rPr>
          <t xml:space="preserve">
40 - código
41 - código do plano de acompanhamento
42 - justificação da prorrogação
43 - data cadastro
44 - usuário cadastro
45 - data alteração
46 -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>47 - código
48 - código agendamento
49 - código do acompanhamento
50 - data do atendimento
51 - flag risco de suicídio
52 - código tipo de serviço
53 - breve relato do atendimento
54 - informações sigilosas do atendimento
55 - flag acompanhamento externo
56 - situação
57 - data cadastro
58 - usuário cadastro
59 - data alteração
60 - usuário alteração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* Motivo Encerramento
</t>
        </r>
        <r>
          <rPr>
            <sz val="9"/>
            <color indexed="81"/>
            <rFont val="Segoe UI"/>
            <family val="2"/>
          </rPr>
          <t xml:space="preserve">61 - código
62 - descrição
</t>
        </r>
        <r>
          <rPr>
            <b/>
            <sz val="9"/>
            <color indexed="81"/>
            <rFont val="Segoe UI"/>
            <family val="2"/>
          </rPr>
          <t xml:space="preserve">
* Pesquisa de Satisfação</t>
        </r>
        <r>
          <rPr>
            <sz val="9"/>
            <color indexed="81"/>
            <rFont val="Segoe UI"/>
            <family val="2"/>
          </rPr>
          <t xml:space="preserve">
63 - código
64 - código do acompanhamento
65 - Durante o atendimento, você se sentiu à vontade para conversar?
66 - Como você se sente após esse acompanhamento?
67 - NPS – Numa escala de 0 a 10, quanto você indicaria nosso atendimento a um colega?
68 - Comentários
69 - usuário cadastro
70 - usuário alteração
71 - data cadastro
72 - data alteração
</t>
        </r>
      </text>
    </comment>
    <comment ref="E38" authorId="2" shapeId="0" xr:uid="{834C1AA1-D162-4DDC-88F4-EA41EC0676FD}">
      <text>
        <r>
          <rPr>
            <sz val="9"/>
            <color indexed="81"/>
            <rFont val="Segoe UI"/>
            <family val="2"/>
          </rPr>
          <t>01 - Acompanhamento do Profissional
02 - Plano de Acompanhamento
03 - Agendamentos
04 - Histórico Prorrogação 
05 - Atendimentos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06 - Motivo Encerramento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07 - Pesquisa de Satisfação
</t>
        </r>
      </text>
    </comment>
    <comment ref="D39" authorId="2" shapeId="0" xr:uid="{B0E934E0-1E7B-4188-9A0D-291B9DEE8820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situação
03 - código responsável psicólogo
04 - código responsável assistente social
05 - data alteração
06 -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do Acompanhamento </t>
        </r>
        <r>
          <rPr>
            <sz val="9"/>
            <color indexed="81"/>
            <rFont val="Segoe UI"/>
            <family val="2"/>
          </rPr>
          <t xml:space="preserve">
07 - código
08 - código do acompanhamento
09 - código da situação do acompanhamento
10 - usuário cadastro
11 - usuário alteração
</t>
        </r>
        <r>
          <rPr>
            <b/>
            <sz val="9"/>
            <color indexed="81"/>
            <rFont val="Segoe UI"/>
            <family val="2"/>
          </rPr>
          <t xml:space="preserve">* Encaminhamento Profissional
</t>
        </r>
        <r>
          <rPr>
            <sz val="9"/>
            <color indexed="81"/>
            <rFont val="Segoe UI"/>
            <family val="2"/>
          </rPr>
          <t xml:space="preserve">12 - código
13 - código do acompanhamento
14 - flag equipe psicólogo
15 - número do encaminhamento
16 - movito encaminhamento psicólogo
17 - flag equipe assistente social
18 - movito encaminhamento assistente social
19 - usuário cadastro
20 - data cadastro
</t>
        </r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21 - código
22 - código da demanda
23 - tipo de acompanhamento
24 - código do profissional
25 - número do encaminhamento
26 - encaminhado por
27 - motivo encaminhamento
28 - situação 
29 - data cadastro
30 - usuário cadastro
31 - comando
32 - mensagem</t>
        </r>
      </text>
    </comment>
    <comment ref="E39" authorId="2" shapeId="0" xr:uid="{C0CA074E-E083-4BB2-B510-EDC61C40B064}">
      <text>
        <r>
          <rPr>
            <sz val="9"/>
            <color indexed="81"/>
            <rFont val="Segoe UI"/>
            <family val="2"/>
          </rPr>
          <t xml:space="preserve">01 - Acompanhamento Psicossocial
02 - Acompanhamento do Profissional
03 - Responsável Técnico
</t>
        </r>
      </text>
    </comment>
    <comment ref="D42" authorId="1" shapeId="0" xr:uid="{8C0F7452-ADB2-4B77-9082-981E0B936E13}">
      <text>
        <r>
          <rPr>
            <b/>
            <sz val="9"/>
            <color indexed="81"/>
            <rFont val="Segoe UI"/>
            <family val="2"/>
          </rPr>
          <t xml:space="preserve">* Acompanhamento Psicossocial
</t>
        </r>
        <r>
          <rPr>
            <sz val="9"/>
            <color indexed="81"/>
            <rFont val="Segoe UI"/>
            <family val="2"/>
          </rPr>
          <t xml:space="preserve">01 - código
02 - código servidor
03 - código tipo de entrada
04 - flag risco de suicídio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05 - descrição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06 - código da pessoa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07 - nome
08 - comando
09 - mensagem
</t>
        </r>
      </text>
    </comment>
    <comment ref="E42" authorId="1" shapeId="0" xr:uid="{58180F92-6196-4625-A1C3-7B097D48BB4E}">
      <text>
        <r>
          <rPr>
            <sz val="9"/>
            <color indexed="81"/>
            <rFont val="Segoe UI"/>
            <family val="2"/>
          </rPr>
          <t>01 - Acompanhamento Psicossocial
02 - Servidor
03 - Pessoa
04 - Categoria</t>
        </r>
      </text>
    </comment>
    <comment ref="D45" authorId="1" shapeId="0" xr:uid="{AE7812B7-660E-48E6-B723-3A52A4C02087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02 - código da demanda
03 - tipo de acompanhamento
04 - código do profissional
05 - número do encaminhamento
06 - encaminhado por
07 - situação 
08 - data cadastro
09 - usuário cadastro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10 - código servidor
11 - flag risco de suicídio
12 - código órgão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13 - código pesso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14 - nome
15 - comando
16 - mensagem
</t>
        </r>
      </text>
    </comment>
    <comment ref="E45" authorId="1" shapeId="0" xr:uid="{B480158F-8091-42BA-9154-E7BE7F0A0321}">
      <text>
        <r>
          <rPr>
            <sz val="9"/>
            <color indexed="81"/>
            <rFont val="Segoe UI"/>
            <family val="2"/>
          </rPr>
          <t xml:space="preserve">01 - Acompanhamento Psicossocial
02 - Servidor
03 - Pessoa
04 - Acompanhamento do Profissional
</t>
        </r>
      </text>
    </comment>
    <comment ref="D46" authorId="1" shapeId="0" xr:uid="{BB3E2D9F-4472-49C1-9D7F-DEBC4C5613F9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02 - código da demanda
03 - tipo de acompanhamento
04 - código do profissional
05 - número do encaminhamento
06 - encaminhado por
07 - situação 
08 - data cadastro
09 - usuário cadastro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10 - código servidor
11 - flag risco de suicídio
12 - código órgão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13 - código pesso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14 - nome
15 - comando
16 - mensagem
</t>
        </r>
      </text>
    </comment>
    <comment ref="E46" authorId="1" shapeId="0" xr:uid="{081EB617-2537-445B-AF02-DBC841D79C07}">
      <text>
        <r>
          <rPr>
            <sz val="9"/>
            <color indexed="81"/>
            <rFont val="Segoe UI"/>
            <family val="2"/>
          </rPr>
          <t xml:space="preserve">01 - Acompanhamento Psicossocial
02 - Servidor
03 - Pessoa
04 - Acompanhamento do Profissional
</t>
        </r>
      </text>
    </comment>
    <comment ref="D47" authorId="1" shapeId="0" xr:uid="{6DA49D57-81F6-4762-B1DB-4292D80C4FA3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03 - tipo de acompanhamento
04 - código do profissional
05 - situação 
06 - data alteração
07 - usuário alteração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08 - código da demanda
09 - código situação
10 - código psicólogo responsável
11 - código assistente social responsável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12 - código
13 - código do acompanhamento
14 - código da situação do acompanhamento
15 - data cadastro
16 - usuário cadastro
17 - comando
18 - mensagem
</t>
        </r>
      </text>
    </comment>
    <comment ref="E47" authorId="1" shapeId="0" xr:uid="{5BF8FA02-2615-4BCF-B133-82E92FD88E07}">
      <text>
        <r>
          <rPr>
            <sz val="9"/>
            <color indexed="81"/>
            <rFont val="Segoe UI"/>
            <family val="2"/>
          </rPr>
          <t xml:space="preserve">01 - Acompanhamento Psicossocial
02 - Acompanhamento do Profissional
03 - Responsável Técnico
</t>
        </r>
      </text>
    </comment>
    <comment ref="D48" authorId="1" shapeId="0" xr:uid="{ABA0FF96-DB20-4839-95F9-8EF54402A335}">
      <text>
        <r>
          <rPr>
            <b/>
            <sz val="9"/>
            <color indexed="81"/>
            <rFont val="Segoe UI"/>
            <family val="2"/>
          </rPr>
          <t xml:space="preserve">* Acompanhamento Psicólogo
</t>
        </r>
        <r>
          <rPr>
            <sz val="9"/>
            <color indexed="81"/>
            <rFont val="Segoe UI"/>
            <family val="2"/>
          </rPr>
          <t xml:space="preserve">01 - código
02 - tipo de acompanhamento
03 - código do profissional
04 - situação 
05 - motivo desligamento
06 - data desligamento
07 - data alteração
08 - usuário alteração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09 - código da demanda
10 - código situação
11 - código psicólogo responsável
12 - código assistente social responsável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13 - código
14 - código do acompanhamento
15 - código da situação do acompanhamento
16 - data cadastro
17 - usuário cadastro
18 - comando
19 - mensagem
</t>
        </r>
      </text>
    </comment>
    <comment ref="E48" authorId="1" shapeId="0" xr:uid="{C78E8AE9-D122-4C47-A854-F7009F3DC6D9}">
      <text>
        <r>
          <rPr>
            <sz val="9"/>
            <color indexed="81"/>
            <rFont val="Segoe UI"/>
            <family val="2"/>
          </rPr>
          <t xml:space="preserve">01 - Acompanhamento Psicossocial
02 - Acompanhamento do Profissional
03 - Responsável Técnico
</t>
        </r>
      </text>
    </comment>
    <comment ref="D49" authorId="2" shapeId="0" xr:uid="{4F490F6D-BDD5-4713-8809-0CA2E035667C}">
      <text>
        <r>
          <rPr>
            <b/>
            <sz val="9"/>
            <color indexed="81"/>
            <rFont val="Segoe UI"/>
            <family val="2"/>
          </rPr>
          <t>* Acompanhamento Assistente Social</t>
        </r>
        <r>
          <rPr>
            <sz val="9"/>
            <color indexed="81"/>
            <rFont val="Segoe UI"/>
            <family val="2"/>
          </rPr>
          <t xml:space="preserve">
01 - código
02 - código da demanda
03 - tipo de acompanhamento
04 - código do profissional
05 - encaminhado por
06 - motivo encaminhamento
07 - situação 
08 - motivo desligamento
09 - data desligamento
10 - data cadastro
</t>
        </r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11 - código tipo de entrada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12 -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13 - código servidor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14 - código pessoa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15 - nome
16 - comando
17 - mensagem
</t>
        </r>
      </text>
    </comment>
    <comment ref="E49" authorId="1" shapeId="0" xr:uid="{03F1F968-378F-404F-A69B-83296A0C4CD6}">
      <text>
        <r>
          <rPr>
            <sz val="9"/>
            <color indexed="81"/>
            <rFont val="Segoe UI"/>
            <family val="2"/>
          </rPr>
          <t>01 - Acompanhamento Psicossocial
02 - Acompanhamento do Profissional
03 - Responsável Técnico
04 - Categoria
05 - Servidor
06 - Pessoa</t>
        </r>
      </text>
    </comment>
    <comment ref="D52" authorId="1" shapeId="0" xr:uid="{E3564F86-E83A-4240-8DAF-4BE49BD79974}">
      <text>
        <r>
          <rPr>
            <b/>
            <sz val="9"/>
            <color indexed="81"/>
            <rFont val="Segoe UI"/>
            <family val="2"/>
          </rPr>
          <t>* Servidor</t>
        </r>
        <r>
          <rPr>
            <sz val="9"/>
            <color indexed="81"/>
            <rFont val="Segoe UI"/>
            <family val="2"/>
          </rPr>
          <t xml:space="preserve">
01 - código
02 - código da pessoa
03 - matrícula
04 - código órgão
05 - código vínculo
06 - código setor
07 - código do cargo
08 - data início
09 - data fim
10 - flag ativo
</t>
        </r>
        <r>
          <rPr>
            <b/>
            <sz val="9"/>
            <color indexed="81"/>
            <rFont val="Segoe UI"/>
            <family val="2"/>
          </rPr>
          <t xml:space="preserve">*Órgão
</t>
        </r>
        <r>
          <rPr>
            <sz val="9"/>
            <color indexed="81"/>
            <rFont val="Segoe UI"/>
            <family val="2"/>
          </rPr>
          <t xml:space="preserve">11 -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 xml:space="preserve">13 - descrição
</t>
        </r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15 - cpf
16 - nome
17 - e-mail
18 - data de nascimento
19 - município
20 - sexo
21 - telefone
22 - código estado civil
23 - código escolaridade
</t>
        </r>
        <r>
          <rPr>
            <b/>
            <sz val="9"/>
            <color indexed="81"/>
            <rFont val="Segoe UI"/>
            <family val="2"/>
          </rPr>
          <t xml:space="preserve">* Estado Civil
</t>
        </r>
        <r>
          <rPr>
            <sz val="9"/>
            <color indexed="81"/>
            <rFont val="Segoe UI"/>
            <family val="2"/>
          </rPr>
          <t xml:space="preserve">24 - descrição
</t>
        </r>
        <r>
          <rPr>
            <b/>
            <sz val="9"/>
            <color indexed="81"/>
            <rFont val="Segoe UI"/>
            <family val="2"/>
          </rPr>
          <t xml:space="preserve">* Escolaridade
</t>
        </r>
        <r>
          <rPr>
            <sz val="9"/>
            <color indexed="81"/>
            <rFont val="Segoe UI"/>
            <family val="2"/>
          </rPr>
          <t>25 - descrição
26 - idade
27 - tempo serviço</t>
        </r>
      </text>
    </comment>
    <comment ref="E52" authorId="1" shapeId="0" xr:uid="{1742AC43-2654-4714-B5B0-A460477BCBDA}">
      <text>
        <r>
          <rPr>
            <sz val="9"/>
            <color indexed="81"/>
            <rFont val="Segoe UI"/>
            <family val="2"/>
          </rPr>
          <t>01 - Servidor
02 - Órgão
03 - Cargo
04 - Vínculo
05 - Pessoa
06 - Estado Civil
07 - Escolaridade</t>
        </r>
      </text>
    </comment>
    <comment ref="D53" authorId="2" shapeId="0" xr:uid="{4000FD5C-28C1-4465-ABB3-22D7D4431C54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tipo de acompanhamento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06 - código
07 - código da demanda
08 - código do acompanhamento
09 - número de atendimentos
10 - situação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cadastro
20 - usuário cadastro
21 - comando
22 -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3" authorId="2" shapeId="0" xr:uid="{98C9B47D-0BB0-4580-9F7C-B4A5E5EAAFA7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4" authorId="2" shapeId="0" xr:uid="{0B1444DA-9DF5-43B0-BB30-F578AC55143E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tipo de acompanhamento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06 - código
07 - código da demanda
08 - código do acompanhamento
09 - número de atendimentos
10 - situação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cadastro
20 - usuário cadastro
21 - comando
22 -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4" authorId="2" shapeId="0" xr:uid="{95AA9F6E-7CDB-4B37-A52C-EB830B3F2B62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5" authorId="2" shapeId="0" xr:uid="{202F9687-3B8A-4097-9569-E7FB4D228A56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comando
07 - mensagem
</t>
        </r>
      </text>
    </comment>
    <comment ref="E55" authorId="2" shapeId="0" xr:uid="{2AE933AE-8F78-4388-ADC2-BC61C9CE52B1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58" authorId="2" shapeId="0" xr:uid="{BAA69EA6-C5B7-41D3-94F7-CF518BC17ED9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cadastro
11 -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cadastro
19 - usuário cadastro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8" authorId="2" shapeId="0" xr:uid="{B943060E-9C94-4376-BE82-E8E90504997D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59" authorId="2" shapeId="0" xr:uid="{2C20CFAC-34DC-4A0B-89DC-DD138EABBB21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alteração
11 - usuário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alteração
19 - usuário alteração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9" authorId="2" shapeId="0" xr:uid="{FCDCCC0D-E497-4AE1-941A-A14181EEEBF5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0" authorId="2" shapeId="0" xr:uid="{F0858E5D-6AA6-45E4-830A-00E51ED6FCD6}">
      <text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01 - código
02 - número de atendimentos
03 - situação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04 - código
05 - número do atendimento
06 - data do agendamento
07 - hora do agendamento
08 - modalidade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0" authorId="2" shapeId="0" xr:uid="{CF5BD57B-3B6F-4414-BF04-55C37D8150FB}">
      <text>
        <r>
          <rPr>
            <sz val="9"/>
            <color indexed="81"/>
            <rFont val="Segoe UI"/>
            <family val="2"/>
          </rPr>
          <t>01 - Acompanhamento do Profissional
02 - Responsável Técnico</t>
        </r>
      </text>
    </comment>
    <comment ref="D61" authorId="2" shapeId="0" xr:uid="{882EEFD6-7FBC-41F7-84D2-5324A18FA2C6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flag prorrogação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alteração
20 - usuário alteração
</t>
        </r>
        <r>
          <rPr>
            <b/>
            <sz val="9"/>
            <color indexed="81"/>
            <rFont val="Segoe UI"/>
            <family val="2"/>
          </rPr>
          <t xml:space="preserve">* Histórico Prorrogação </t>
        </r>
        <r>
          <rPr>
            <sz val="9"/>
            <color indexed="81"/>
            <rFont val="Segoe UI"/>
            <family val="2"/>
          </rPr>
          <t xml:space="preserve">
21 - código
22 - código do plano de acompanhamento
23 - justificação da prorrogação
24 - data cadastro
25 - usuário cadastro
26 - comando
27 - mensagem
</t>
        </r>
      </text>
    </comment>
    <comment ref="E61" authorId="2" shapeId="0" xr:uid="{BD9E209D-CDDF-4A49-8D55-1B11296EB6D8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2" authorId="2" shapeId="0" xr:uid="{DAA5AD87-16AE-4D60-89AA-D2F68E1780B8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02 - número de atendimentos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03 - código do plano de acompanhamento
04 - número do atendimento
05 - data do agendamento
06 - hora do agendamento
07 - modalidade
</t>
        </r>
        <r>
          <rPr>
            <b/>
            <sz val="9"/>
            <color indexed="81"/>
            <rFont val="Segoe UI"/>
            <family val="2"/>
          </rPr>
          <t xml:space="preserve">
* Servidor</t>
        </r>
        <r>
          <rPr>
            <sz val="9"/>
            <color indexed="81"/>
            <rFont val="Segoe UI"/>
            <family val="2"/>
          </rPr>
          <t xml:space="preserve">
08 - código da pessoa
09 - código órgão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10 - nome
11 - e-mail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2" authorId="2" shapeId="0" xr:uid="{4F916CAC-3299-4EA3-93E3-4FADD75A542D}">
      <text>
        <r>
          <rPr>
            <sz val="9"/>
            <color indexed="81"/>
            <rFont val="Segoe UI"/>
            <family val="2"/>
          </rPr>
          <t>01 - Acompanhamento do Profissional
02 - Acompanhamento Psicossocial
03 - Pessoa
04 - Servidor
05 - Órgão</t>
        </r>
      </text>
    </comment>
    <comment ref="D65" authorId="2" shapeId="0" xr:uid="{B5AA37A0-F548-4DE5-95BA-435EB78D4C0B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cadastro
11 - usuário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cadastro
19 - usuário cadastro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5" authorId="2" shapeId="0" xr:uid="{C17CA70C-9C99-4BE7-A095-D4DD5902FA46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6" authorId="2" shapeId="0" xr:uid="{2BB5CCC6-12DE-4861-9782-F88559B8E62B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data alteração
11 - usuário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12 - código
13 - código do plano de acompanhamento
14 - número do atendimento
15 - data do agendamento
16 - hora do agendamento
17 - modalidade
18 - data alteração
19 - usuário alteração
20 - comando
21 -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6" authorId="2" shapeId="0" xr:uid="{D6545A83-EF79-4040-B49E-B2E21335BA72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67" authorId="2" shapeId="0" xr:uid="{E1076158-77DF-446E-B7F8-9E68CA4520CB}">
      <text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01 - código
02 - número de atendimentos
03 - situação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04 - código
05 - número do atendimento
06 - data do agendamento
07 - hora do agendamento
08 - modalidade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7" authorId="2" shapeId="0" xr:uid="{E84A9B8D-B548-42B8-8ED0-6A9E5AF6C80B}">
      <text>
        <r>
          <rPr>
            <sz val="9"/>
            <color indexed="81"/>
            <rFont val="Segoe UI"/>
            <family val="2"/>
          </rPr>
          <t>01 - Acompanhamento do Profissional
02 - Responsável Técnico</t>
        </r>
      </text>
    </comment>
    <comment ref="D68" authorId="2" shapeId="0" xr:uid="{398424E8-3C93-4E6D-8432-85F03574D3E9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Plano de Acompanhamento
</t>
        </r>
        <r>
          <rPr>
            <sz val="9"/>
            <color indexed="81"/>
            <rFont val="Segoe UI"/>
            <family val="2"/>
          </rPr>
          <t xml:space="preserve">05 - código
06 - código da demanda
07 - código do acompanhamento
08 - número de atendimentos
09 - situação
10 - flag prorrogação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13 - código
14 - código do plano de acompanhamento
15 - número do atendimento
16 - data do agendamento
17 - hora do agendamento
18 - modalidade
19 - data alteração
20 - usuário alteração
</t>
        </r>
        <r>
          <rPr>
            <b/>
            <sz val="9"/>
            <color indexed="81"/>
            <rFont val="Segoe UI"/>
            <family val="2"/>
          </rPr>
          <t xml:space="preserve">* Histórico Prorrogação </t>
        </r>
        <r>
          <rPr>
            <sz val="9"/>
            <color indexed="81"/>
            <rFont val="Segoe UI"/>
            <family val="2"/>
          </rPr>
          <t xml:space="preserve">
21 - código
22 - código do plano de acompanhamento
23 - justificação da prorrogação
24 - data cadastro
25 - usuário cadastro
26 - comando
27 - mensagem
</t>
        </r>
      </text>
    </comment>
    <comment ref="E68" authorId="2" shapeId="0" xr:uid="{87ECD72B-48F2-4EE9-9E41-6EEEAE938AEF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72" authorId="2" shapeId="0" xr:uid="{04F0F4DB-98A4-4F14-AEE0-CF3E2DC39B7E}">
      <text>
        <r>
          <rPr>
            <b/>
            <sz val="9"/>
            <color indexed="81"/>
            <rFont val="Segoe UI"/>
            <family val="2"/>
          </rPr>
          <t>* Acompanhamento do Profissional</t>
        </r>
        <r>
          <rPr>
            <sz val="9"/>
            <color indexed="81"/>
            <rFont val="Segoe UI"/>
            <family val="2"/>
          </rPr>
          <t xml:space="preserve">
01 - código
02 - situação 
03 - data alteração
04 - usuário alteração
05 - comando
06 - mensagem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72" authorId="2" shapeId="0" xr:uid="{751E5D4A-FEF9-4AA1-945E-5FE5F334022D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73" authorId="2" shapeId="0" xr:uid="{B12E36A2-6023-4407-A3C7-E1E2A44D27A2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05 - código
06 - código agendamento
07 - código do acompanhamento
08 - data do atendimento
09 - flag risco de suicídio
10 - código tipo de serviço
11 - breve relato do atendimento
12 - informações sigilosas do atendimento
13 - flag acompanhamento externo
14 - situação
15 - data cadastro
16 - usuário cadastro
17 - comando
18 - mensagem
</t>
        </r>
      </text>
    </comment>
    <comment ref="E73" authorId="2" shapeId="0" xr:uid="{89D12ACC-AF9D-4AC6-87D4-D288DEFC0E0B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
04 - Categoria</t>
        </r>
      </text>
    </comment>
    <comment ref="D74" authorId="1" shapeId="0" xr:uid="{858B7E6E-F055-4289-9595-A7905E08993A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74" authorId="2" shapeId="0" xr:uid="{BD2E355B-6F0C-4863-8BF9-7095ACC38A4B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75" authorId="2" shapeId="0" xr:uid="{8358B443-B59C-4EDF-9C79-342720FA60D9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05 - código
06 - código agendamento
07 - código do acompanhamento
08 - data do atendimento
09 - flag risco de suicídio
10 - código tipo de serviço
11 - breve relato do atendimento
12 - informações sigilosas do atendimento
13 - flag acompanhamento externo
14 - situação
15 - data alteração
16 - usuário alteração
17 - comando
18 - mensagem
</t>
        </r>
      </text>
    </comment>
    <comment ref="E75" authorId="2" shapeId="0" xr:uid="{1FAF9669-78D7-447F-B39C-36A05418FC1D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
04 - Categoria</t>
        </r>
      </text>
    </comment>
    <comment ref="D76" authorId="2" shapeId="0" xr:uid="{706EC862-3494-4E09-B6E2-DC35D9D6F7DC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03 - código
04 - código agendamento
05 - código do acompanhamento
06 - data do atendimento
07 - flag risco de suicídio
08 - código tipo de serviço
09 - breve relato do atendimento
10 - informações sigilosas do atendimento
11 - flag acompanhamento externo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12 - descrição
</t>
        </r>
      </text>
    </comment>
    <comment ref="E76" authorId="2" shapeId="0" xr:uid="{0BB66505-F426-41FA-A73E-A988E15CC01B}">
      <text>
        <r>
          <rPr>
            <sz val="9"/>
            <color indexed="81"/>
            <rFont val="Segoe UI"/>
            <family val="2"/>
          </rPr>
          <t>01 - Acompanhamento do Profissional
02 - Categoria</t>
        </r>
      </text>
    </comment>
    <comment ref="D77" authorId="2" shapeId="0" xr:uid="{F0623D66-CA84-4BA1-95DD-7E1295646C1D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03 - data alteração
04 - usuário alteração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05 - código
06 - código agendamento
07 - código do acompanhamento
08 - data do atendimento
09 - flag risco de suicídio
10 - código tipo de serviço
11 - breve relato do atendimento
12 - informações sigilosas do atendimento
13 - flag acompanhamento externo
14 - situação
15 - data alteração
16 - usuário alteração
17 - data alteração
18 - usuário alteração
19 - comando
20 - mensagem
</t>
        </r>
      </text>
    </comment>
    <comment ref="E77" authorId="2" shapeId="0" xr:uid="{CCC2D0A3-09B2-4302-9B43-8F2F92E58C8A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
04 - Categoria</t>
        </r>
      </text>
    </comment>
    <comment ref="D78" authorId="2" shapeId="0" xr:uid="{A4B851B0-3B18-4E18-9959-AD5F039022D8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Botão
02 - Ação
03 - Mensagem
</t>
        </r>
      </text>
    </comment>
    <comment ref="E78" authorId="2" shapeId="0" xr:uid="{28B0191C-140D-4863-9D38-77997BD835D6}">
      <text>
        <r>
          <rPr>
            <sz val="9"/>
            <color indexed="81"/>
            <rFont val="Segoe UI"/>
            <family val="2"/>
          </rPr>
          <t>01 - Acompanhamento do Profissional
02 - Acompanhamento Psicossocial
03 - Responsável Técnico</t>
        </r>
      </text>
    </comment>
    <comment ref="D81" authorId="2" shapeId="0" xr:uid="{17845D4B-5D43-487F-9EE5-6B539F593AB1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resultado do risco
05 - situação
06 - usuário cadastro
07 - usuário alteração
08 - data cadastro
09 - data alteração
</t>
        </r>
        <r>
          <rPr>
            <b/>
            <sz val="9"/>
            <color indexed="81"/>
            <rFont val="Segoe UI"/>
            <family val="2"/>
          </rPr>
          <t xml:space="preserve">
* Perguntas Formulário Suicídio
</t>
        </r>
        <r>
          <rPr>
            <sz val="9"/>
            <color indexed="81"/>
            <rFont val="Segoe UI"/>
            <family val="2"/>
          </rPr>
          <t>10 - código
11 - pergunta
12 - usuário cadastro
13 - usuário alteração
14 - data cadastro
15 - data alteração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16 - código
17 - código pergunta
18 - opção de resposta
19 - risco
20 - peso
21 - classificação
22 - usuário cadastro
23 - usuário alteração
24 - data cadastro
25 - data alteração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26 - código
27 - código do formulário de suicídio
28 - código pergunta
29 - código resposta
30 - usuário cadastro
31 - usuário alteração
32 - data cadastro
33 - data alteração</t>
        </r>
      </text>
    </comment>
    <comment ref="E81" authorId="2" shapeId="0" xr:uid="{0259E5D3-7E7A-4D00-BA9E-4D13AB9151E8}">
      <text>
        <r>
          <rPr>
            <sz val="9"/>
            <color indexed="81"/>
            <rFont val="Segoe UI"/>
            <family val="2"/>
          </rPr>
          <t>01 - Formulário Suicídio
02 - Perguntas Formulário Suicídio
03 - Opções de Resposta Formulário Suicídio
04 - Formulário Suicídio Respondido</t>
        </r>
      </text>
    </comment>
    <comment ref="D82" authorId="2" shapeId="0" xr:uid="{8BBFEF2B-1E57-424A-A838-8AFEBF5C0769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05 - usuário cadastro
06 - data cadastro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07 - código
08 - código do formulário de suicídio
09 - código pergunta
10 - código resposta
11 - usuário cadastro
12 - data cadastro
13 - comando
14 -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2" authorId="2" shapeId="0" xr:uid="{830231BF-1B9E-44A8-9B2C-1C7B783C234E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3" authorId="2" shapeId="0" xr:uid="{9FCEC996-5B13-4AD7-B420-7AE1220AC9C7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05 - usuário alteração
06 - data alteração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07 - código
08 - código do formulário de suicídio
09 - código pergunta
10 - código resposta
11 - usuário alteração
12 - data alteração
13 - comando
14 -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3" authorId="2" shapeId="0" xr:uid="{AE22A0CE-3DB1-4C0B-9EDB-546BD7EF33DD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4" authorId="2" shapeId="0" xr:uid="{5DB15502-22AC-4362-BF66-ED4A6FD88E6B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>* Perguntas Formulário Suicídio</t>
        </r>
        <r>
          <rPr>
            <sz val="9"/>
            <color indexed="81"/>
            <rFont val="Segoe UI"/>
            <family val="2"/>
          </rPr>
          <t xml:space="preserve">
02 - pergunta
</t>
        </r>
        <r>
          <rPr>
            <b/>
            <sz val="9"/>
            <color indexed="81"/>
            <rFont val="Segoe UI"/>
            <family val="2"/>
          </rPr>
          <t>* Opções de Resposta Formulário Suicídio</t>
        </r>
        <r>
          <rPr>
            <sz val="9"/>
            <color indexed="81"/>
            <rFont val="Segoe UI"/>
            <family val="2"/>
          </rPr>
          <t xml:space="preserve">
03 - opção de resposta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04 - código
05 - código do formulário de suicídio
06 - código pergunta
07 - código resposta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4" authorId="2" shapeId="0" xr:uid="{AFC4E3C1-0734-448F-BE77-DB0C7D223F4F}">
      <text>
        <r>
          <rPr>
            <sz val="9"/>
            <color indexed="81"/>
            <rFont val="Segoe UI"/>
            <family val="2"/>
          </rPr>
          <t xml:space="preserve">01 - Formulário de Risco de Suicídio
</t>
        </r>
      </text>
    </comment>
    <comment ref="D85" authorId="2" shapeId="0" xr:uid="{9ED8CF32-D9A6-4A36-95B7-2DDFF3DF56AD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05 - usuário alteração
06 - data alteração
07 - usuário cadastro
08 - data cadastro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09 - código
10 - código do formulário de suicídio
11 - código pergunta
12 - código resposta
13 - usuário alteração
14 - data alteração
15 - usuário cadastro
16 - data cadastro
17 - comando
18 -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5" authorId="2" shapeId="0" xr:uid="{5C47FED4-7FC4-4277-827E-36473E9188B8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6" authorId="2" shapeId="0" xr:uid="{ADEAD00E-FFA2-4D90-A874-6E880F19ADF5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03 - código do atendimento
04 - situação
</t>
        </r>
        <r>
          <rPr>
            <b/>
            <sz val="9"/>
            <color indexed="81"/>
            <rFont val="Segoe UI"/>
            <family val="2"/>
          </rPr>
          <t>* Perguntas Formulário Suicídio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Opções de Resposta Formulário Suicídio</t>
        </r>
        <r>
          <rPr>
            <sz val="9"/>
            <color indexed="81"/>
            <rFont val="Segoe UI"/>
            <family val="2"/>
          </rPr>
          <t xml:space="preserve">
06 - opção de resposta
07 - risco
08 - peso
09 - classificação
</t>
        </r>
        <r>
          <rPr>
            <b/>
            <sz val="9"/>
            <color indexed="81"/>
            <rFont val="Segoe UI"/>
            <family val="2"/>
          </rPr>
          <t xml:space="preserve">
* Formulário Suicídio Respondido</t>
        </r>
        <r>
          <rPr>
            <sz val="9"/>
            <color indexed="81"/>
            <rFont val="Segoe UI"/>
            <family val="2"/>
          </rPr>
          <t xml:space="preserve">
10 - código
11 - código do formulário de suicídio
12 - código pergunta
13 - código resposta
14 - comando
15 -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86" authorId="2" shapeId="0" xr:uid="{A52CEEC3-4A5F-466F-9E6A-FC7EE476581E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Formulário de Risco de Suicídio</t>
        </r>
      </text>
    </comment>
    <comment ref="D89" authorId="2" shapeId="0" xr:uid="{7479F61D-A452-414B-A7F4-934F75BA33CD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08 - usuário cadastro
09 - data cadastro
</t>
        </r>
      </text>
    </comment>
    <comment ref="E89" authorId="2" shapeId="0" xr:uid="{27BE1CD3-07AC-4C7F-BA8B-9506064EE75E}">
      <text>
        <r>
          <rPr>
            <sz val="9"/>
            <color indexed="81"/>
            <rFont val="Segoe UI"/>
            <family val="2"/>
          </rPr>
          <t xml:space="preserve">01 - Acompanhamento Psicossocial
02 - Responsável Técnico
03 - Categoria
</t>
        </r>
      </text>
    </comment>
    <comment ref="D90" authorId="1" shapeId="0" xr:uid="{388378C1-B5A5-42F0-8240-9C50F5F2D9EC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90" authorId="2" shapeId="0" xr:uid="{6D67C6AE-5CE8-4EA5-9E8E-2700C56CD15B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91" authorId="2" shapeId="0" xr:uid="{4E95FEEA-E44E-4865-BAFF-CA1AEBE0FCF1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08 - usuário alteração
09 - data alteração
</t>
        </r>
      </text>
    </comment>
    <comment ref="E91" authorId="2" shapeId="0" xr:uid="{18EEADAC-A1C7-46DB-87C8-419C92E5B7A2}">
      <text>
        <r>
          <rPr>
            <sz val="9"/>
            <color indexed="81"/>
            <rFont val="Segoe UI"/>
            <family val="2"/>
          </rPr>
          <t xml:space="preserve">01 - Acompanhamento Psicossocial
02 - Responsável Técnico
03 - Categoria
</t>
        </r>
      </text>
    </comment>
    <comment ref="D92" authorId="2" shapeId="0" xr:uid="{7DAA8D66-D0A3-441D-B3FF-1714017DCC2F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</t>
        </r>
      </text>
    </comment>
    <comment ref="E92" authorId="2" shapeId="0" xr:uid="{E472F113-5079-4461-9708-2C640A5C0808}">
      <text>
        <r>
          <rPr>
            <sz val="9"/>
            <color indexed="81"/>
            <rFont val="Segoe UI"/>
            <family val="2"/>
          </rPr>
          <t xml:space="preserve">01 - Acompanhamento Psicossocial
</t>
        </r>
      </text>
    </comment>
    <comment ref="D93" authorId="2" shapeId="0" xr:uid="{AF3732A8-96EB-4147-A2D2-F7048C3A618F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93" authorId="2" shapeId="0" xr:uid="{A9E65512-865C-41CB-914E-A1902ADF0543}">
      <text>
        <r>
          <rPr>
            <sz val="9"/>
            <color indexed="81"/>
            <rFont val="Segoe UI"/>
            <family val="2"/>
          </rPr>
          <t xml:space="preserve">01 - Acompanhamento Psicossocial
02 - Responsável Técnico
03 - Categoria
</t>
        </r>
      </text>
    </comment>
    <comment ref="D94" authorId="2" shapeId="0" xr:uid="{4DD3B84B-ECEE-427F-BEDF-06F970563BA8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da especialidade profissional
03 - código da unidade de encaminhamento
04 - usuário cadastro
05 - usuário alteração
06 - data cadastro
07 - data alteração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08 -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09 - código pessoa
</t>
        </r>
        <r>
          <rPr>
            <b/>
            <sz val="9"/>
            <color indexed="81"/>
            <rFont val="Segoe UI"/>
            <family val="2"/>
          </rPr>
          <t xml:space="preserve">* Pessoa 
</t>
        </r>
        <r>
          <rPr>
            <sz val="9"/>
            <color indexed="81"/>
            <rFont val="Segoe UI"/>
            <family val="2"/>
          </rPr>
          <t>10 - nome
11 - comando
12 - mensagem</t>
        </r>
      </text>
    </comment>
    <comment ref="E94" authorId="2" shapeId="0" xr:uid="{75C0B86A-49DA-42B6-8F67-EACE0E6D6D1E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</t>
        </r>
      </text>
    </comment>
    <comment ref="D95" authorId="2" shapeId="0" xr:uid="{F9FEAAEA-CF15-42C1-A1F9-9984A1E75AB5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da especialidade profissional
03 - código da unidade de encaminhamento
04 - usuário cadastro
05 - usuário alteração
06 - data cadastro
07 - data alteração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08 -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09 - código pessoa
</t>
        </r>
        <r>
          <rPr>
            <b/>
            <sz val="9"/>
            <color indexed="81"/>
            <rFont val="Segoe UI"/>
            <family val="2"/>
          </rPr>
          <t xml:space="preserve">* Pessoa 
</t>
        </r>
        <r>
          <rPr>
            <sz val="9"/>
            <color indexed="81"/>
            <rFont val="Segoe UI"/>
            <family val="2"/>
          </rPr>
          <t>10 - nome
11 - comando
12 - mensagem</t>
        </r>
      </text>
    </comment>
    <comment ref="E95" authorId="2" shapeId="0" xr:uid="{D337DFD2-962E-463E-ADBE-24C35CAADAA9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</t>
        </r>
      </text>
    </comment>
    <comment ref="D96" authorId="2" shapeId="0" xr:uid="{0E4F218F-9417-4DD7-8D13-017D74274EDA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</t>
        </r>
        <r>
          <rPr>
            <b/>
            <sz val="9"/>
            <color indexed="81"/>
            <rFont val="Segoe UI"/>
            <family val="2"/>
          </rPr>
          <t>* Categoria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 xml:space="preserve">
* Responsável técnico</t>
        </r>
        <r>
          <rPr>
            <sz val="9"/>
            <color indexed="81"/>
            <rFont val="Segoe UI"/>
            <family val="2"/>
          </rPr>
          <t xml:space="preserve">
09 - código pessoa
</t>
        </r>
        <r>
          <rPr>
            <b/>
            <sz val="9"/>
            <color indexed="81"/>
            <rFont val="Segoe UI"/>
            <family val="2"/>
          </rPr>
          <t xml:space="preserve">* Pessoa </t>
        </r>
        <r>
          <rPr>
            <sz val="9"/>
            <color indexed="81"/>
            <rFont val="Segoe UI"/>
            <family val="2"/>
          </rPr>
          <t xml:space="preserve">
10 - nome
11 - comando
12 - mensagem</t>
        </r>
      </text>
    </comment>
    <comment ref="E96" authorId="2" shapeId="0" xr:uid="{ECC8D236-2ECC-4767-8D5E-48886166191F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</t>
        </r>
      </text>
    </comment>
    <comment ref="D97" authorId="2" shapeId="0" xr:uid="{9BA40804-D958-42E1-A477-D18DD678DF15}">
      <text>
        <r>
          <rPr>
            <b/>
            <sz val="9"/>
            <color indexed="81"/>
            <rFont val="Segoe UI"/>
            <family val="2"/>
          </rPr>
          <t xml:space="preserve">* Encaminhamento Externo
</t>
        </r>
        <r>
          <rPr>
            <sz val="9"/>
            <color indexed="81"/>
            <rFont val="Segoe UI"/>
            <family val="2"/>
          </rPr>
          <t xml:space="preserve">01 - código
02 - código do acompanhamento
03 - código da especialidade profissional
04 - código da unidade de encaminhamento
05 - motivo do encaminhamento
06 - celular do profissional
07 - e-mail do profissional 
</t>
        </r>
        <r>
          <rPr>
            <b/>
            <sz val="9"/>
            <color indexed="81"/>
            <rFont val="Segoe UI"/>
            <family val="2"/>
          </rPr>
          <t>* Categoria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 xml:space="preserve">
* Responsável técnico</t>
        </r>
        <r>
          <rPr>
            <sz val="9"/>
            <color indexed="81"/>
            <rFont val="Segoe UI"/>
            <family val="2"/>
          </rPr>
          <t xml:space="preserve">
09 - código pessoa
</t>
        </r>
        <r>
          <rPr>
            <b/>
            <sz val="9"/>
            <color indexed="81"/>
            <rFont val="Segoe UI"/>
            <family val="2"/>
          </rPr>
          <t xml:space="preserve">* Pessoa </t>
        </r>
        <r>
          <rPr>
            <sz val="9"/>
            <color indexed="81"/>
            <rFont val="Segoe UI"/>
            <family val="2"/>
          </rPr>
          <t xml:space="preserve">
10 - nome
11 - endereço
12 - e-mail
13 - data de nascimento
14 - município
15 - sexo
16 - telefone
</t>
        </r>
        <r>
          <rPr>
            <b/>
            <sz val="9"/>
            <color indexed="81"/>
            <rFont val="Segoe UI"/>
            <family val="2"/>
          </rPr>
          <t xml:space="preserve">* Servidor
</t>
        </r>
        <r>
          <rPr>
            <sz val="9"/>
            <color indexed="81"/>
            <rFont val="Segoe UI"/>
            <family val="2"/>
          </rPr>
          <t xml:space="preserve">17 - código órgão
18 - código vínculo
19 - código do cargo
</t>
        </r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20 - descrição
</t>
        </r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 xml:space="preserve">21 - descrição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>22 - descrição
23 - comando
24 - mensagem</t>
        </r>
      </text>
    </comment>
    <comment ref="E97" authorId="2" shapeId="0" xr:uid="{7B84FD24-027D-480A-9F45-D7A07422333A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
05 - Servidor
06 - Órgão
07 - Cargo</t>
        </r>
      </text>
    </comment>
    <comment ref="D100" authorId="2" shapeId="0" xr:uid="{3EE4BFAF-F378-4643-9847-9099DAFC993F}">
      <text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01 - código
02 - código agendamento
03 - código do acompanhamento
04 - data do atendimento
05 - flag risco de suicídio
06 - código tipo de serviço
07 - flag acompanhamento externo
08 - situação
09 - usuário cadastro
10 - usuário alteração
</t>
        </r>
        <r>
          <rPr>
            <b/>
            <sz val="9"/>
            <color indexed="81"/>
            <rFont val="Segoe UI"/>
            <family val="2"/>
          </rPr>
          <t xml:space="preserve">
* Formulário Suicídio</t>
        </r>
        <r>
          <rPr>
            <sz val="9"/>
            <color indexed="81"/>
            <rFont val="Segoe UI"/>
            <family val="2"/>
          </rPr>
          <t xml:space="preserve">
11 - código pergunta
12 - código resposta
13 - resultado do risco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14 - descrição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15 - código pessoa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16 - nome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17 - comando
18 -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00" authorId="2" shapeId="0" xr:uid="{005AE7AF-30C7-4DCC-B5FE-D7C272B62795}">
      <text>
        <r>
          <rPr>
            <sz val="9"/>
            <color indexed="81"/>
            <rFont val="Segoe UI"/>
            <family val="2"/>
          </rPr>
          <t>01 - Acompanhamento Psicossocial
02 - Responsável Técnico
03 - Categoria
04 - Pessoa
05 - Formulário de Risco de Suicídio</t>
        </r>
      </text>
    </comment>
    <comment ref="D101" authorId="2" shapeId="0" xr:uid="{C8A19A18-5CDA-4093-B4E3-FF22ADDF30FD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flag comparecimento
</t>
        </r>
        <r>
          <rPr>
            <b/>
            <sz val="9"/>
            <color indexed="81"/>
            <rFont val="Segoe UI"/>
            <family val="2"/>
          </rPr>
          <t xml:space="preserve">* Atendimentos
</t>
        </r>
        <r>
          <rPr>
            <sz val="9"/>
            <color indexed="81"/>
            <rFont val="Segoe UI"/>
            <family val="2"/>
          </rPr>
          <t xml:space="preserve">03 - código
04 - código agendamento
05 - código do acompanhamento
06 - data do atendimento
07 - flag risco de suicídio
08 - código tipo de serviço
09 - breve relato do atendimento
10 - informações sigilosas do atendimento
11 - flag acompanhamento externo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12 - descrição
</t>
        </r>
      </text>
    </comment>
    <comment ref="E101" authorId="2" shapeId="0" xr:uid="{4DEEF4EF-8D88-4923-BDEE-4A9279AFDB2B}">
      <text>
        <r>
          <rPr>
            <sz val="9"/>
            <color indexed="81"/>
            <rFont val="Segoe UI"/>
            <family val="2"/>
          </rPr>
          <t>01 - Acompanhamento do Profissional
02 - Categoria
03 - Responsável Técnico</t>
        </r>
      </text>
    </comment>
    <comment ref="D104" authorId="2" shapeId="0" xr:uid="{C34A33FB-5D35-46B8-9C54-713E47C2393F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cadastro
07 - data cadastro
08 - comando
09 - mensagem
</t>
        </r>
      </text>
    </comment>
    <comment ref="E104" authorId="2" shapeId="0" xr:uid="{5FE7262C-683D-43CF-8C5C-163D96F1A88D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105" authorId="2" shapeId="0" xr:uid="{FB7FA99B-A8F1-43B4-B604-10AE95D70630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alteração
07 - data alteração
08 - comando
09 - mensagem
</t>
        </r>
      </text>
    </comment>
    <comment ref="E105" authorId="2" shapeId="0" xr:uid="{7B1280EE-1EEE-43DA-ADB9-CEB159AE1FBE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106" authorId="2" shapeId="0" xr:uid="{AA3AA5EC-2BD6-4BE5-B3A1-EFCECB2D9D62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cadastro
07 - data cadastro
08 - comando
09 - mensagem
</t>
        </r>
      </text>
    </comment>
    <comment ref="E106" authorId="2" shapeId="0" xr:uid="{0F5738AD-0427-4098-B1E6-7C94D3287915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107" authorId="2" shapeId="0" xr:uid="{C7ACF81B-C741-461A-B94C-09AEBD4A64B0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107" authorId="2" shapeId="0" xr:uid="{522B77B5-F0BD-4FB8-A2FF-B51EF8912194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108" authorId="2" shapeId="0" xr:uid="{34A3175E-0BF2-4A9C-9ECB-2783A83B6E7C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comando
07 - mensagem
</t>
        </r>
      </text>
    </comment>
    <comment ref="E108" authorId="2" shapeId="0" xr:uid="{F98C22EE-E7C9-4982-A381-8D0F1CD83FF2}">
      <text>
        <r>
          <rPr>
            <sz val="9"/>
            <color indexed="81"/>
            <rFont val="Segoe UI"/>
            <family val="2"/>
          </rPr>
          <t>01 - Acompanhamento Psicossocial</t>
        </r>
      </text>
    </comment>
    <comment ref="D109" authorId="2" shapeId="0" xr:uid="{BD2A0C53-1F98-406D-9906-06160383606A}">
      <text>
        <r>
          <rPr>
            <b/>
            <sz val="9"/>
            <color indexed="81"/>
            <rFont val="Segoe UI"/>
            <family val="2"/>
          </rPr>
          <t>* Anotações Gerais</t>
        </r>
        <r>
          <rPr>
            <sz val="9"/>
            <color indexed="81"/>
            <rFont val="Segoe UI"/>
            <family val="2"/>
          </rPr>
          <t xml:space="preserve">
01 - código
02 - código do acompanhamento
03 - data de referência
04 - título
05 - anotações
06 - usuário cadastro
07 - data cadastro
08 - usuário alteração
09 - data alteração
</t>
        </r>
      </text>
    </comment>
    <comment ref="E109" authorId="2" shapeId="0" xr:uid="{8CF25CAA-9716-4429-9087-6CB6EB69426A}">
      <text>
        <r>
          <rPr>
            <sz val="9"/>
            <color indexed="81"/>
            <rFont val="Segoe UI"/>
            <family val="2"/>
          </rPr>
          <t>01 - Acompanhamento Psicossocial
02 - Responsável Técnico</t>
        </r>
      </text>
    </comment>
    <comment ref="D112" authorId="2" shapeId="0" xr:uid="{3FCA153A-7D08-47CB-882F-BF3467775620}">
      <text>
        <r>
          <rPr>
            <b/>
            <sz val="9"/>
            <color indexed="81"/>
            <rFont val="Segoe UI"/>
            <family val="2"/>
          </rPr>
          <t xml:space="preserve">* Configuração Agenda
</t>
        </r>
        <r>
          <rPr>
            <sz val="9"/>
            <color indexed="81"/>
            <rFont val="Segoe UI"/>
            <family val="2"/>
          </rPr>
          <t xml:space="preserve">01 - código
02 - código do profissional
03 - horário de atendimento início
04 - horário de atendimento fim
05 - horário de intervalo início
06 - horário de intervalo fim
07 - tempo de cada atendimento
08 - usuário cadastro
09 - data cadastro
10 - usuário alteração
11 - data alteração
</t>
        </r>
        <r>
          <rPr>
            <b/>
            <sz val="9"/>
            <color indexed="81"/>
            <rFont val="Segoe UI"/>
            <family val="2"/>
          </rPr>
          <t>* Configuração Agenda Horários para Atendimento</t>
        </r>
        <r>
          <rPr>
            <sz val="9"/>
            <color indexed="81"/>
            <rFont val="Segoe UI"/>
            <family val="2"/>
          </rPr>
          <t xml:space="preserve">
12 - código
13 - código da configuração da agenda
14 - dia da semana
15 - horário de atendimento início
16 - horário de atendimento fim
17 - usuário cadastro
18 - data cadastro
19 - usuário alteração
20 - data alteração
</t>
        </r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21 - código
22 - código do profissional
23 - data início 
24 - data fim
25 - flag ausente o dia inteiro
26 - motivo ausência
27 - usuário cadastro
28 - data cadastro
29 - usuário alteração
30 - data alteração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31 - código
32 - código ausência
33 - horário início 
34 - horário fim
35 - usuário cadastro
36 - data cadastro
37 - usuário alteração
38 -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39 - código
40 - código do profissional
41 - código tipo de agendamento
42 - data início
43 - data fim
44 - origem agendamento
45 - código do atendimento
46 - descrição
48 - usuário cadastro
48 - data cadastro
49 - usuário alteração
50 - data alteração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 xml:space="preserve">51 - código
52 - código agendamento
53 - horário início 
54 - horário fim
55 - usuário cadastro
56 - data cadastro
57 - usuário alteração
58 - data alteração
</t>
        </r>
      </text>
    </comment>
    <comment ref="E112" authorId="2" shapeId="0" xr:uid="{5ADAFE56-8651-47E4-8B69-5E0588F3893E}">
      <text>
        <r>
          <rPr>
            <sz val="9"/>
            <color indexed="81"/>
            <rFont val="Segoe UI"/>
            <family val="2"/>
          </rPr>
          <t xml:space="preserve">01 - Configuração Agenda
02 - Configuração Agenda Horários para Atendimento
03 - Ausências
04 - Ausência Horário
05 - Agendamentos
06 - Agendamento Horário
</t>
        </r>
      </text>
    </comment>
    <comment ref="D113" authorId="2" shapeId="0" xr:uid="{B4680ED5-E1AA-44EC-8E2C-9EA3A3C6458F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código tipo de agendamento
03 - data início
04 - origem agendamento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05 - horário início 
06 - horário fim
07 - comando
08 - mensagem
</t>
        </r>
      </text>
    </comment>
    <comment ref="E113" authorId="2" shapeId="0" xr:uid="{E0420909-9D76-4AA3-BFB3-6F5BE9DD4884}">
      <text>
        <r>
          <rPr>
            <sz val="9"/>
            <color indexed="81"/>
            <rFont val="Segoe UI"/>
            <family val="2"/>
          </rPr>
          <t>01 - Agenda
02 - Responsável Técnico</t>
        </r>
      </text>
    </comment>
    <comment ref="D115" authorId="2" shapeId="0" xr:uid="{3A4B958E-4497-4560-9F2C-6B0A0006B848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código tipo de agendamento
03 - data início
04 - origem agendamento
05 - usuário cadastro
06 - usuário alteração
07 - data cadastro
08 - data alteração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09 - horário início 
10 - horário fim
11 - comando
12 - mensagem
</t>
        </r>
      </text>
    </comment>
    <comment ref="E115" authorId="2" shapeId="0" xr:uid="{5D65E8CA-A8A4-495A-8A0C-8DEC9C1E5985}">
      <text>
        <r>
          <rPr>
            <sz val="9"/>
            <color indexed="81"/>
            <rFont val="Segoe UI"/>
            <family val="2"/>
          </rPr>
          <t>01 - Agenda
02 - Responsável Técnico</t>
        </r>
      </text>
    </comment>
    <comment ref="D116" authorId="2" shapeId="0" xr:uid="{1CEAE30A-9FC5-4985-B5B2-1C3C9C8FFC62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02 - código
03 - comando
04 - mensagem
</t>
        </r>
      </text>
    </comment>
    <comment ref="E116" authorId="2" shapeId="0" xr:uid="{08AC43BF-2828-4FEC-8CD1-8C1E9F344498}">
      <text>
        <r>
          <rPr>
            <sz val="9"/>
            <color indexed="81"/>
            <rFont val="Segoe UI"/>
            <family val="2"/>
          </rPr>
          <t>01 - Agenda
02 - Responsável Técnico</t>
        </r>
      </text>
    </comment>
    <comment ref="D119" authorId="2" shapeId="0" xr:uid="{80AFCB73-D772-4A25-B915-93F516F5AA1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06 - horário início 
07 - horário fim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08 - código
09 - código do profissional
10 - código tipo de agendamento
11 - data início
12 - data fim
13 - origem agendamento
14 - código do atendimento
15 - descrição
16 - usuário cadastro
17 - data cadastro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>18 - código
19 - código agendamento
20 - horário início 
21 - horário fim
22 - usuário cadastro
23 - data cadastro
24 - comando
25 - mensagem</t>
        </r>
      </text>
    </comment>
    <comment ref="E119" authorId="2" shapeId="0" xr:uid="{81A54946-5B1E-4C74-B34A-FFC7240CE1C8}">
      <text>
        <r>
          <rPr>
            <sz val="9"/>
            <color indexed="81"/>
            <rFont val="Segoe UI"/>
            <family val="2"/>
          </rPr>
          <t>01 - Agenda
02 - Responsável Técnico
03 - Categoria</t>
        </r>
      </text>
    </comment>
    <comment ref="D120" authorId="1" shapeId="0" xr:uid="{883C42BC-4284-4522-9A0E-E291C19CD7E5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120" authorId="2" shapeId="0" xr:uid="{9881A04E-9D88-4BD1-8663-448A58370E90}">
      <text>
        <r>
          <rPr>
            <sz val="9"/>
            <color indexed="81"/>
            <rFont val="Segoe UI"/>
            <family val="2"/>
          </rPr>
          <t>01 - Categoria</t>
        </r>
      </text>
    </comment>
    <comment ref="D121" authorId="2" shapeId="0" xr:uid="{EB82EE64-D564-4154-8BC2-04FF7F90A4BF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06 - horário início 
07 - horário fim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08 - código
09 - código do profissional
10 - código tipo de agendamento
11 - data início
12 - data fim
13 - origem agendamento
14 - código do atendimento
15 - descrição
16 - usuário alteração
17 - data alteração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>18 - código
19 - código agendamento
20 - horário início 
21 - horário fim
22 - usuário alteração
23 - data alteração
24 - comando
25 - mensagem</t>
        </r>
      </text>
    </comment>
    <comment ref="E121" authorId="2" shapeId="0" xr:uid="{109FB515-2503-4A07-9FDA-C2629ED642AC}">
      <text>
        <r>
          <rPr>
            <sz val="9"/>
            <color indexed="81"/>
            <rFont val="Segoe UI"/>
            <family val="2"/>
          </rPr>
          <t>01 - Agenda
02 - Responsável Técnico
03 - Categoria</t>
        </r>
      </text>
    </comment>
    <comment ref="D122" authorId="2" shapeId="0" xr:uid="{81F14DA0-86FC-4822-9930-E93C8F7F613A}">
      <text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01 - código
02 - código do profissional
03 - código tipo de agendamento
04 - data início
05 - data fim
06 - origem agendamento
07 - código do atendimento
08 - descrição
</t>
        </r>
        <r>
          <rPr>
            <b/>
            <sz val="9"/>
            <color indexed="81"/>
            <rFont val="Segoe UI"/>
            <family val="2"/>
          </rPr>
          <t xml:space="preserve">* Agendamento Horário
</t>
        </r>
        <r>
          <rPr>
            <sz val="9"/>
            <color indexed="81"/>
            <rFont val="Segoe UI"/>
            <family val="2"/>
          </rPr>
          <t>09 - código
10 - código agendamento
11 - horário início 
12 - horário fim
13 - comando
14 - mensagem</t>
        </r>
      </text>
    </comment>
    <comment ref="E122" authorId="2" shapeId="0" xr:uid="{E46C1D87-3046-4AA0-A621-46EE20C7BB1C}">
      <text>
        <r>
          <rPr>
            <sz val="9"/>
            <color indexed="81"/>
            <rFont val="Segoe UI"/>
            <family val="2"/>
          </rPr>
          <t>01 - Agenda
02 - Responsável Técnico
03 - Categoria</t>
        </r>
      </text>
    </comment>
    <comment ref="D125" authorId="2" shapeId="0" xr:uid="{313CF39C-337E-4686-A8A4-9CFD8AAC0144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09 - código
10 - código ausência
11 - horário início 
12 - horário fim
13 - usuário cadastro
14 - data cadastro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15 - código tipo de agendamento
16 - data início
17 - data fim
18 - origem agendamento
19 - código do atendimento
20 - descrição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21 - código agendamento
22 - horário início 
23 - horário fim
24 - comando
25 - mensagem
</t>
        </r>
      </text>
    </comment>
    <comment ref="E125" authorId="2" shapeId="0" xr:uid="{080BBD55-5B63-4263-97FD-9437501408DD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6" authorId="2" shapeId="0" xr:uid="{671E9C10-406C-43E8-9971-F33C3880CB64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07 - usuário alteração
08 - data alteração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09 - código
10 - código ausência
11 - horário início 
12 - horário fim
13 - usuário alteração
14 - data alteração
</t>
        </r>
        <r>
          <rPr>
            <b/>
            <sz val="9"/>
            <color indexed="81"/>
            <rFont val="Segoe UI"/>
            <family val="2"/>
          </rPr>
          <t xml:space="preserve">* Agendamentos
</t>
        </r>
        <r>
          <rPr>
            <sz val="9"/>
            <color indexed="81"/>
            <rFont val="Segoe UI"/>
            <family val="2"/>
          </rPr>
          <t xml:space="preserve">15 - código tipo de agendamento
16 - data início
17 - data fim
18 - origem agendamento
19 - código do atendimento
20 - descrição
</t>
        </r>
        <r>
          <rPr>
            <b/>
            <sz val="9"/>
            <color indexed="81"/>
            <rFont val="Segoe UI"/>
            <family val="2"/>
          </rPr>
          <t>* Agendamento Horário</t>
        </r>
        <r>
          <rPr>
            <sz val="9"/>
            <color indexed="81"/>
            <rFont val="Segoe UI"/>
            <family val="2"/>
          </rPr>
          <t xml:space="preserve">
21 - código agendamento
22 - horário início 
23 - horário fim
24 - comando
25 - mensagem
</t>
        </r>
      </text>
    </comment>
    <comment ref="E126" authorId="2" shapeId="0" xr:uid="{02E2972C-AB0A-4815-A0B7-DAB975F4575A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7" authorId="2" shapeId="0" xr:uid="{BC8C7614-3101-407C-9111-D13A10855D55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07 - código
08 - código ausência
09 - horário início 
10 - horário fim
</t>
        </r>
      </text>
    </comment>
    <comment ref="E127" authorId="2" shapeId="0" xr:uid="{4C56336A-C17E-4F33-BF18-993A0B3BE1B6}">
      <text>
        <r>
          <rPr>
            <sz val="9"/>
            <color indexed="81"/>
            <rFont val="Segoe UI"/>
            <family val="2"/>
          </rPr>
          <t xml:space="preserve">01 - Agenda
</t>
        </r>
      </text>
    </comment>
    <comment ref="D128" authorId="2" shapeId="0" xr:uid="{F89D2EF0-2D99-4E05-AA95-CD27118CE8E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>* Ausência Horário</t>
        </r>
        <r>
          <rPr>
            <sz val="9"/>
            <color indexed="81"/>
            <rFont val="Segoe UI"/>
            <family val="2"/>
          </rPr>
          <t xml:space="preserve">
02 - código
03 - comando
04 - mensagem
</t>
        </r>
      </text>
    </comment>
    <comment ref="E128" authorId="2" shapeId="0" xr:uid="{9BA95451-67A5-4106-B0F5-D4122400D477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29" authorId="2" shapeId="0" xr:uid="{C505605E-21DA-4539-8DC5-23469F76253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</t>
        </r>
        <r>
          <rPr>
            <b/>
            <sz val="9"/>
            <color indexed="81"/>
            <rFont val="Segoe UI"/>
            <family val="2"/>
          </rPr>
          <t>* Ausência Horário</t>
        </r>
        <r>
          <rPr>
            <sz val="9"/>
            <color indexed="81"/>
            <rFont val="Segoe UI"/>
            <family val="2"/>
          </rPr>
          <t xml:space="preserve">
07 - horário início 
08 - horário fim
09 - comando
10 - mensagem
</t>
        </r>
      </text>
    </comment>
    <comment ref="E129" authorId="2" shapeId="0" xr:uid="{C067BDC4-F273-4E93-9C46-5EEA7E61B90B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30" authorId="2" shapeId="0" xr:uid="{4B99676B-674E-4EA4-8DE0-A16AABDDF75B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07 - usuário alteração
08 - data alteração
09 - usuário cadastro
10 - data cadastro
</t>
        </r>
        <r>
          <rPr>
            <b/>
            <sz val="9"/>
            <color indexed="81"/>
            <rFont val="Segoe UI"/>
            <family val="2"/>
          </rPr>
          <t>* Ausência Horário</t>
        </r>
        <r>
          <rPr>
            <sz val="9"/>
            <color indexed="81"/>
            <rFont val="Segoe UI"/>
            <family val="2"/>
          </rPr>
          <t xml:space="preserve">
11 - horário início 
12 - horário fim
13 - comando
14 - mensagem
</t>
        </r>
      </text>
    </comment>
    <comment ref="E130" authorId="2" shapeId="0" xr:uid="{8C34F4CF-ED41-4FD9-926F-C09FFB8234EA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31" authorId="2" shapeId="0" xr:uid="{4ECB3C95-CFB2-4881-B37B-638B766152B6}">
      <text>
        <r>
          <rPr>
            <b/>
            <sz val="9"/>
            <color indexed="81"/>
            <rFont val="Segoe UI"/>
            <family val="2"/>
          </rPr>
          <t xml:space="preserve">* Ausências
</t>
        </r>
        <r>
          <rPr>
            <sz val="9"/>
            <color indexed="81"/>
            <rFont val="Segoe UI"/>
            <family val="2"/>
          </rPr>
          <t xml:space="preserve">01 - código
02 - código do profissional
03 - data início 
04 - data fim
05 - flag ausente o dia inteiro
06 - motivo ausência
</t>
        </r>
        <r>
          <rPr>
            <b/>
            <sz val="9"/>
            <color indexed="81"/>
            <rFont val="Segoe UI"/>
            <family val="2"/>
          </rPr>
          <t xml:space="preserve">* Ausência Horário
</t>
        </r>
        <r>
          <rPr>
            <sz val="9"/>
            <color indexed="81"/>
            <rFont val="Segoe UI"/>
            <family val="2"/>
          </rPr>
          <t xml:space="preserve">07 - código
08 - código ausência
09 - horário início 
10 - horário fim
11 - comando
12 - mensagem
</t>
        </r>
      </text>
    </comment>
    <comment ref="E131" authorId="2" shapeId="0" xr:uid="{D59885BB-75E0-4C46-A0AC-5D304BE48A12}">
      <text>
        <r>
          <rPr>
            <sz val="9"/>
            <color indexed="81"/>
            <rFont val="Segoe UI"/>
            <family val="2"/>
          </rPr>
          <t xml:space="preserve">01 - Agenda
</t>
        </r>
      </text>
    </comment>
    <comment ref="D134" authorId="2" shapeId="0" xr:uid="{E835541F-BAAF-4C04-A8EA-B5987A9A5E99}">
      <text>
        <r>
          <rPr>
            <b/>
            <sz val="9"/>
            <color indexed="81"/>
            <rFont val="Segoe UI"/>
            <family val="2"/>
          </rPr>
          <t xml:space="preserve">* Configuração Agenda
</t>
        </r>
        <r>
          <rPr>
            <sz val="9"/>
            <color indexed="81"/>
            <rFont val="Segoe UI"/>
            <family val="2"/>
          </rPr>
          <t xml:space="preserve">01 - código
02 - código do profissional
03 - horário de atendimento início
04 - horário de atendimento fim
05 - horário de intervalo início
06 - horário de intervalo fim
07 - tempo de cada atendimento
08 - usuário alteração
09 - data alteração
</t>
        </r>
        <r>
          <rPr>
            <b/>
            <sz val="9"/>
            <color indexed="81"/>
            <rFont val="Segoe UI"/>
            <family val="2"/>
          </rPr>
          <t>* Configuração Agenda Horários para Atendimento</t>
        </r>
        <r>
          <rPr>
            <sz val="9"/>
            <color indexed="81"/>
            <rFont val="Segoe UI"/>
            <family val="2"/>
          </rPr>
          <t xml:space="preserve">
11 - código
12 - código da configuração da agenda
13 - dia da semana
14 - horário de atendimento início
15 - horário de atendimento fim
16 - usuário alteração
17 - data alteração
18 - comando
19 - mensagem
</t>
        </r>
      </text>
    </comment>
    <comment ref="E134" authorId="2" shapeId="0" xr:uid="{9BFDA50F-7B01-4E24-AD5D-466A53B76E75}">
      <text>
        <r>
          <rPr>
            <sz val="9"/>
            <color indexed="81"/>
            <rFont val="Segoe UI"/>
            <family val="2"/>
          </rPr>
          <t xml:space="preserve">01 - Agenda
02 - Responsável Técnico
</t>
        </r>
      </text>
    </comment>
    <comment ref="D135" authorId="2" shapeId="0" xr:uid="{B7A975BF-A658-4868-AA94-451463617034}">
      <text>
        <r>
          <rPr>
            <b/>
            <sz val="9"/>
            <color indexed="81"/>
            <rFont val="Segoe UI"/>
            <family val="2"/>
          </rPr>
          <t xml:space="preserve">* Configuração Agenda
</t>
        </r>
        <r>
          <rPr>
            <sz val="9"/>
            <color indexed="81"/>
            <rFont val="Segoe UI"/>
            <family val="2"/>
          </rPr>
          <t xml:space="preserve">01 - código
02 - código do profissional
03 - horário de atendimento início
04 - horário de atendimento fim
05 - horário de intervalo início
06 - horário de intervalo fim
07 - tempo de cada atendimento
</t>
        </r>
        <r>
          <rPr>
            <b/>
            <sz val="9"/>
            <color indexed="81"/>
            <rFont val="Segoe UI"/>
            <family val="2"/>
          </rPr>
          <t>* Configuração Agenda Horários para Atendimento</t>
        </r>
        <r>
          <rPr>
            <sz val="9"/>
            <color indexed="81"/>
            <rFont val="Segoe UI"/>
            <family val="2"/>
          </rPr>
          <t xml:space="preserve">
08 - código
09 - código da configuração da agenda
10 - dia da semana
11 - horário de atendimento início
12 - horário de atendimento fim
</t>
        </r>
      </text>
    </comment>
    <comment ref="E135" authorId="2" shapeId="0" xr:uid="{B242EBAD-3EDE-44FE-973E-0DA2BDE6EAE3}">
      <text>
        <r>
          <rPr>
            <sz val="9"/>
            <color indexed="81"/>
            <rFont val="Segoe UI"/>
            <family val="2"/>
          </rPr>
          <t xml:space="preserve">01 - Agenda
</t>
        </r>
      </text>
    </comment>
    <comment ref="D139" authorId="2" shapeId="0" xr:uid="{EFF62FB3-57E0-4D96-8074-23F452C21C73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01- código do acompanhamento psicossocial
02 resultado do risco
</t>
        </r>
      </text>
    </comment>
    <comment ref="E139" authorId="2" shapeId="0" xr:uid="{0F76ED0E-EAF5-4119-BEFF-FA487DE968E9}">
      <text>
        <r>
          <rPr>
            <sz val="9"/>
            <color indexed="81"/>
            <rFont val="Segoe UI"/>
            <family val="2"/>
          </rPr>
          <t xml:space="preserve">01 - Formulário de Risco de Suicídio
02 - Acompanhamento Psicossocial
</t>
        </r>
      </text>
    </comment>
    <comment ref="D140" authorId="2" shapeId="0" xr:uid="{F1688E28-7B95-4B8E-B513-314EF74AFE55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>01 - código
02 - código do acompanhamento psicossocial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03 - código pergunta
04 - opção de resposta
05 - risco
06 - peso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07 - código do formulário de suicídio
08 - código pergunta
09 - código resposta
10 - soma total dos pesos
</t>
        </r>
      </text>
    </comment>
    <comment ref="E140" authorId="2" shapeId="0" xr:uid="{76AF1DCD-4097-4840-B505-98914ADEC181}">
      <text>
        <r>
          <rPr>
            <sz val="9"/>
            <color indexed="81"/>
            <rFont val="Segoe UI"/>
            <family val="2"/>
          </rPr>
          <t xml:space="preserve">01 - Formulário de Risco de Suicídio
01 - Acompanhamento Psicossocial
</t>
        </r>
      </text>
    </comment>
    <comment ref="D141" authorId="2" shapeId="0" xr:uid="{319DD0D9-6FFC-4460-A96D-710F9F9C278E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03 - código pergunta
04 - código resposta
</t>
        </r>
        <r>
          <rPr>
            <b/>
            <sz val="9"/>
            <color indexed="81"/>
            <rFont val="Segoe UI"/>
            <family val="2"/>
          </rPr>
          <t xml:space="preserve">
* Perguntas Formulário Suicídio
</t>
        </r>
        <r>
          <rPr>
            <sz val="9"/>
            <color indexed="81"/>
            <rFont val="Segoe UI"/>
            <family val="2"/>
          </rPr>
          <t>05 - pergunta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06 - opção de resposta
07 - risco
08 - peso
09 - comando
10 - mensagem
</t>
        </r>
      </text>
    </comment>
    <comment ref="E141" authorId="2" shapeId="0" xr:uid="{D85101A4-84FC-4316-A4C9-00D5B06FCF75}">
      <text>
        <r>
          <rPr>
            <sz val="9"/>
            <color indexed="81"/>
            <rFont val="Segoe UI"/>
            <family val="2"/>
          </rPr>
          <t xml:space="preserve">01 - Formulário de Risco de Suicídio
01 - Acompanhamento Psicossocial
</t>
        </r>
      </text>
    </comment>
    <comment ref="D142" authorId="2" shapeId="0" xr:uid="{8E082446-795F-4B5F-8354-828FBA1384D4}">
      <text>
        <r>
          <rPr>
            <b/>
            <sz val="9"/>
            <color indexed="81"/>
            <rFont val="Segoe UI"/>
            <family val="2"/>
          </rPr>
          <t xml:space="preserve">* Formulário Suicídio
</t>
        </r>
        <r>
          <rPr>
            <sz val="9"/>
            <color indexed="81"/>
            <rFont val="Segoe UI"/>
            <family val="2"/>
          </rPr>
          <t xml:space="preserve">01 - código
02 - código do acompanhamento psicossocial
</t>
        </r>
        <r>
          <rPr>
            <b/>
            <sz val="9"/>
            <color indexed="81"/>
            <rFont val="Segoe UI"/>
            <family val="2"/>
          </rPr>
          <t>* Formulário Suicídio Respondido</t>
        </r>
        <r>
          <rPr>
            <sz val="9"/>
            <color indexed="81"/>
            <rFont val="Segoe UI"/>
            <family val="2"/>
          </rPr>
          <t xml:space="preserve">
03 - código pergunta
04 - código resposta
</t>
        </r>
        <r>
          <rPr>
            <b/>
            <sz val="9"/>
            <color indexed="81"/>
            <rFont val="Segoe UI"/>
            <family val="2"/>
          </rPr>
          <t xml:space="preserve">
* Perguntas Formulário Suicídio
</t>
        </r>
        <r>
          <rPr>
            <sz val="9"/>
            <color indexed="81"/>
            <rFont val="Segoe UI"/>
            <family val="2"/>
          </rPr>
          <t>05 - pergunta</t>
        </r>
        <r>
          <rPr>
            <b/>
            <sz val="9"/>
            <color indexed="81"/>
            <rFont val="Segoe UI"/>
            <family val="2"/>
          </rPr>
          <t xml:space="preserve">
* Opções de Resposta Formulário Suicídio
</t>
        </r>
        <r>
          <rPr>
            <sz val="9"/>
            <color indexed="81"/>
            <rFont val="Segoe UI"/>
            <family val="2"/>
          </rPr>
          <t xml:space="preserve">06 - opção de resposta
07 - risco
08 - peso
09 - comando
10 - mensagem
</t>
        </r>
      </text>
    </comment>
    <comment ref="E142" authorId="2" shapeId="0" xr:uid="{440A619A-D710-43F0-A7CF-B5EB27E37185}">
      <text>
        <r>
          <rPr>
            <sz val="9"/>
            <color indexed="81"/>
            <rFont val="Segoe UI"/>
            <family val="2"/>
          </rPr>
          <t xml:space="preserve">01 - Formulário de Risco de Suicídio
01 - Acompanhamento Psicossocial
</t>
        </r>
      </text>
    </comment>
    <comment ref="D145" authorId="2" shapeId="0" xr:uid="{1D009210-926B-4B66-AF69-5DFB35BFFFB2}">
      <text>
        <r>
          <rPr>
            <b/>
            <sz val="9"/>
            <color indexed="81"/>
            <rFont val="Segoe UI"/>
            <family val="2"/>
          </rPr>
          <t xml:space="preserve">* Acompanhamento do Profissional
</t>
        </r>
        <r>
          <rPr>
            <sz val="9"/>
            <color indexed="81"/>
            <rFont val="Segoe UI"/>
            <family val="2"/>
          </rPr>
          <t xml:space="preserve">01 - código
02 - motivo do encerramento
03 - justificativa do encerramento
04 - data cadastro
05 - usuário cadastro
06 - comando
07 - mensagem
</t>
        </r>
      </text>
    </comment>
    <comment ref="E145" authorId="2" shapeId="0" xr:uid="{80065501-15C4-4846-BADA-E243CEA06130}">
      <text>
        <r>
          <rPr>
            <sz val="9"/>
            <color indexed="81"/>
            <rFont val="Segoe UI"/>
            <family val="2"/>
          </rPr>
          <t>01 - Acompanhamento do Profissional
02 - Responsável Técnico
03 - Acompanhameto Psicossocial</t>
        </r>
      </text>
    </comment>
    <comment ref="D146" authorId="2" shapeId="0" xr:uid="{B028D347-E5A2-43D5-83A6-4126CF0367F4}">
      <text>
        <r>
          <rPr>
            <b/>
            <sz val="9"/>
            <color indexed="81"/>
            <rFont val="Segoe UI"/>
            <family val="2"/>
          </rPr>
          <t xml:space="preserve">* Motivo de Encerramento
</t>
        </r>
        <r>
          <rPr>
            <sz val="9"/>
            <color indexed="81"/>
            <rFont val="Segoe UI"/>
            <family val="2"/>
          </rPr>
          <t>01 - código
02 - descrição</t>
        </r>
      </text>
    </comment>
    <comment ref="E146" authorId="2" shapeId="0" xr:uid="{62F5B5F4-2A46-47CD-823A-1454B054E5E2}">
      <text>
        <r>
          <rPr>
            <sz val="9"/>
            <color indexed="81"/>
            <rFont val="Segoe UI"/>
            <family val="2"/>
          </rPr>
          <t xml:space="preserve">01 - Acompanhamento do Profissional
</t>
        </r>
      </text>
    </comment>
    <comment ref="D147" authorId="2" shapeId="0" xr:uid="{88C321EB-71B8-4171-BD29-C1AB3CAE53B8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
02 - código do acompanhamento
03 - Durante o atendimento, você se sentiu à vontade para conversar?
04 - Como você se sente após esse acompanhamento?
05 - NPS – Numa escala de 0 a 10, quanto você indicaria nosso atendimento a um colega?
06 - Comentários
07 - usuário cadastro
08 - data cadastro
09 - comando
10 - mensagem</t>
        </r>
      </text>
    </comment>
    <comment ref="E147" authorId="2" shapeId="0" xr:uid="{950B1CEF-8E42-4BC3-8238-1D5F7549A954}">
      <text>
        <r>
          <rPr>
            <sz val="9"/>
            <color indexed="81"/>
            <rFont val="Segoe UI"/>
            <family val="2"/>
          </rPr>
          <t xml:space="preserve">01 - Acompanhamento do Profissional
</t>
        </r>
      </text>
    </comment>
    <comment ref="D150" authorId="2" shapeId="0" xr:uid="{F00483DF-8548-4B05-B8A1-A38B2345A7A1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total detratores
06 - percentual detratores
</t>
        </r>
        <r>
          <rPr>
            <sz val="9"/>
            <color indexed="81"/>
            <rFont val="Segoe UI"/>
            <family val="2"/>
          </rPr>
          <t>07 - órgão
08 - tipo de atendimento
09 - ano do atendimento</t>
        </r>
      </text>
    </comment>
    <comment ref="E150" authorId="2" shapeId="0" xr:uid="{53629790-4DC5-43CF-B5E7-87F24AE5C11A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1" authorId="2" shapeId="0" xr:uid="{58DC0792-D44C-4061-8416-576EFF2222A4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total passivos
06 - percentual passivos
07 - órgão
08 - tipo de atendimento
09 - ano do atendimento</t>
        </r>
      </text>
    </comment>
    <comment ref="E151" authorId="2" shapeId="0" xr:uid="{E8373EDF-CB4B-4488-B9E9-BF49D8C358A1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2" authorId="2" shapeId="0" xr:uid="{F372BDE1-5035-44DC-AF42-41CF57416C30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total promotores
06 - percentual promotores
07 - órgão
08 - tipo de atendimento
09 - ano do atendimento</t>
        </r>
      </text>
    </comment>
    <comment ref="E152" authorId="2" shapeId="0" xr:uid="{FD32DA0D-2728-4620-B4E1-79A9D89EF468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3" authorId="2" shapeId="0" xr:uid="{370220FD-E5A9-436C-B496-A08EF72BAF19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Como você se sente após esse acompanhamento?
04 - NPS – Numa escala de 0 a 10, quanto você indicaria nosso atendimento a um colega?
05 - nps
06 - órgão
07 - tipo de atendimento
08 - ano do atendimento</t>
        </r>
      </text>
    </comment>
    <comment ref="E153" authorId="2" shapeId="0" xr:uid="{162B59B5-7DD6-44DF-A321-087E53558335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4" authorId="2" shapeId="0" xr:uid="{D8E3D0F3-6B35-4DDE-A1FE-5E1D661B01C1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Durante o atendimento, você se sentiu à vontade para conversar?
03 - órgão
04 - tipo de atendimento
05 - ano do atendimento</t>
        </r>
      </text>
    </comment>
    <comment ref="E154" authorId="2" shapeId="0" xr:uid="{A656ED5D-9CD1-43B2-88D9-83F638E69DE4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5" authorId="2" shapeId="0" xr:uid="{DFC94968-D37E-4E2E-A8C3-925E60EE49DC}">
      <text>
        <r>
          <rPr>
            <b/>
            <sz val="9"/>
            <color indexed="81"/>
            <rFont val="Segoe UI"/>
            <family val="2"/>
          </rPr>
          <t>* Pesquisa de Satisfação</t>
        </r>
        <r>
          <rPr>
            <sz val="9"/>
            <color indexed="81"/>
            <rFont val="Segoe UI"/>
            <family val="2"/>
          </rPr>
          <t xml:space="preserve">
01 - código do acompanhamento
02 - Como você se sente após esse acompanhamento?
03 - órgão
04 - tipo de atendimento
05 - ano do atendimento</t>
        </r>
      </text>
    </comment>
    <comment ref="E155" authorId="2" shapeId="0" xr:uid="{34622D57-687D-4DEC-86AD-0215B1853F1B}">
      <text>
        <r>
          <rPr>
            <sz val="9"/>
            <color indexed="81"/>
            <rFont val="Segoe UI"/>
            <family val="2"/>
          </rPr>
          <t>01 - Acompanhamento do Profissional
02 - Acompanhameto Psicossocial</t>
        </r>
      </text>
    </comment>
    <comment ref="D158" authorId="2" shapeId="0" xr:uid="{7E51195F-CD74-46B7-A342-BBA383E5B2E4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código origem
05 - código do órgão
06 - código situação
07 - data cadastro
08 -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09 - código
10 - código do acompanhamento
11 - código da situação do acompanhamento
12 - data cadastro
13 - usuário cadastro
14 - comando
15 - mensagem</t>
        </r>
      </text>
    </comment>
    <comment ref="E158" authorId="2" shapeId="0" xr:uid="{385F721F-953F-4E3A-805C-BA9CF124F429}">
      <text>
        <r>
          <rPr>
            <sz val="9"/>
            <color indexed="81"/>
            <rFont val="Segoe UI"/>
            <family val="2"/>
          </rPr>
          <t>01 - Acompanhamento Psicossocial
02 - Servidor
03 - Órgão</t>
        </r>
      </text>
    </comment>
    <comment ref="D161" authorId="2" shapeId="0" xr:uid="{9A499225-452D-4B51-856E-1DA0421DD60F}">
      <text>
        <r>
          <rPr>
            <b/>
            <sz val="9"/>
            <color indexed="81"/>
            <rFont val="Segoe UI"/>
            <family val="2"/>
          </rPr>
          <t>* Acompanhamento Psicossocial</t>
        </r>
        <r>
          <rPr>
            <sz val="9"/>
            <color indexed="81"/>
            <rFont val="Segoe UI"/>
            <family val="2"/>
          </rPr>
          <t xml:space="preserve">
01 - código
02 - código servidor
03 - código tipo de entrada
04 - código origem
05 - código do órgão
06 - código situação
07 - data cadastro
08 -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do Acompanhamento </t>
        </r>
        <r>
          <rPr>
            <sz val="9"/>
            <color indexed="81"/>
            <rFont val="Segoe UI"/>
            <family val="2"/>
          </rPr>
          <t xml:space="preserve">
09 - código
10 - código do acompanhamento
11 - código da situação do acompanhamento
12 - motivo cancelamento
13 - data cadastro
14 - usuário cadastro
15 - comando
16 - mensagem</t>
        </r>
      </text>
    </comment>
    <comment ref="E161" authorId="2" shapeId="0" xr:uid="{7E73FAA5-D00B-4A96-8FA3-80AB6E633075}">
      <text>
        <r>
          <rPr>
            <sz val="9"/>
            <color indexed="81"/>
            <rFont val="Segoe UI"/>
            <family val="2"/>
          </rPr>
          <t>01 - Acompanhamento Psicossocial
02 - Servidor
03 - Órgão</t>
        </r>
      </text>
    </comment>
    <comment ref="D164" authorId="2" shapeId="0" xr:uid="{50C70602-BF63-4856-A591-EA3C454D055A}">
      <text>
        <r>
          <rPr>
            <sz val="9"/>
            <color rgb="FF000000"/>
            <rFont val="Segoe UI"/>
            <family val="2"/>
            <charset val="1"/>
          </rPr>
          <t xml:space="preserve">01 - Período Início
02 - </t>
        </r>
        <r>
          <rPr>
            <sz val="10"/>
            <color rgb="FF000000"/>
            <rFont val="Arial"/>
            <family val="2"/>
          </rPr>
          <t>Período fim</t>
        </r>
        <r>
          <rPr>
            <sz val="9"/>
            <color rgb="FF000000"/>
            <rFont val="Segoe UI"/>
            <family val="2"/>
            <charset val="1"/>
          </rPr>
          <t xml:space="preserve">
03 - Órgão
04 - Tipo de entrada
0</t>
        </r>
        <r>
          <rPr>
            <u/>
            <sz val="9"/>
            <color rgb="FF000000"/>
            <rFont val="Segoe UI"/>
            <family val="2"/>
            <charset val="1"/>
          </rPr>
          <t>5</t>
        </r>
        <r>
          <rPr>
            <sz val="9"/>
            <color rgb="FF000000"/>
            <rFont val="Segoe UI"/>
            <family val="2"/>
            <charset val="1"/>
          </rPr>
          <t xml:space="preserve"> - Tipo de categoria
06 - Período
07 - Número de acompanhamentos
08 - Tipo de acompanhamentos
09 - Comando
10 - Mensagem</t>
        </r>
      </text>
    </comment>
    <comment ref="E164" authorId="2" shapeId="0" xr:uid="{5C249784-533F-4C48-AC74-B19ED799D3B7}">
      <text>
        <r>
          <rPr>
            <sz val="9"/>
            <color rgb="FF000000"/>
            <rFont val="Segoe UI"/>
            <family val="2"/>
            <charset val="1"/>
          </rPr>
          <t>01 - Acompanhamento Psicossocial
02 - Órgão</t>
        </r>
      </text>
    </comment>
    <comment ref="D165" authorId="2" shapeId="0" xr:uid="{8AAF0F5A-ACA5-4A0D-A8E2-45AE99B8BE96}">
      <text>
        <r>
          <rPr>
            <sz val="9"/>
            <color rgb="FF000000"/>
            <rFont val="Segoe UI"/>
            <family val="2"/>
            <charset val="1"/>
          </rPr>
          <t xml:space="preserve">07 - Número de servidores acompanhados
</t>
        </r>
      </text>
    </comment>
    <comment ref="E165" authorId="2" shapeId="0" xr:uid="{C14F73E9-DE5E-44A1-931D-5AA9A0EFA45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66" authorId="2" shapeId="0" xr:uid="{90509925-A386-4A63-A5DA-414351749D77}">
      <text>
        <r>
          <rPr>
            <sz val="9"/>
            <color rgb="FF000000"/>
            <rFont val="Segoe UI"/>
            <family val="2"/>
            <charset val="1"/>
          </rPr>
          <t xml:space="preserve">01 - </t>
        </r>
        <r>
          <rPr>
            <sz val="10"/>
            <color rgb="FF000000"/>
            <rFont val="Arial"/>
            <family val="2"/>
          </rPr>
          <t>órgão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
02 - comando
</t>
        </r>
      </text>
    </comment>
    <comment ref="E166" authorId="2" shapeId="0" xr:uid="{5C4BFFBB-AB04-4215-A1BA-9455B0AD9544}">
      <text>
        <r>
          <rPr>
            <sz val="9"/>
            <color rgb="FF000000"/>
            <rFont val="Segoe UI"/>
            <family val="2"/>
            <charset val="1"/>
          </rPr>
          <t>01 - Órgão</t>
        </r>
      </text>
    </comment>
    <comment ref="D169" authorId="2" shapeId="0" xr:uid="{A67D07D1-9053-4428-99ED-AB201E3B4A65}">
      <text>
        <r>
          <rPr>
            <sz val="9"/>
            <color rgb="FF000000"/>
            <rFont val="Segoe UI"/>
            <family val="2"/>
            <charset val="1"/>
          </rPr>
          <t xml:space="preserve">01 - Período Inicial
</t>
        </r>
        <r>
          <rPr>
            <sz val="10"/>
            <color rgb="FF000000"/>
            <rFont val="Arial"/>
            <family val="2"/>
          </rPr>
          <t>02 - Período Final</t>
        </r>
        <r>
          <rPr>
            <sz val="9"/>
            <color rgb="FF000000"/>
            <rFont val="Segoe UI"/>
            <family val="2"/>
            <charset val="1"/>
          </rPr>
          <t xml:space="preserve">
03 - Órgão
04 - T</t>
        </r>
        <r>
          <rPr>
            <sz val="10"/>
            <color rgb="FF000000"/>
            <rFont val="Arial"/>
            <family val="2"/>
          </rPr>
          <t>otal de Acompanhamento</t>
        </r>
        <r>
          <rPr>
            <sz val="9"/>
            <color rgb="FF000000"/>
            <rFont val="Segoe UI"/>
            <family val="2"/>
            <charset val="1"/>
          </rPr>
          <t xml:space="preserve">
05 - </t>
        </r>
        <r>
          <rPr>
            <sz val="10"/>
            <color rgb="FF000000"/>
            <rFont val="Arial"/>
            <family val="2"/>
          </rPr>
          <t>Comando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
06 - </t>
        </r>
        <r>
          <rPr>
            <sz val="10"/>
            <color rgb="FF000000"/>
            <rFont val="Arial"/>
            <family val="2"/>
          </rPr>
          <t>Mensagem</t>
        </r>
        <r>
          <rPr>
            <sz val="9"/>
            <color rgb="FF000000"/>
            <rFont val="Arial"/>
            <family val="2"/>
          </rPr>
          <t xml:space="preserve"> </t>
        </r>
      </text>
    </comment>
    <comment ref="E169" authorId="2" shapeId="0" xr:uid="{EE3A2F4E-B556-4890-993F-3374140801D7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</t>
        </r>
        <r>
          <rPr>
            <sz val="9"/>
            <color rgb="FF000000"/>
            <rFont val="Segoe UI"/>
            <family val="2"/>
            <charset val="1"/>
          </rPr>
          <t>Órgão</t>
        </r>
      </text>
    </comment>
    <comment ref="D170" authorId="2" shapeId="0" xr:uid="{92F6B061-B790-40AE-8334-2FD06B477EB1}">
      <text>
        <r>
          <rPr>
            <sz val="9"/>
            <color rgb="FF000000"/>
            <rFont val="Segoe UI"/>
            <family val="2"/>
            <charset val="1"/>
          </rPr>
          <t xml:space="preserve">
04 - Total de servidores
</t>
        </r>
      </text>
    </comment>
    <comment ref="E170" authorId="2" shapeId="0" xr:uid="{60BF3456-537F-48A8-AACC-20D9A7BB189F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1" authorId="2" shapeId="0" xr:uid="{3D237FB0-D333-4ED5-B690-69C3CF6FCFDE}">
      <text>
        <r>
          <rPr>
            <sz val="9"/>
            <color rgb="FF000000"/>
            <rFont val="Segoe UI"/>
            <family val="2"/>
            <charset val="1"/>
          </rPr>
          <t xml:space="preserve">04 - Quantidade de acompanhamentos cadastrados
05 - Quantidade de mês
06 - Média de Novos Acompanhamento por Mês
</t>
        </r>
      </text>
    </comment>
    <comment ref="E171" authorId="2" shapeId="0" xr:uid="{5AE36B46-2A33-4B94-943C-DAED1D71CDF2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</t>
        </r>
        <r>
          <rPr>
            <sz val="9"/>
            <color rgb="FF000000"/>
            <rFont val="Segoe UI"/>
            <family val="2"/>
            <charset val="1"/>
          </rPr>
          <t>Órgão</t>
        </r>
      </text>
    </comment>
    <comment ref="D172" authorId="2" shapeId="0" xr:uid="{CC2CED9E-560F-4729-AFCA-023C872494D2}">
      <text>
        <r>
          <rPr>
            <sz val="9"/>
            <color rgb="FF000000"/>
            <rFont val="Segoe UI"/>
            <family val="2"/>
            <charset val="1"/>
          </rPr>
          <t>04 - Quantidade de acompanhamentos cadastrados no mês
05 - mês
06 - T</t>
        </r>
        <r>
          <rPr>
            <sz val="10"/>
            <color rgb="FF000000"/>
            <rFont val="Arial"/>
            <family val="2"/>
          </rPr>
          <t>otal de Acompanhamento</t>
        </r>
        <r>
          <rPr>
            <sz val="9"/>
            <color rgb="FF000000"/>
            <rFont val="Segoe UI"/>
            <family val="2"/>
            <charset val="1"/>
          </rPr>
          <t xml:space="preserve">
07 - Total de servidores
</t>
        </r>
      </text>
    </comment>
    <comment ref="E172" authorId="2" shapeId="0" xr:uid="{90664B8F-6433-499F-97D4-1206AB7C2171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5" authorId="2" shapeId="0" xr:uid="{5B074BA0-A5C8-47D0-A113-F40B840F7B57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
04 - Função</t>
        </r>
        <r>
          <rPr>
            <sz val="9"/>
            <color rgb="FF000000"/>
            <rFont val="Segoe UI"/>
            <family val="2"/>
            <charset val="1"/>
          </rPr>
          <t xml:space="preserve">
05 - Total de Atendimentos
06 - Comando
07</t>
        </r>
        <r>
          <rPr>
            <sz val="10"/>
            <color rgb="FF000000"/>
            <rFont val="Arial"/>
            <family val="2"/>
          </rPr>
          <t xml:space="preserve"> - Mensagem</t>
        </r>
        <r>
          <rPr>
            <sz val="9"/>
            <color rgb="FF000000"/>
            <rFont val="Arial"/>
            <family val="2"/>
          </rPr>
          <t xml:space="preserve"> </t>
        </r>
      </text>
    </comment>
    <comment ref="E175" authorId="2" shapeId="0" xr:uid="{5F19BCFD-CBFC-4C53-B488-A136B40E4119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6" authorId="2" shapeId="0" xr:uid="{E3927AE3-F271-42E7-B4A3-BA90016EB502}">
      <text>
        <r>
          <rPr>
            <sz val="9"/>
            <color rgb="FF000000"/>
            <rFont val="Segoe UI"/>
            <family val="2"/>
            <charset val="1"/>
          </rPr>
          <t xml:space="preserve">05 - Total de Atendimentos
06  - Total de Meses
07 - </t>
        </r>
        <r>
          <rPr>
            <sz val="10"/>
            <color rgb="FF000000"/>
            <rFont val="Arial"/>
            <family val="2"/>
          </rPr>
          <t>Média de Atendimento</t>
        </r>
      </text>
    </comment>
    <comment ref="E176" authorId="2" shapeId="0" xr:uid="{A962D99F-3855-4209-BAD5-2217D990F3B2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77" authorId="2" shapeId="0" xr:uid="{72768ABD-5643-4234-8F76-44896B61556D}">
      <text>
        <r>
          <rPr>
            <sz val="9"/>
            <color rgb="FF000000"/>
            <rFont val="Segoe UI"/>
            <family val="2"/>
            <charset val="1"/>
          </rPr>
          <t>05 - Total de Atendimentos
06 - Mês
07 - Média de Atendimento
08 - Total de atendimento no mês
09 - Média de atendimento mensal</t>
        </r>
      </text>
    </comment>
    <comment ref="E177" authorId="2" shapeId="0" xr:uid="{D1E0C0C0-785A-49AF-B2B8-6B32D2BEA385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80" authorId="2" shapeId="0" xr:uid="{5D055526-5352-4519-8826-0D45E7AC8BF8}">
      <text>
        <r>
          <rPr>
            <sz val="9"/>
            <color rgb="FF000000"/>
            <rFont val="Segoe UI"/>
            <family val="2"/>
            <charset val="1"/>
          </rPr>
          <t xml:space="preserve">01 - Período Início
02 - </t>
        </r>
        <r>
          <rPr>
            <sz val="10"/>
            <color rgb="FF000000"/>
            <rFont val="Arial"/>
            <family val="2"/>
          </rPr>
          <t>Período fim</t>
        </r>
        <r>
          <rPr>
            <sz val="9"/>
            <color rgb="FF000000"/>
            <rFont val="Segoe UI"/>
            <family val="2"/>
            <charset val="1"/>
          </rPr>
          <t xml:space="preserve">
03 - Órgão
04 - Função
0</t>
        </r>
        <r>
          <rPr>
            <u/>
            <sz val="9"/>
            <color rgb="FF000000"/>
            <rFont val="Segoe UI"/>
            <family val="2"/>
            <charset val="1"/>
          </rPr>
          <t>5</t>
        </r>
        <r>
          <rPr>
            <sz val="9"/>
            <color rgb="FF000000"/>
            <rFont val="Segoe UI"/>
            <family val="2"/>
            <charset val="1"/>
          </rPr>
          <t xml:space="preserve"> - Tipo de serviço
06 - Período
07 - Percentual de atendimentos
08 - Comando
09 - Mensagem</t>
        </r>
      </text>
    </comment>
    <comment ref="E180" authorId="2" shapeId="0" xr:uid="{CA23175C-7BEF-4C65-BBA4-C2ACE4E172C6}">
      <text>
        <r>
          <rPr>
            <sz val="9"/>
            <color rgb="FF000000"/>
            <rFont val="Segoe UI"/>
            <family val="2"/>
            <charset val="1"/>
          </rPr>
          <t>01 - Acompanhamento Psicossocial
02 - Órgão</t>
        </r>
      </text>
    </comment>
    <comment ref="D181" authorId="2" shapeId="0" xr:uid="{349E1DC2-2691-40D0-B159-5C695DCCAA4B}">
      <text>
        <r>
          <rPr>
            <sz val="9"/>
            <color rgb="FF000000"/>
            <rFont val="Segoe UI"/>
            <family val="2"/>
            <charset val="1"/>
          </rPr>
          <t>0</t>
        </r>
        <r>
          <rPr>
            <u/>
            <sz val="9"/>
            <color rgb="FF000000"/>
            <rFont val="Segoe UI"/>
            <family val="2"/>
            <charset val="1"/>
          </rPr>
          <t>5</t>
        </r>
        <r>
          <rPr>
            <sz val="9"/>
            <color rgb="FF000000"/>
            <rFont val="Segoe UI"/>
            <family val="2"/>
            <charset val="1"/>
          </rPr>
          <t xml:space="preserve"> - Tipo de serviço
07 - Percentual de Servidores</t>
        </r>
      </text>
    </comment>
    <comment ref="E181" authorId="2" shapeId="0" xr:uid="{21F9173C-0083-4DC8-879D-981B12486E40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Órgão</t>
        </r>
      </text>
    </comment>
    <comment ref="D182" authorId="2" shapeId="0" xr:uid="{E3EE2B7C-0232-4C55-91DA-77D92B04E18E}">
      <text>
        <r>
          <rPr>
            <sz val="9"/>
            <color rgb="FF000000"/>
            <rFont val="Segoe UI"/>
            <family val="2"/>
            <charset val="1"/>
          </rPr>
          <t xml:space="preserve">01 - </t>
        </r>
        <r>
          <rPr>
            <sz val="10"/>
            <color rgb="FF000000"/>
            <rFont val="Arial"/>
            <family val="2"/>
          </rPr>
          <t>Tipo categoria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02 - AÇÃO
</t>
        </r>
      </text>
    </comment>
    <comment ref="E182" authorId="2" shapeId="0" xr:uid="{E29F18AE-BF46-4C7B-B7A0-5E15588E4B57}">
      <text>
        <r>
          <rPr>
            <sz val="9"/>
            <color rgb="FF000000"/>
            <rFont val="Segoe UI"/>
            <family val="2"/>
            <charset val="1"/>
          </rPr>
          <t>01 - Categoria</t>
        </r>
      </text>
    </comment>
    <comment ref="D185" authorId="2" shapeId="0" xr:uid="{9284961D-B92B-4880-BB4E-985AA09C778F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Sexo</t>
        </r>
        <r>
          <rPr>
            <sz val="10"/>
            <color rgb="FF000000"/>
            <rFont val="Arial"/>
            <family val="2"/>
          </rPr>
          <t xml:space="preserve">
06 - Ação 
07 - Mensagem </t>
        </r>
      </text>
    </comment>
    <comment ref="E185" authorId="2" shapeId="0" xr:uid="{A73CC1D2-7595-4EED-99A5-3D59CA77A675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>04 - Categoria</t>
        </r>
      </text>
    </comment>
    <comment ref="D186" authorId="2" shapeId="0" xr:uid="{142D7D12-A02C-4E54-9322-BAB4ABD793F2}">
      <text>
        <r>
          <rPr>
            <sz val="9"/>
            <color rgb="FF000000"/>
            <rFont val="Segoe UI"/>
            <family val="2"/>
            <charset val="1"/>
          </rPr>
          <t>04 - Tipo de entrada
05 - Faixa Etária</t>
        </r>
      </text>
    </comment>
    <comment ref="E186" authorId="2" shapeId="0" xr:uid="{25617213-CA57-450D-BA2F-13D6DFD4E5D7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>04 - Categoria</t>
        </r>
      </text>
    </comment>
    <comment ref="D187" authorId="2" shapeId="0" xr:uid="{F79F2D55-C883-4929-A8D6-1B63DC0656D5}">
      <text>
        <r>
          <rPr>
            <sz val="9"/>
            <color rgb="FF000000"/>
            <rFont val="Segoe UI"/>
            <family val="2"/>
            <charset val="1"/>
          </rPr>
          <t>04 - Tipo de entrada
05 - Estado Civil</t>
        </r>
      </text>
    </comment>
    <comment ref="E187" authorId="2" shapeId="0" xr:uid="{33FB144E-45CF-410A-AB9E-7300AC2F0D2D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>04 - Categoria</t>
        </r>
      </text>
    </comment>
    <comment ref="D190" authorId="2" shapeId="0" xr:uid="{FC6E90F1-4336-458B-A07D-B9135605E3BA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Função
05 - Código de acompanhamento
06 - Tipo de entrada
07 - Matrícula
08 - Profissional
09 - Tipo de serviço</t>
        </r>
        <r>
          <rPr>
            <sz val="10"/>
            <color rgb="FF000000"/>
            <rFont val="Arial"/>
            <family val="2"/>
          </rPr>
          <t xml:space="preserve">
10 - Total de acompanhamentos
11 - Comando
12 - Mensagem</t>
        </r>
      </text>
    </comment>
    <comment ref="E190" authorId="2" shapeId="0" xr:uid="{D550E205-978C-4FC1-ABDC-F6A9885C68EC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 xml:space="preserve">04 - Categoria
</t>
        </r>
      </text>
    </comment>
    <comment ref="D191" authorId="2" shapeId="0" xr:uid="{B72DDA2D-C645-4DF9-88B5-292D6C0A6E0C}">
      <text>
        <r>
          <rPr>
            <sz val="9"/>
            <color rgb="FF000000"/>
            <rFont val="Segoe UI"/>
            <family val="2"/>
            <charset val="1"/>
          </rPr>
          <t>Total de atendimentos</t>
        </r>
      </text>
    </comment>
    <comment ref="E191" authorId="2" shapeId="0" xr:uid="{0E5EC4C1-FD74-4DD8-91F2-8E96DE547EB4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 xml:space="preserve">04 - Categoria
</t>
        </r>
      </text>
    </comment>
    <comment ref="D192" authorId="2" shapeId="0" xr:uid="{421AFE21-FF6E-49B4-899C-B69F69E7218C}">
      <text>
        <r>
          <rPr>
            <sz val="9"/>
            <color rgb="FF000000"/>
            <rFont val="Segoe UI"/>
            <family val="2"/>
            <charset val="1"/>
          </rPr>
          <t>04 - Função
05 - Código de acompanhamento
06 - Tipo de entrada
07 - Matrícula
08 - Profissional
09 - Tipo de serviço</t>
        </r>
        <r>
          <rPr>
            <sz val="10"/>
            <color rgb="FF000000"/>
            <rFont val="Arial"/>
            <family val="2"/>
          </rPr>
          <t xml:space="preserve">
10 - Data do Atendimento
11 - Código
12-  Breve relato do atendimento
13 - Ação
14 - Mensagem</t>
        </r>
      </text>
    </comment>
    <comment ref="E192" authorId="2" shapeId="0" xr:uid="{38FD65CB-7E06-4D4A-8151-493435EC4594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 xml:space="preserve">03 - Órgão
</t>
        </r>
        <r>
          <rPr>
            <sz val="9"/>
            <color rgb="FF000000"/>
            <rFont val="Segoe UI"/>
            <family val="2"/>
            <charset val="1"/>
          </rPr>
          <t xml:space="preserve">04 - Categoria
</t>
        </r>
      </text>
    </comment>
    <comment ref="D195" authorId="2" shapeId="0" xr:uid="{69D32939-C209-4667-AF47-3E9F9C6F9E50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Houve apresentação de atestado médico?
05 - Total de atendimentos
06 - Comando
07 - Mensagem</t>
        </r>
      </text>
    </comment>
    <comment ref="E195" authorId="2" shapeId="0" xr:uid="{D65A3BA0-A7A2-4CD6-B489-8399985D7E11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196" authorId="2" shapeId="0" xr:uid="{4B618D26-EF7D-4B2D-9670-C0A30C25BEE2}">
      <text>
        <r>
          <rPr>
            <sz val="9"/>
            <color rgb="FF000000"/>
            <rFont val="Segoe UI"/>
            <family val="2"/>
            <charset val="1"/>
          </rPr>
          <t>04 - Tipo de Acompanhamento
05 - Total de atendimentos</t>
        </r>
      </text>
    </comment>
    <comment ref="E196" authorId="2" shapeId="0" xr:uid="{31841D92-EDD9-4128-8799-EDA83B4783E0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197" authorId="2" shapeId="0" xr:uid="{E804501C-8380-479A-9919-44C78AFEFAE3}">
      <text>
        <r>
          <rPr>
            <sz val="9"/>
            <color rgb="FF000000"/>
            <rFont val="Segoe UI"/>
            <family val="2"/>
            <charset val="1"/>
          </rPr>
          <t xml:space="preserve">05 - % de atendimentos
06 - CID </t>
        </r>
      </text>
    </comment>
    <comment ref="E197" authorId="2" shapeId="0" xr:uid="{6AFCDD89-9B05-487A-B2FC-D89CFCDCE64E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0" authorId="2" shapeId="0" xr:uid="{AC153183-68AA-4F2F-B987-076FFBD17298}">
      <text>
        <r>
          <rPr>
            <sz val="9"/>
            <color rgb="FF000000"/>
            <rFont val="Segoe UI"/>
            <family val="2"/>
            <charset val="1"/>
          </rPr>
          <t xml:space="preserve">01 - Período Inicial
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% CID principal
05 - Comando
06 - Mensagem</t>
        </r>
      </text>
    </comment>
    <comment ref="E200" authorId="2" shapeId="0" xr:uid="{AAF83F8A-08E0-4C1E-B629-11F533F22EDC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1" authorId="2" shapeId="0" xr:uid="{6F9A5C86-80E0-4575-97A7-9588F7E84EC0}">
      <text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% CID secundário</t>
        </r>
      </text>
    </comment>
    <comment ref="E201" authorId="2" shapeId="0" xr:uid="{77FC65CF-F1FC-4E2F-8AD0-C52A5E2B034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2" authorId="2" shapeId="0" xr:uid="{5290EA90-01F9-4E57-84D8-5B2A122AEB69}">
      <text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% CID terciário</t>
        </r>
      </text>
    </comment>
    <comment ref="E202" authorId="2" shapeId="0" xr:uid="{59B1DEE8-CC6B-47F9-A06A-35F7A54943DF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5" authorId="2" shapeId="0" xr:uid="{BAAB8091-843D-41ED-8017-39D7B692BE3B}">
      <text>
        <r>
          <rPr>
            <sz val="9"/>
            <color rgb="FF000000"/>
            <rFont val="Segoe UI"/>
            <family val="2"/>
            <charset val="1"/>
          </rPr>
          <t xml:space="preserve">01 - Período inicial </t>
        </r>
        <r>
          <rPr>
            <sz val="18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02 - </t>
        </r>
        <r>
          <rPr>
            <sz val="10"/>
            <color rgb="FF000000"/>
            <rFont val="Arial"/>
            <family val="2"/>
          </rPr>
          <t>Período</t>
        </r>
        <r>
          <rPr>
            <sz val="9"/>
            <color rgb="FF000000"/>
            <rFont val="Arial"/>
            <family val="2"/>
          </rPr>
          <t xml:space="preserve"> </t>
        </r>
        <r>
          <rPr>
            <sz val="9"/>
            <color rgb="FF000000"/>
            <rFont val="Segoe UI"/>
            <family val="2"/>
            <charset val="1"/>
          </rPr>
          <t xml:space="preserve">Final
</t>
        </r>
        <r>
          <rPr>
            <sz val="10"/>
            <color rgb="FF000000"/>
            <rFont val="Arial"/>
            <family val="2"/>
          </rPr>
          <t>03 -</t>
        </r>
        <r>
          <rPr>
            <sz val="9"/>
            <color rgb="FF000000"/>
            <rFont val="Arial"/>
            <family val="2"/>
          </rPr>
          <t xml:space="preserve"> Órgão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</t>
        </r>
        <r>
          <rPr>
            <sz val="10"/>
            <color rgb="FF000000"/>
            <rFont val="Arial"/>
            <family val="2"/>
          </rPr>
          <t>Total de acompanhamento</t>
        </r>
        <r>
          <rPr>
            <sz val="9"/>
            <color rgb="FF000000"/>
            <rFont val="Segoe UI"/>
            <family val="2"/>
            <charset val="1"/>
          </rPr>
          <t xml:space="preserve">
06 - Comando
07 - Mensagem</t>
        </r>
      </text>
    </comment>
    <comment ref="E205" authorId="2" shapeId="0" xr:uid="{60A02A35-D211-4C3F-A467-EEEC18492974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6" authorId="2" shapeId="0" xr:uid="{970B83F4-EF5C-4CDD-9F4E-3B426D0BFFA4}">
      <text>
        <r>
          <rPr>
            <sz val="9"/>
            <color rgb="FF000000"/>
            <rFont val="Segoe UI"/>
            <family val="2"/>
            <charset val="1"/>
          </rPr>
          <t xml:space="preserve">05 - </t>
        </r>
        <r>
          <rPr>
            <sz val="10"/>
            <color rgb="FF000000"/>
            <rFont val="Arial"/>
            <family val="2"/>
          </rPr>
          <t>Total de acompanhamentos encerrados no período</t>
        </r>
      </text>
    </comment>
    <comment ref="E206" authorId="2" shapeId="0" xr:uid="{BA4D8B75-8C9E-460D-A28C-79FCEA05B21C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7" authorId="2" shapeId="0" xr:uid="{1957B33A-758A-41F6-B9F3-5BA028861B2C}">
      <text>
        <r>
          <rPr>
            <sz val="9"/>
            <color rgb="FF000000"/>
            <rFont val="Segoe UI"/>
            <family val="2"/>
            <charset val="1"/>
          </rPr>
          <t xml:space="preserve">05 - Situação do acompanhamento
06 - </t>
        </r>
        <r>
          <rPr>
            <sz val="10"/>
            <color rgb="FF000000"/>
            <rFont val="Arial"/>
            <family val="2"/>
          </rPr>
          <t>Total de acompanhamento</t>
        </r>
      </text>
    </comment>
    <comment ref="E207" authorId="2" shapeId="0" xr:uid="{5DE57DF9-8910-4753-A3F0-F585B180A4D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8" authorId="2" shapeId="0" xr:uid="{4DCB09FA-1594-4AAC-9E59-FABEF856ADC3}">
      <text>
        <r>
          <rPr>
            <sz val="9"/>
            <color rgb="FF000000"/>
            <rFont val="Segoe UI"/>
            <family val="2"/>
            <charset val="1"/>
          </rPr>
          <t xml:space="preserve">05 - Motivo de Encerramento
06 - </t>
        </r>
        <r>
          <rPr>
            <sz val="10"/>
            <color rgb="FF000000"/>
            <rFont val="Arial"/>
            <family val="2"/>
          </rPr>
          <t>Total de acompanhamento</t>
        </r>
      </text>
    </comment>
    <comment ref="E208" authorId="2" shapeId="0" xr:uid="{196E52E4-DA90-42FD-894A-1A6DC8148EAF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09" authorId="2" shapeId="0" xr:uid="{EF220E33-6D83-4113-9B22-D12A9A42FA5F}">
      <text>
        <r>
          <rPr>
            <sz val="9"/>
            <color rgb="FF000000"/>
            <rFont val="Segoe UI"/>
            <family val="2"/>
            <charset val="1"/>
          </rPr>
          <t xml:space="preserve">05 - Encaminhamento externo?
06 - </t>
        </r>
        <r>
          <rPr>
            <sz val="10"/>
            <color rgb="FF000000"/>
            <rFont val="Arial"/>
            <family val="2"/>
          </rPr>
          <t>Total de acompanhamento</t>
        </r>
      </text>
    </comment>
    <comment ref="E209" authorId="2" shapeId="0" xr:uid="{3629C16A-4D15-47EA-A0CB-580F58D8726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>02 - Órgão</t>
        </r>
      </text>
    </comment>
    <comment ref="D212" authorId="2" shapeId="0" xr:uid="{72E2C4AC-E6E3-41D0-A250-F647E96B3C45}">
      <text>
        <r>
          <rPr>
            <sz val="9"/>
            <color rgb="FF000000"/>
            <rFont val="Segoe UI"/>
            <family val="2"/>
            <charset val="1"/>
          </rPr>
          <t xml:space="preserve">01 - Servidor
02 - </t>
        </r>
        <r>
          <rPr>
            <sz val="10"/>
            <color rgb="FF000000"/>
            <rFont val="Arial"/>
            <family val="2"/>
          </rPr>
          <t>Código
03 -</t>
        </r>
        <r>
          <rPr>
            <sz val="9"/>
            <color rgb="FF000000"/>
            <rFont val="Arial"/>
            <family val="2"/>
          </rPr>
          <t xml:space="preserve"> Período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Profissional
06 - Data inicial
07 - Data final
08 - Tipo de atendimento
09 - Profissional</t>
        </r>
        <r>
          <rPr>
            <sz val="10"/>
            <color rgb="FF000000"/>
            <rFont val="Arial"/>
            <family val="2"/>
          </rPr>
          <t xml:space="preserve">
10 - Função 
11 - Matrícula
12 -  Nome
13 - Órgão de vinculo
14 - Unidade lotado
15 - Idade
16 - Sexo
17 - Estado Civil
18 - Responsável Cadastro
19 - Atestado médico
20 - CID 1
21 - CID 2
22 - CID 3
23 - Especialidade médica atestado
24 - Encaminhamento externo
25 - Resco de suicidio
26 - Nº Acp
27 - Data
28 - Nº Atd
29 - Breve relato do atendimento
30 - Comando
31 - Mensagem</t>
        </r>
      </text>
    </comment>
    <comment ref="E212" authorId="2" shapeId="0" xr:uid="{52C4C825-49F9-4E32-81D5-DBCB7AEB980B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Estrutura de atendimento</t>
        </r>
      </text>
    </comment>
    <comment ref="D213" authorId="2" shapeId="0" xr:uid="{46D73E87-3FC2-4C9E-AEBD-84649971C0E9}">
      <text>
        <r>
          <rPr>
            <sz val="9"/>
            <color rgb="FF000000"/>
            <rFont val="Segoe UI"/>
            <family val="2"/>
            <charset val="1"/>
          </rPr>
          <t xml:space="preserve">01 - Servidor
02 - </t>
        </r>
        <r>
          <rPr>
            <sz val="10"/>
            <color rgb="FF000000"/>
            <rFont val="Arial"/>
            <family val="2"/>
          </rPr>
          <t>Código
03 -</t>
        </r>
        <r>
          <rPr>
            <sz val="9"/>
            <color rgb="FF000000"/>
            <rFont val="Arial"/>
            <family val="2"/>
          </rPr>
          <t xml:space="preserve"> Período</t>
        </r>
        <r>
          <rPr>
            <sz val="9"/>
            <color rgb="FF000000"/>
            <rFont val="Segoe UI"/>
            <family val="2"/>
            <charset val="1"/>
          </rPr>
          <t xml:space="preserve">
04 - Tipo de Entrada
05 - Profissional
06 - Data inicial
07 - Data final
08 - Tipo de atendimento
09 - Profissional</t>
        </r>
        <r>
          <rPr>
            <sz val="10"/>
            <color rgb="FF000000"/>
            <rFont val="Arial"/>
            <family val="2"/>
          </rPr>
          <t xml:space="preserve">
10 - Função 
11 - Matrícula
12 -  Nome
13 - Órgão de vinculo
14 - Unidade lotado
15 - Idade
16 - Sexo
17 - Estado Civil
18 - Responsável Cadastro
19 - Atestado médico
20 - CID 1
21 - CID 2
22 - CID 3
23 - Especialidade médica atestado
24 - Encaminhamento externo
25 - Resco de suicidio
26 - Nº Acp
27 - Data
28 - Nº Atd
29 - Breve relato do atendimento
30 - Comando
31 - Mensagem</t>
        </r>
      </text>
    </comment>
    <comment ref="E213" authorId="2" shapeId="0" xr:uid="{39D00BA1-1DEA-4D26-9DB3-DE366706AC9D}">
      <text>
        <r>
          <rPr>
            <sz val="9"/>
            <color rgb="FF000000"/>
            <rFont val="Segoe UI"/>
            <family val="2"/>
            <charset val="1"/>
          </rPr>
          <t xml:space="preserve">01 - Acompanhamento Psicossocial
</t>
        </r>
        <r>
          <rPr>
            <sz val="9"/>
            <color rgb="FF000000"/>
            <rFont val="Segoe UI"/>
            <family val="2"/>
            <charset val="1"/>
          </rPr>
          <t xml:space="preserve">02 - Servidor
</t>
        </r>
        <r>
          <rPr>
            <sz val="9"/>
            <color rgb="FF000000"/>
            <rFont val="Segoe UI"/>
            <family val="2"/>
            <charset val="1"/>
          </rPr>
          <t>03 - Estrutura de atendimento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<sst xmlns="http://schemas.openxmlformats.org/spreadsheetml/2006/main" count="741" uniqueCount="348">
  <si>
    <t>Identificação da Contagem</t>
  </si>
  <si>
    <t>Empresa</t>
  </si>
  <si>
    <t>Secretaria de Estado de Planejamento e Gestão de Mato Grosso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</si>
  <si>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</si>
  <si>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</si>
  <si>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</si>
  <si>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</si>
  <si>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</si>
  <si>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</si>
  <si>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</si>
  <si>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</si>
  <si>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</si>
  <si>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Java</t>
  </si>
  <si>
    <t>Projeto</t>
  </si>
  <si>
    <t>Versão do Guia</t>
  </si>
  <si>
    <t>4.3.1</t>
  </si>
  <si>
    <t>Responsável</t>
  </si>
  <si>
    <t>Luana Alves de Araujo Passos Aguiar</t>
  </si>
  <si>
    <t>Criação</t>
  </si>
  <si>
    <t>Revisor</t>
  </si>
  <si>
    <t>Jonathas Gomes Marques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</si>
  <si>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</si>
  <si>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</si>
  <si>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</si>
  <si>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</si>
  <si>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</si>
  <si>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</si>
  <si>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</si>
  <si>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</si>
  <si>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</si>
  <si>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</si>
  <si>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</si>
  <si>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</si>
  <si>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</si>
  <si>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</si>
  <si>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</si>
  <si>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</si>
  <si>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</si>
  <si>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AIE</t>
  </si>
  <si>
    <t>I</t>
  </si>
  <si>
    <t>SE</t>
  </si>
  <si>
    <t>CE</t>
  </si>
  <si>
    <t>ALI</t>
  </si>
  <si>
    <t>EE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</si>
  <si>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</si>
  <si>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</si>
  <si>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</si>
  <si>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</si>
  <si>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</si>
  <si>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</si>
  <si>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</si>
  <si>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</si>
  <si>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</si>
  <si>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</si>
  <si>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</si>
  <si>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</si>
  <si>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</si>
  <si>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</si>
  <si>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</si>
  <si>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</si>
  <si>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</si>
  <si>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</si>
  <si>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</si>
  <si>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</si>
  <si>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</si>
  <si>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</si>
  <si>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</si>
  <si>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</si>
  <si>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</si>
  <si>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</si>
  <si>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</si>
  <si>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</si>
  <si>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</si>
  <si>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</si>
  <si>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</si>
  <si>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</si>
  <si>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</si>
  <si>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</si>
  <si>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</si>
  <si>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</si>
  <si>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</si>
  <si>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</si>
  <si>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</si>
  <si>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</si>
  <si>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</si>
  <si>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</si>
  <si>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</si>
  <si>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</si>
  <si>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</si>
  <si>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</si>
  <si>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</si>
  <si>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</si>
  <si>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</si>
  <si>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</si>
  <si>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</si>
  <si>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</si>
  <si>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</si>
  <si>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</si>
  <si>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</si>
  <si>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</si>
  <si>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</si>
  <si>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</si>
  <si>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</si>
  <si>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</si>
  <si>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</si>
  <si>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</si>
  <si>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</si>
  <si>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</si>
  <si>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</si>
  <si>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</si>
  <si>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</si>
  <si>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</si>
  <si>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</si>
  <si>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</si>
  <si>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</si>
  <si>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</si>
  <si>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</si>
  <si>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</si>
  <si>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</si>
  <si>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</si>
  <si>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</si>
  <si>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</si>
  <si>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</si>
  <si>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</si>
  <si>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</si>
  <si>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</si>
  <si>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</si>
  <si>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</si>
  <si>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</si>
  <si>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</si>
  <si>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</si>
  <si>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</si>
  <si>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</si>
  <si>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</si>
  <si>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</si>
  <si>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</si>
  <si>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</si>
  <si>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</si>
  <si>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</si>
  <si>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</si>
  <si>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</si>
  <si>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</si>
  <si>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</si>
  <si>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</si>
  <si>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</si>
  <si>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</si>
  <si>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</si>
  <si>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</si>
  <si>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</si>
  <si>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</si>
  <si>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</si>
  <si>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</si>
  <si>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</si>
  <si>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</si>
  <si>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</si>
  <si>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</si>
  <si>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</si>
  <si>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</si>
  <si>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</si>
  <si>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</si>
  <si>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</si>
  <si>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</si>
  <si>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</si>
  <si>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</si>
  <si>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</si>
  <si>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</si>
  <si>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</si>
  <si>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</si>
  <si>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</si>
  <si>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</si>
  <si>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</si>
  <si>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</si>
  <si>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</si>
  <si>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</si>
  <si>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</si>
  <si>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</si>
  <si>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</si>
  <si>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Considerações Analista de Métrica</t>
  </si>
  <si>
    <t>Consulta Implícita</t>
  </si>
  <si>
    <r>
      <t xml:space="preserve">Contagem de Pontos de Função para subsidiar o planejamento, execução e monitoramento do projeto </t>
    </r>
    <r>
      <rPr>
        <i/>
        <sz val="10"/>
        <color rgb="FF00B0F0"/>
        <rFont val="Franklin Gothic Medium"/>
        <family val="2"/>
      </rPr>
      <t>Saúde e Segurança do Trabalho</t>
    </r>
    <r>
      <rPr>
        <sz val="10"/>
        <rFont val="Franklin Gothic Medium"/>
        <family val="2"/>
      </rPr>
      <t xml:space="preserve"> e atender os requisitos do </t>
    </r>
    <r>
      <rPr>
        <b/>
        <sz val="10"/>
        <rFont val="Franklin Gothic Medium"/>
        <family val="2"/>
      </rPr>
      <t>CONTRATO Nº 014/2022/SEPLAG</t>
    </r>
    <r>
      <rPr>
        <sz val="10"/>
        <rFont val="Franklin Gothic Medium"/>
        <family val="2"/>
      </rPr>
      <t xml:space="preserve"> e seus anexos. Com destaque:
- Dar suporte à análise de qualidade e produtividade;
- Estimar o custo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</si>
  <si>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[US_2416] Cadastro de Acompanhamento Psicossocial</t>
  </si>
  <si>
    <t>[US_3051] Encaminhamento de Acompanhamento Para Atendimento</t>
  </si>
  <si>
    <t>[US_3048] Estrutura/Detalhes do Acompanhamento Psicossocial</t>
  </si>
  <si>
    <t>[US_3054] Painel de Encaminhamentos do Órgão</t>
  </si>
  <si>
    <t>[US_3001] Home - Acompanhamento Psicossocial</t>
  </si>
  <si>
    <t>[US_3058] Plano de Acompanhamento - Atendimento Psicólogo.</t>
  </si>
  <si>
    <t>[US_3059] Plano de Acompanhamento - Atendimento Assistente Social.</t>
  </si>
  <si>
    <t>[US_3543] Estrutura de Atendimentos</t>
  </si>
  <si>
    <t xml:space="preserve">[US_3053] Formulário de Risco de Suicídio </t>
  </si>
  <si>
    <t>[US_3056] Encaminhamento Externo</t>
  </si>
  <si>
    <t>[US_3057] Histórico de Atendimentos</t>
  </si>
  <si>
    <t>[US_3060] Anotações Gerais do Acompanhamento</t>
  </si>
  <si>
    <t>[US_3055] Minha Agenda - Agendamentos</t>
  </si>
  <si>
    <t>[US_3850] Minha Agenda - Agendar</t>
  </si>
  <si>
    <t>[US_3849] Minha Agenda - Ausências</t>
  </si>
  <si>
    <t>[US_3851] Minha Agenda - Configurar</t>
  </si>
  <si>
    <t>[US_3052] Estratificação de Riscos de Suicídio</t>
  </si>
  <si>
    <t>[US_3061] Encerrar Acompanhamento</t>
  </si>
  <si>
    <t>[US_3062] Dashboard - Pesquisa de Satisfação</t>
  </si>
  <si>
    <t xml:space="preserve">[US_3064] Portal do Servidor: Solicitação de Acompanhamento - Demanda Espontânea </t>
  </si>
  <si>
    <t>[US_3063] Portal do Servidor: Solicitação de Acompanhamento - Demanda Institucional</t>
  </si>
  <si>
    <t>Acompanhamento Psicossocial</t>
  </si>
  <si>
    <t>Cadastrar Acompanhamento Psicossocial</t>
  </si>
  <si>
    <t>Editar Acompanhamento Psicossocial</t>
  </si>
  <si>
    <t>Combobox listar tipo de entrada</t>
  </si>
  <si>
    <t>Combobox listar CID</t>
  </si>
  <si>
    <t>Combobox listar especialidade profissional</t>
  </si>
  <si>
    <t>Categoria</t>
  </si>
  <si>
    <t>Órgão</t>
  </si>
  <si>
    <t>Pessoa</t>
  </si>
  <si>
    <t>Excluir Acompanhamento Psicossocial</t>
  </si>
  <si>
    <t>Cancelar Acompanhamento Psicossocial</t>
  </si>
  <si>
    <t>Listagem Acompanhamento Psicossocial</t>
  </si>
  <si>
    <t>Exportar Acompanhamento Psicossocial</t>
  </si>
  <si>
    <t>Dados da Origem</t>
  </si>
  <si>
    <t>Finalizar</t>
  </si>
  <si>
    <t>Servidor</t>
  </si>
  <si>
    <t>CID</t>
  </si>
  <si>
    <t>Cargo</t>
  </si>
  <si>
    <t>Vínculo</t>
  </si>
  <si>
    <t>Perfil</t>
  </si>
  <si>
    <t>Escolaridade</t>
  </si>
  <si>
    <t>Município</t>
  </si>
  <si>
    <t>Estado Civil</t>
  </si>
  <si>
    <t>Combobox buscar servidor e listar informações</t>
  </si>
  <si>
    <t>É um SE porque precisa calcular a idade e o tempo de serviço</t>
  </si>
  <si>
    <t>Encaminhamento de Acompanhamento</t>
  </si>
  <si>
    <t>Estrutura/Detalhes do Acompanhamento Psicossocial</t>
  </si>
  <si>
    <t>Painel de Encaminhamentos do Órgão</t>
  </si>
  <si>
    <t>Exportar Painel de Encaminhamentos do Órgão</t>
  </si>
  <si>
    <t>Atribuir Responsável</t>
  </si>
  <si>
    <t>Remover Responsável</t>
  </si>
  <si>
    <t>Detalhas do Encaminhamento</t>
  </si>
  <si>
    <t>Acompanhamento do Profissional</t>
  </si>
  <si>
    <t>Notificação via E-mail</t>
  </si>
  <si>
    <t>Criar Plano de Atendimento Psicólogo</t>
  </si>
  <si>
    <t>Alterar Plano de Atendimento Psicólogo</t>
  </si>
  <si>
    <t>Prorrogar Plano de Atendimeno Psicólogo</t>
  </si>
  <si>
    <t>Criar Plano de Atendimento Assistente Social</t>
  </si>
  <si>
    <t>Alterar Plano de Atendimento Assistente Social</t>
  </si>
  <si>
    <t>Prorrogar Plano de Atendimeno Assistente Social</t>
  </si>
  <si>
    <t>Vai utilizar a mesma estrutura de envio de e-mail da US anterior</t>
  </si>
  <si>
    <t>Iniciar Atendimento</t>
  </si>
  <si>
    <t>Salvar Atendimento</t>
  </si>
  <si>
    <t>Finalizar Atendimento</t>
  </si>
  <si>
    <t>Consultar Implícita</t>
  </si>
  <si>
    <t>Editar Atendimento</t>
  </si>
  <si>
    <t>Listar Tipo de Serviço</t>
  </si>
  <si>
    <t>Salvar Formulário de Risco de Sucicídio</t>
  </si>
  <si>
    <t>Editar Formulário de Risco de Sucicídio</t>
  </si>
  <si>
    <t>Finalizar Formulário de Risco de Sucicídio</t>
  </si>
  <si>
    <t>Visualizar Formulário de Risco de Sucicídio</t>
  </si>
  <si>
    <t>Formulário de Risco de Suicídio</t>
  </si>
  <si>
    <t>Cadastrar Encaminhamento Externo</t>
  </si>
  <si>
    <t>Editar Encaminhamento Externo</t>
  </si>
  <si>
    <t>Excluir Encaminhamento Externo</t>
  </si>
  <si>
    <t>Listar Encaminhamento Externo</t>
  </si>
  <si>
    <t>Exportar Encaminhamento Externo</t>
  </si>
  <si>
    <t>Visualizar Encaminhamento Externo</t>
  </si>
  <si>
    <t>Imprimir Encaminhamento Externo</t>
  </si>
  <si>
    <t>Combobox listar especialidade médica</t>
  </si>
  <si>
    <t>Listagem Histórico de Atendimento</t>
  </si>
  <si>
    <t>É um SE pois calcula a idade</t>
  </si>
  <si>
    <t>Visualizar</t>
  </si>
  <si>
    <t>Cadastrar Anotações Gerais</t>
  </si>
  <si>
    <t>Editar Anotações Gerais</t>
  </si>
  <si>
    <t>Excluir Anotações Gerais</t>
  </si>
  <si>
    <t>Visualizar Anotações Gerais</t>
  </si>
  <si>
    <t>Exportar Anotações Gerais</t>
  </si>
  <si>
    <t>Agenda</t>
  </si>
  <si>
    <t>Agendamentos Listagem</t>
  </si>
  <si>
    <t>Exportar</t>
  </si>
  <si>
    <t>Excluir Agendamento</t>
  </si>
  <si>
    <t>Cadastrar Agendamento</t>
  </si>
  <si>
    <t>Editar Agendamento</t>
  </si>
  <si>
    <t>Combobox listar tipo de agendamento</t>
  </si>
  <si>
    <t>Cadastrar Ausência</t>
  </si>
  <si>
    <t>Editar Ausência</t>
  </si>
  <si>
    <t>Excluir Ausência</t>
  </si>
  <si>
    <t>Listar Ausência</t>
  </si>
  <si>
    <t>Exportar Ausência</t>
  </si>
  <si>
    <t>Visualizar Ausência</t>
  </si>
  <si>
    <t>Cadastrar Configuração da Agenda</t>
  </si>
  <si>
    <t>Editar Configuração da Agenda</t>
  </si>
  <si>
    <t>Resultado</t>
  </si>
  <si>
    <t>Classificação das Respostas</t>
  </si>
  <si>
    <t>Listagem das Perguntas e Respostas</t>
  </si>
  <si>
    <t>Imprimir Estratificação de Risco</t>
  </si>
  <si>
    <t>Combobox listar motivo de encerramento</t>
  </si>
  <si>
    <t>Encerrar Plano de Acompanhamento</t>
  </si>
  <si>
    <t>Responder Pesquisa de Satisfação</t>
  </si>
  <si>
    <t>Detratores</t>
  </si>
  <si>
    <t>Passivos</t>
  </si>
  <si>
    <t>Promotores</t>
  </si>
  <si>
    <t>NPS</t>
  </si>
  <si>
    <t>Gráfico Pergunta: 01</t>
  </si>
  <si>
    <t>Gráfico Pergunta: 02</t>
  </si>
  <si>
    <t>Cadastrar Demanda Espontênea</t>
  </si>
  <si>
    <t>Cadastrar Demanda Institucional</t>
  </si>
  <si>
    <t>Dados do Servidor</t>
  </si>
  <si>
    <t>Plano de Atendimento: Psicólogo</t>
  </si>
  <si>
    <t>Plano de Atendimento: Assistente Social</t>
  </si>
  <si>
    <t>Anotações Home</t>
  </si>
  <si>
    <t>Essa contagem contempla a primeira entrega das histórias de usuários especificadas do projeto SST - Saúde e Segurança no Trabalho, referentes ao Módulo de Segurança, conforme listadas a seguir:
[US_2416] Cadastro de Acompanhamento Psicossocial
[US_3051] Encaminhamento de Acompanhamento Para Atendimento
[US_3048] Estrutura/Detalhes do Acompanhamento Psicossocial
[US_3054] Painel de Encaminhamentos do Órgão
[US_3001] Home - Acompanhamento Psicossocial
[US_3058] Plano de Acompanhamento - Atendimento Psicólogo.
[US_3059] Plano de Acompanhamento - Atendimento Assistente Social.
[US_3543] Estrutura de Atendimentos
[US_3053] Formulário de Risco de Suicídio 
[US_3056] Encaminhamento Externo
[US_3057] Histórico de Atendimentos
[US_3060] Anotações Gerais do Acompanhamento
[US_3055] Minha Agenda - Agendamentos
[US_3850] Minha Agenda - Agendar
[US_3849] Minha Agenda - Ausências
[US_3851] Minha Agenda - Configurar
[US_3052] Estratificação de Riscos de Suicídio
[US_3061] Encerrar Acompanhamento
[US_3062] Dashboard - Pesquisa de Satisfação
[US_3064] Portal do Servidor: Solicitação de Acompanhamento - Demanda Espontânea 
[US_3063] Portal do Servidor: Solicitação de Acompanhamento - Demanda Institucional</t>
  </si>
  <si>
    <t>Para realizar a conagem de pontos de função em questão, foram utilizadas as histórias e usuários listadas a seguir:
[US_2416] Cadastro de Acompanhamento Psicossocial 1.00
[US_3051] Encaminhamento de Acompanhamento Para Atendimento 1.00
[US_3048] Estrutura/Detalhes do Acompanhamento Psicossocial 1.00
[US_3054] Painel de Encaminhamentos do Órgão 1.00
[US_3001] Home - Acompanhamento Psicossocial 1.00
[US_3058] Plano de Acompanhamento - Atendimento Psicólogo. 1.00
[US_3059] Plano de Acompanhamento - Atendimento Assistente Social. 1.00
[US_3543] Estrutura de Atendimentos 1.00
[US_3053] Formulário de Risco de Suicídio 1.00
[US_3056] Encaminhamento Externo 1.00
[US_3057] Histórico de Atendimentos 1.00
[US_3060] Anotações Gerais do Acompanhamento 1.00
[US_3055] Minha Agenda - Agendamentos 1.00
[US_3850] Minha Agenda - Agendar 1.00
[US_3849] Minha Agenda - Ausências 1.00
[US_3851] Minha Agenda - Configurar 1.00
[US_3052] Estratificação de Riscos de Suicídio 1.00
[US_3061] Encerrar Acompanhamento 1.00
[US_3062] Dashboard - Pesquisa de Satisfação 1.00
[US_3064] Portal do Servidor: Solicitação de Acompanhamento - Demanda Espontânea  1.00
[US_3063] Portal do Servidor: Solicitação de Acompanhamento - Demanda Institucional 1.00</t>
  </si>
  <si>
    <t>Visualizar Acompanhamento Psicossocial</t>
  </si>
  <si>
    <t>[US_4045] Relatório - Tipos de Entrada - Por Acompanhamentos e Servidores</t>
  </si>
  <si>
    <t>Número de Acompanhamentos</t>
  </si>
  <si>
    <t>Número de Servidores acompanhados</t>
  </si>
  <si>
    <t>COMBOBOX Consultar Órgão</t>
  </si>
  <si>
    <t>[US_4049] Relatório- Linha do Tempo de Cadastro de Acompanhamentos</t>
  </si>
  <si>
    <t>Total de Acompanhamentos</t>
  </si>
  <si>
    <t>Total de Servidores</t>
  </si>
  <si>
    <t>Média de Novos Acompanhamento por Mês</t>
  </si>
  <si>
    <t>Gráfico Linha do Tempo de Cadastro de Acompanhamentos</t>
  </si>
  <si>
    <t>[US_4093] Relatório- Linha do Tempo de Atendimentos Mensal</t>
  </si>
  <si>
    <t>Total de Atendimentos</t>
  </si>
  <si>
    <t>Média de Atendimentos</t>
  </si>
  <si>
    <t>Gráfico da Linha do Tempo de Cadastro de Acompanhamentos</t>
  </si>
  <si>
    <t>[US_4131] Relatório - Atendimentos Por Tipo de Serviço</t>
  </si>
  <si>
    <t>Percentual de Atendimentos</t>
  </si>
  <si>
    <t>Percentual de Servidores</t>
  </si>
  <si>
    <t>COMBOBOX Consultar tipo de serviço</t>
  </si>
  <si>
    <t>[US_4135] Relatório - Perfil de Acompanhamentos</t>
  </si>
  <si>
    <t>Gráfico por Sexo</t>
  </si>
  <si>
    <t>Gráfico por Faixa Etária</t>
  </si>
  <si>
    <t>Gráfico por Estado Civil</t>
  </si>
  <si>
    <t>[US_4174] Relatório Geral - Acompanhamentos / Atendimentos</t>
  </si>
  <si>
    <t>Relatório Geral - Acompanhamentos / Atendimentos</t>
  </si>
  <si>
    <t>[US_4322] Relatório - Atestado Médico /Encaminhamentos / Classe de CID's</t>
  </si>
  <si>
    <t>Gráfico - Houve apresentçaão do atestado médico?</t>
  </si>
  <si>
    <t>Gráfico - Encaminhamentos para Atendimentos</t>
  </si>
  <si>
    <t>Gráfico - % das Classes de CID constantes nos atestados</t>
  </si>
  <si>
    <t>[US_4358] Relatório CID's Principal, Secundário e Terciário</t>
  </si>
  <si>
    <t>Gráfico - CID's Principal</t>
  </si>
  <si>
    <t>Gráfico - CID's Secundário</t>
  </si>
  <si>
    <t>Gráfico - CID's Terciário</t>
  </si>
  <si>
    <t>[US_4362] Relatório/Dashboard de Acompanhamentos</t>
  </si>
  <si>
    <t>Total de de Acompanhamentos Encerrados no Período</t>
  </si>
  <si>
    <t>Situação dos acompanhamentos</t>
  </si>
  <si>
    <t>Motivo do encerramento</t>
  </si>
  <si>
    <t>Encaminhamento externo</t>
  </si>
  <si>
    <t>[US_4363] Relatório Individual - Acompanhamentos/Atendimentos</t>
  </si>
  <si>
    <t>Relatório Individual - Acompanhamentos/Atendimentos:</t>
  </si>
  <si>
    <t>Impirmir - Relatório Individual - Acompanhamentos/Atendimentos:</t>
  </si>
  <si>
    <t>Há Risco de Suicídio ?</t>
  </si>
  <si>
    <t>SST - PSICOSOCIAL</t>
  </si>
  <si>
    <t>Visualizar Dados do Cadastro do Acompanhamento Psicossocial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</si>
</sst>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30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8"/>
      <name val="Franklin Gothic Medium"/>
      <family val="2"/>
    </font>
    <font>
      <i/>
      <sz val="10"/>
      <color rgb="FF00B0F0"/>
      <name val="Franklin Gothic Medium"/>
      <family val="2"/>
    </font>
    <font>
      <b/>
      <sz val="8"/>
      <color theme="1"/>
      <name val="Franklin Gothic Medium"/>
      <family val="2"/>
    </font>
    <font>
      <sz val="8"/>
      <color theme="1"/>
      <name val="Franklin Gothic Medium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rgb="FF000000"/>
      <name val="Segoe UI"/>
      <family val="2"/>
      <charset val="1"/>
    </font>
    <font>
      <sz val="10"/>
      <color rgb="FF000000"/>
      <name val="Arial"/>
      <family val="2"/>
    </font>
    <font>
      <u/>
      <sz val="9"/>
      <color rgb="FF000000"/>
      <name val="Segoe UI"/>
      <family val="2"/>
      <charset val="1"/>
    </font>
    <font>
      <sz val="9"/>
      <color rgb="FF000000"/>
      <name val="Arial"/>
      <family val="2"/>
    </font>
    <font>
      <sz val="18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3" fontId="5" fillId="2" borderId="9" xfId="3" applyNumberFormat="1" applyFont="1" applyFill="1" applyBorder="1" applyAlignment="1" applyProtection="1">
      <alignment horizontal="center"/>
    </xf>
    <xf numFmtId="4" fontId="5" fillId="2" borderId="10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1" xfId="1" applyNumberFormat="1" applyFont="1" applyBorder="1" applyAlignment="1" applyProtection="1"/>
    <xf numFmtId="0" fontId="5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3" xfId="0" applyBorder="1"/>
    <xf numFmtId="0" fontId="5" fillId="0" borderId="2" xfId="0" applyFont="1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4" fillId="0" borderId="18" xfId="0" applyFont="1" applyBorder="1" applyAlignment="1">
      <alignment horizontal="center"/>
    </xf>
    <xf numFmtId="0" fontId="5" fillId="0" borderId="0" xfId="0" applyFont="1"/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3" xfId="0" applyFont="1" applyBorder="1"/>
    <xf numFmtId="2" fontId="5" fillId="0" borderId="13" xfId="0" applyNumberFormat="1" applyFont="1" applyBorder="1" applyAlignment="1">
      <alignment vertical="center"/>
    </xf>
    <xf numFmtId="0" fontId="5" fillId="0" borderId="11" xfId="0" applyFont="1" applyBorder="1"/>
    <xf numFmtId="0" fontId="5" fillId="0" borderId="18" xfId="0" applyFont="1" applyBorder="1"/>
    <xf numFmtId="10" fontId="5" fillId="0" borderId="11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19" xfId="0" applyFont="1" applyBorder="1"/>
    <xf numFmtId="0" fontId="5" fillId="0" borderId="20" xfId="0" applyFont="1" applyBorder="1"/>
    <xf numFmtId="2" fontId="5" fillId="0" borderId="13" xfId="0" applyNumberFormat="1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7" fillId="4" borderId="16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1" xfId="0" applyNumberFormat="1" applyFont="1" applyBorder="1"/>
    <xf numFmtId="0" fontId="0" fillId="0" borderId="18" xfId="0" applyBorder="1"/>
    <xf numFmtId="0" fontId="0" fillId="0" borderId="11" xfId="0" applyBorder="1"/>
    <xf numFmtId="0" fontId="14" fillId="0" borderId="0" xfId="0" applyFont="1" applyAlignment="1">
      <alignment horizontal="center"/>
    </xf>
    <xf numFmtId="0" fontId="0" fillId="0" borderId="21" xfId="0" applyBorder="1"/>
    <xf numFmtId="0" fontId="4" fillId="0" borderId="22" xfId="0" applyFont="1" applyBorder="1" applyAlignment="1">
      <alignment horizontal="center" vertical="center"/>
    </xf>
    <xf numFmtId="0" fontId="0" fillId="0" borderId="22" xfId="0" applyBorder="1"/>
    <xf numFmtId="0" fontId="4" fillId="0" borderId="22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22" xfId="1" applyNumberFormat="1" applyFont="1" applyBorder="1" applyAlignment="1" applyProtection="1">
      <alignment horizontal="center"/>
    </xf>
    <xf numFmtId="10" fontId="5" fillId="0" borderId="22" xfId="1" applyNumberFormat="1" applyFont="1" applyBorder="1" applyAlignment="1" applyProtection="1"/>
    <xf numFmtId="0" fontId="0" fillId="0" borderId="23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28" xfId="0" applyFont="1" applyFill="1" applyBorder="1" applyAlignment="1">
      <alignment vertical="center"/>
    </xf>
    <xf numFmtId="166" fontId="5" fillId="2" borderId="28" xfId="0" applyNumberFormat="1" applyFont="1" applyFill="1" applyBorder="1" applyAlignment="1">
      <alignment vertical="center"/>
    </xf>
    <xf numFmtId="2" fontId="5" fillId="2" borderId="28" xfId="0" applyNumberFormat="1" applyFont="1" applyFill="1" applyBorder="1" applyAlignment="1">
      <alignment vertical="center"/>
    </xf>
    <xf numFmtId="2" fontId="5" fillId="2" borderId="29" xfId="0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left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30" xfId="0" applyFont="1" applyBorder="1" applyAlignment="1">
      <alignment horizontal="left" vertical="center" wrapText="1" indent="1"/>
    </xf>
    <xf numFmtId="0" fontId="21" fillId="0" borderId="30" xfId="0" applyFont="1" applyBorder="1" applyAlignment="1">
      <alignment horizontal="left" vertical="center" wrapText="1"/>
    </xf>
    <xf numFmtId="0" fontId="21" fillId="5" borderId="30" xfId="0" applyFont="1" applyFill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 indent="1"/>
    </xf>
    <xf numFmtId="0" fontId="10" fillId="0" borderId="30" xfId="0" applyFont="1" applyBorder="1" applyAlignment="1">
      <alignment horizontal="left" vertical="center" wrapText="1" indent="2"/>
    </xf>
    <xf numFmtId="0" fontId="10" fillId="5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7" xfId="3" applyFont="1" applyFill="1" applyBorder="1" applyAlignment="1" applyProtection="1">
      <alignment horizontal="right" indent="1"/>
    </xf>
    <xf numFmtId="0" fontId="3" fillId="0" borderId="34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7" xfId="0" applyNumberFormat="1" applyFont="1" applyBorder="1" applyAlignment="1" applyProtection="1">
      <alignment horizontal="center"/>
      <protection locked="0"/>
    </xf>
    <xf numFmtId="0" fontId="6" fillId="2" borderId="31" xfId="0" applyFont="1" applyFill="1" applyBorder="1" applyAlignment="1">
      <alignment horizontal="center" vertical="center"/>
    </xf>
    <xf numFmtId="0" fontId="20" fillId="0" borderId="32" xfId="0" applyFont="1" applyBorder="1" applyAlignment="1" applyProtection="1">
      <alignment horizontal="justify" vertical="top" wrapText="1"/>
      <protection locked="0"/>
    </xf>
    <xf numFmtId="0" fontId="2" fillId="0" borderId="32" xfId="0" applyFont="1" applyBorder="1" applyAlignment="1" applyProtection="1">
      <alignment horizontal="justify" vertical="top" wrapText="1"/>
      <protection locked="0"/>
    </xf>
    <xf numFmtId="0" fontId="20" fillId="0" borderId="33" xfId="0" quotePrefix="1" applyFont="1" applyBorder="1" applyAlignment="1" applyProtection="1">
      <alignment horizontal="justify" vertical="top" wrapText="1"/>
      <protection locked="0"/>
    </xf>
    <xf numFmtId="0" fontId="2" fillId="0" borderId="33" xfId="0" applyFont="1" applyBorder="1" applyAlignment="1" applyProtection="1">
      <alignment horizontal="justify" vertical="top" wrapText="1"/>
      <protection locked="0"/>
    </xf>
    <xf numFmtId="0" fontId="5" fillId="2" borderId="3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2" fontId="13" fillId="0" borderId="9" xfId="0" applyNumberFormat="1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38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0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12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02C-4CF6-AF68-7582DA9D427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2C-4CF6-AF68-7582DA9D427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2C-4CF6-AF68-7582DA9D427C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02C-4CF6-AF68-7582DA9D427C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02C-4CF6-AF68-7582DA9D427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02C-4CF6-AF68-7582DA9D427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02C-4CF6-AF68-7582DA9D427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02C-4CF6-AF68-7582DA9D427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02C-4CF6-AF68-7582DA9D427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02C-4CF6-AF68-7582DA9D4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0.21287128712871287</c:v>
                </c:pt>
                <c:pt idx="1">
                  <c:v>3.4653465346534656E-2</c:v>
                </c:pt>
                <c:pt idx="2">
                  <c:v>0.3316831683168317</c:v>
                </c:pt>
                <c:pt idx="3">
                  <c:v>0.14851485148514851</c:v>
                </c:pt>
                <c:pt idx="4">
                  <c:v>0.2722772277227723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C-4CF6-AF68-7582DA9D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34925</xdr:colOff>
      <xdr:row>0</xdr:row>
      <xdr:rowOff>135840</xdr:rowOff>
    </xdr:from>
    <xdr:to>
      <xdr:col>0</xdr:col>
      <xdr:colOff>1202968</xdr:colOff>
      <xdr:row>2</xdr:row>
      <xdr:rowOff>93979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Normal="100" zoomScaleSheetLayoutView="100" workbookViewId="0">
      <pane ySplit="3" topLeftCell="A4" activePane="bottomLeft" state="frozen"/>
      <selection activeCell="B11" sqref="B11"/>
      <selection pane="bottomLeft" activeCell="A12" sqref="A12:V15"/>
    </sheetView>
  </sheetViews>
  <sheetFormatPr defaultRowHeight="13.8" x14ac:dyDescent="0.3"/>
  <cols>
    <col min="1" max="1" width="10.44140625" style="1" customWidth="1"/>
    <col min="2" max="2" width="2.77734375" style="1" customWidth="1"/>
    <col min="3" max="3" width="8.5546875" style="1" customWidth="1"/>
    <col min="4" max="4" width="4.5546875" style="1" customWidth="1"/>
    <col min="5" max="5" width="4" style="1" customWidth="1"/>
    <col min="6" max="6" width="4.5546875" style="1" customWidth="1"/>
    <col min="7" max="12" width="6" style="1" customWidth="1"/>
    <col min="13" max="13" width="18.44140625" style="1" customWidth="1"/>
    <col min="14" max="14" width="8.21875" style="1" customWidth="1"/>
    <col min="15" max="15" width="11.5546875" style="1" customWidth="1"/>
    <col min="16" max="16" width="5.77734375" style="1" customWidth="1"/>
    <col min="17" max="18" width="2.77734375" style="1" customWidth="1"/>
    <col min="19" max="19" width="8" style="1" customWidth="1"/>
    <col min="20" max="22" width="2.77734375" style="1" customWidth="1"/>
  </cols>
  <sheetData>
    <row r="1" spans="1:22" ht="13.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2" spans="1:22" ht="13.2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</row>
    <row r="3" spans="1:22" ht="13.2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</row>
    <row r="4" spans="1:22" x14ac:dyDescent="0.3">
      <c r="A4" s="116" t="s">
        <v>1</v>
      </c>
      <c r="B4" s="116"/>
      <c r="C4" s="116"/>
      <c r="D4" s="116"/>
      <c r="E4" s="116"/>
      <c r="F4" s="117" t="s">
        <v>2</v>
      </c>
      <c r="G4" s="117"/>
      <c r="H4" s="117"/>
      <c r="I4" s="117"/>
      <c r="J4" s="117"/>
      <c r="K4" s="117"/>
      <c r="L4" s="117"/>
      <c r="M4" s="117"/>
      <c r="N4" s="117"/>
      <c r="O4" s="121" t="s">
        <v>3</v>
      </c>
      <c r="P4" s="121"/>
      <c r="Q4" s="119">
        <f>Funções!L4</f>
        <v>695</v>
      </c>
      <c r="R4" s="119"/>
      <c r="S4" s="119"/>
      <c r="T4" s="119"/>
      <c r="U4" s="119"/>
      <c r="V4" s="119"/>
    </row>
    <row r="5" spans="1:22" x14ac:dyDescent="0.3">
      <c r="A5" s="116" t="s">
        <v>4</v>
      </c>
      <c r="B5" s="116"/>
      <c r="C5" s="116"/>
      <c r="D5" s="116"/>
      <c r="E5" s="116"/>
      <c r="F5" s="117"/>
      <c r="G5" s="117"/>
      <c r="H5" s="117"/>
      <c r="I5" s="117"/>
      <c r="J5" s="117"/>
      <c r="K5" s="117"/>
      <c r="L5" s="117"/>
      <c r="M5" s="117"/>
      <c r="N5" s="117"/>
      <c r="O5" s="118" t="s">
        <v>5</v>
      </c>
      <c r="P5" s="118"/>
      <c r="Q5" s="119">
        <f>Funções!L5</f>
        <v>622</v>
      </c>
      <c r="R5" s="119"/>
      <c r="S5" s="119"/>
      <c r="T5" s="119"/>
      <c r="U5" s="119"/>
      <c r="V5" s="119"/>
    </row>
    <row r="6" spans="1:22" x14ac:dyDescent="0.3">
      <c r="A6" s="116" t="s">
        <v>6</v>
      </c>
      <c r="B6" s="116"/>
      <c r="C6" s="116"/>
      <c r="D6" s="116"/>
      <c r="E6" s="116"/>
      <c r="F6" s="122" t="s">
        <v>7</v>
      </c>
      <c r="G6" s="122"/>
      <c r="H6" s="122"/>
      <c r="I6" s="122"/>
      <c r="J6" s="122"/>
      <c r="K6" s="122"/>
      <c r="L6" s="122"/>
      <c r="M6" s="122"/>
      <c r="N6" s="122"/>
      <c r="O6" s="118" t="s">
        <v>8</v>
      </c>
      <c r="P6" s="118"/>
      <c r="Q6" s="119">
        <f>Funções!L6</f>
        <v>730</v>
      </c>
      <c r="R6" s="119"/>
      <c r="S6" s="119"/>
      <c r="T6" s="119"/>
      <c r="U6" s="119"/>
      <c r="V6" s="119"/>
    </row>
    <row r="7" spans="1:22" ht="13.2" x14ac:dyDescent="0.25">
      <c r="A7" s="116" t="s">
        <v>9</v>
      </c>
      <c r="B7" s="116"/>
      <c r="C7" s="116"/>
      <c r="D7" s="116"/>
      <c r="E7" s="116"/>
      <c r="F7" s="117" t="s">
        <v>10</v>
      </c>
      <c r="G7" s="117"/>
      <c r="H7" s="117"/>
      <c r="I7" s="117"/>
      <c r="J7" s="117"/>
      <c r="K7" s="117"/>
      <c r="L7" s="117"/>
      <c r="M7" s="117"/>
      <c r="N7" s="117"/>
      <c r="O7" s="118" t="s">
        <v>11</v>
      </c>
      <c r="P7" s="118"/>
      <c r="Q7" s="118"/>
      <c r="R7" s="123" t="s">
        <v>12</v>
      </c>
      <c r="S7" s="123"/>
      <c r="T7" s="123"/>
      <c r="U7" s="123"/>
      <c r="V7" s="123"/>
    </row>
    <row r="8" spans="1:22" ht="13.2" x14ac:dyDescent="0.25">
      <c r="A8" s="116" t="s">
        <v>13</v>
      </c>
      <c r="B8" s="116"/>
      <c r="C8" s="116"/>
      <c r="D8" s="116"/>
      <c r="E8" s="116"/>
      <c r="F8" s="117" t="s">
        <v>346</v>
      </c>
      <c r="G8" s="117"/>
      <c r="H8" s="117"/>
      <c r="I8" s="117"/>
      <c r="J8" s="117"/>
      <c r="K8" s="117"/>
      <c r="L8" s="117"/>
      <c r="M8" s="117"/>
      <c r="N8" s="117"/>
      <c r="O8" s="118" t="s">
        <v>14</v>
      </c>
      <c r="P8" s="118"/>
      <c r="Q8" s="118"/>
      <c r="R8" s="123" t="s">
        <v>15</v>
      </c>
      <c r="S8" s="123"/>
      <c r="T8" s="123"/>
      <c r="U8" s="123"/>
      <c r="V8" s="123"/>
    </row>
    <row r="9" spans="1:22" x14ac:dyDescent="0.3">
      <c r="A9" s="116" t="s">
        <v>16</v>
      </c>
      <c r="B9" s="116"/>
      <c r="C9" s="116"/>
      <c r="D9" s="116"/>
      <c r="E9" s="116"/>
      <c r="F9" s="122" t="s">
        <v>17</v>
      </c>
      <c r="G9" s="122"/>
      <c r="H9" s="122"/>
      <c r="I9" s="122"/>
      <c r="J9" s="122"/>
      <c r="K9" s="122"/>
      <c r="L9" s="122"/>
      <c r="M9" s="122"/>
      <c r="N9" s="122"/>
      <c r="O9" s="124" t="s">
        <v>18</v>
      </c>
      <c r="P9" s="124"/>
      <c r="Q9" s="124"/>
      <c r="R9" s="125">
        <v>44901</v>
      </c>
      <c r="S9" s="125"/>
      <c r="T9" s="125"/>
      <c r="U9" s="125"/>
      <c r="V9" s="125"/>
    </row>
    <row r="10" spans="1:22" x14ac:dyDescent="0.3">
      <c r="A10" s="116" t="s">
        <v>19</v>
      </c>
      <c r="B10" s="116"/>
      <c r="C10" s="116"/>
      <c r="D10" s="116"/>
      <c r="E10" s="116"/>
      <c r="F10" s="122" t="s">
        <v>20</v>
      </c>
      <c r="G10" s="122"/>
      <c r="H10" s="122"/>
      <c r="I10" s="122"/>
      <c r="J10" s="122"/>
      <c r="K10" s="122"/>
      <c r="L10" s="122"/>
      <c r="M10" s="122"/>
      <c r="N10" s="122"/>
      <c r="O10" s="124" t="s">
        <v>21</v>
      </c>
      <c r="P10" s="124"/>
      <c r="Q10" s="124"/>
      <c r="R10" s="125"/>
      <c r="S10" s="125"/>
      <c r="T10" s="125"/>
      <c r="U10" s="125"/>
      <c r="V10" s="125"/>
    </row>
    <row r="11" spans="1:22" x14ac:dyDescent="0.25">
      <c r="A11" s="126" t="s">
        <v>22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</row>
    <row r="12" spans="1:22" ht="13.2" x14ac:dyDescent="0.25">
      <c r="A12" s="128" t="s">
        <v>179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</row>
    <row r="13" spans="1:22" ht="13.2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</row>
    <row r="14" spans="1:22" ht="13.2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ht="90.75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</row>
    <row r="16" spans="1:22" x14ac:dyDescent="0.25">
      <c r="A16" s="126" t="s">
        <v>23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</row>
    <row r="17" spans="1:22" ht="13.2" x14ac:dyDescent="0.25">
      <c r="A17" s="127" t="s">
        <v>303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</row>
    <row r="18" spans="1:22" ht="13.2" x14ac:dyDescent="0.2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</row>
    <row r="19" spans="1:22" ht="39.75" customHeight="1" x14ac:dyDescent="0.2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</row>
    <row r="20" spans="1:22" ht="273.75" customHeight="1" x14ac:dyDescent="0.2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</row>
    <row r="21" spans="1:22" x14ac:dyDescent="0.25">
      <c r="A21" s="126" t="s">
        <v>24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</row>
    <row r="22" spans="1:22" ht="13.2" x14ac:dyDescent="0.25">
      <c r="A22" s="129" t="s">
        <v>304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 ht="13.2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3.2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13.2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3.2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2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3.2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3.2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3.2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3.2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3.2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3.2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3.2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3.2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3.2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3.2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3.2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3.2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3.2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3.2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3.2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3.2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3.2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68.25" customHeight="1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213"/>
  <sheetViews>
    <sheetView showGridLines="0" tabSelected="1" zoomScaleNormal="100" zoomScaleSheetLayoutView="100" workbookViewId="0">
      <pane ySplit="7" topLeftCell="A17" activePane="bottomLeft" state="frozen"/>
      <selection activeCell="B11" sqref="B11"/>
      <selection pane="bottomLeft" activeCell="E29" sqref="E29"/>
    </sheetView>
  </sheetViews>
  <sheetFormatPr defaultRowHeight="13.2" x14ac:dyDescent="0.25"/>
  <cols>
    <col min="1" max="1" width="55.77734375" customWidth="1"/>
    <col min="2" max="2" width="5" customWidth="1"/>
    <col min="3" max="3" width="10.44140625" customWidth="1"/>
    <col min="4" max="4" width="3.77734375" customWidth="1"/>
    <col min="5" max="5" width="6.21875" customWidth="1"/>
    <col min="6" max="6" width="8" customWidth="1"/>
    <col min="7" max="7" width="9" hidden="1" customWidth="1"/>
    <col min="8" max="8" width="12" customWidth="1"/>
    <col min="9" max="9" width="6.77734375" hidden="1" customWidth="1"/>
    <col min="10" max="10" width="7.21875" hidden="1" customWidth="1"/>
    <col min="11" max="11" width="12.5546875" customWidth="1"/>
    <col min="12" max="12" width="12" customWidth="1"/>
    <col min="13" max="13" width="6.77734375" customWidth="1"/>
    <col min="14" max="14" width="8.77734375" customWidth="1"/>
    <col min="15" max="15" width="23.21875" bestFit="1" customWidth="1"/>
    <col min="16" max="16" width="32.44140625" customWidth="1"/>
  </cols>
  <sheetData>
    <row r="1" spans="1:16" ht="13.8" thickBot="1" x14ac:dyDescent="0.3">
      <c r="A1" s="135" t="s">
        <v>25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6" ht="13.8" thickBot="1" x14ac:dyDescent="0.3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A4" s="3" t="str">
        <f>Contagem!A5&amp;" : "&amp;Contagem!F5</f>
        <v xml:space="preserve">Aplicação : </v>
      </c>
      <c r="B4" s="137" t="str">
        <f>Contagem!A8&amp;" : "&amp;Contagem!F8</f>
        <v>Projeto : SST - PSICOSOCIAL</v>
      </c>
      <c r="C4" s="138"/>
      <c r="D4" s="138"/>
      <c r="E4" s="138"/>
      <c r="F4" s="138"/>
      <c r="G4" s="138"/>
      <c r="H4" s="138"/>
      <c r="I4" s="138"/>
      <c r="J4" s="139"/>
      <c r="K4" s="89" t="s">
        <v>3</v>
      </c>
      <c r="L4" s="92">
        <f>SUM(H8:H202)</f>
        <v>695</v>
      </c>
      <c r="M4" s="134"/>
      <c r="N4" s="134"/>
      <c r="O4" s="134"/>
      <c r="P4" s="134"/>
    </row>
    <row r="5" spans="1:16" x14ac:dyDescent="0.25">
      <c r="A5" s="3" t="str">
        <f>Contagem!A9&amp;" : "&amp;Contagem!F9</f>
        <v>Responsável : Luana Alves de Araujo Passos Aguiar</v>
      </c>
      <c r="B5" s="137" t="str">
        <f>Contagem!A10&amp;" : "&amp;Contagem!F10</f>
        <v>Revisor : Jonathas Gomes Marques</v>
      </c>
      <c r="C5" s="138"/>
      <c r="D5" s="138"/>
      <c r="E5" s="138"/>
      <c r="F5" s="138"/>
      <c r="G5" s="138"/>
      <c r="H5" s="138"/>
      <c r="I5" s="138"/>
      <c r="J5" s="139"/>
      <c r="K5" s="91" t="s">
        <v>5</v>
      </c>
      <c r="L5" s="92">
        <f>SUM(K8:K178)</f>
        <v>622</v>
      </c>
      <c r="M5" s="136"/>
      <c r="N5" s="136"/>
      <c r="O5" s="136"/>
      <c r="P5" s="136"/>
    </row>
    <row r="6" spans="1:16" x14ac:dyDescent="0.25">
      <c r="A6" s="96" t="str">
        <f>Contagem!A4&amp;" : "&amp;Contagem!F4</f>
        <v>Empresa : Secretaria de Estado de Planejamento e Gestão de Mato Grosso</v>
      </c>
      <c r="B6" s="131" t="str">
        <f>"Tipo da Contagem : "&amp;Contagem!F6</f>
        <v>Tipo da Contagem : Projeto de Desenvolvimento</v>
      </c>
      <c r="C6" s="132"/>
      <c r="D6" s="132"/>
      <c r="E6" s="132"/>
      <c r="F6" s="132"/>
      <c r="G6" s="132"/>
      <c r="H6" s="132"/>
      <c r="I6" s="132"/>
      <c r="J6" s="133"/>
      <c r="K6" s="90" t="s">
        <v>8</v>
      </c>
      <c r="L6" s="92">
        <f>SUM(L8:L217)</f>
        <v>730</v>
      </c>
      <c r="M6" s="134"/>
      <c r="N6" s="134"/>
      <c r="O6" s="134"/>
      <c r="P6" s="134"/>
    </row>
    <row r="7" spans="1:16" s="108" customFormat="1" x14ac:dyDescent="0.25">
      <c r="A7" s="99" t="s">
        <v>26</v>
      </c>
      <c r="B7" s="107" t="s">
        <v>27</v>
      </c>
      <c r="C7" s="104" t="s">
        <v>28</v>
      </c>
      <c r="D7" s="101" t="s">
        <v>29</v>
      </c>
      <c r="E7" s="101" t="s">
        <v>30</v>
      </c>
      <c r="F7" s="101" t="s">
        <v>31</v>
      </c>
      <c r="G7" s="101" t="s">
        <v>32</v>
      </c>
      <c r="H7" s="101" t="s">
        <v>3</v>
      </c>
      <c r="I7" s="102" t="s">
        <v>33</v>
      </c>
      <c r="J7" s="102" t="s">
        <v>34</v>
      </c>
      <c r="K7" s="101" t="s">
        <v>5</v>
      </c>
      <c r="L7" s="103" t="s">
        <v>8</v>
      </c>
      <c r="M7" s="104" t="s">
        <v>35</v>
      </c>
      <c r="N7" s="104" t="s">
        <v>36</v>
      </c>
      <c r="O7" s="105" t="s">
        <v>177</v>
      </c>
      <c r="P7" s="106" t="s">
        <v>37</v>
      </c>
    </row>
    <row r="8" spans="1:16" x14ac:dyDescent="0.25">
      <c r="A8" s="112" t="s">
        <v>180</v>
      </c>
      <c r="B8" s="4"/>
      <c r="C8" s="4"/>
      <c r="D8" s="6"/>
      <c r="E8" s="6"/>
      <c r="F8" s="97" t="str">
        <f t="shared" ref="F8:F19" si="0">IF(ISBLANK(B8),"",IF(I8="L","Baixa",IF(I8="A","Média",IF(I8="","","Alta"))))</f>
        <v/>
      </c>
      <c r="G8" s="6" t="str">
        <f t="shared" ref="G8:G19" si="1">CONCATENATE(B8,I8)</f>
        <v/>
      </c>
      <c r="H8" s="6" t="str">
        <f t="shared" ref="H8:H19" si="2">IF(ISBLANK(B8),"",IF(B8="ALI",IF(I8="L",7,IF(I8="A",10,15)),IF(B8="AIE",IF(I8="L",5,IF(I8="A",7,10)),IF(B8="SE",IF(I8="L",4,IF(I8="A",5,7)),IF(OR(B8="EE",B8="CE"),IF(I8="L",3,IF(I8="A",4,6)),0)))))</f>
        <v/>
      </c>
      <c r="I8" s="97" t="str">
        <f t="shared" ref="I8:I19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6" t="str">
        <f t="shared" ref="J8:J19" si="4">CONCATENATE(B8,C8)</f>
        <v/>
      </c>
      <c r="K8" s="98" t="str">
        <f t="shared" ref="K8:K19" si="5">IF(OR(H8="",H8=0),L8,H8)</f>
        <v/>
      </c>
      <c r="L8" s="98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7"/>
      <c r="N8" s="7"/>
      <c r="O8" s="100"/>
      <c r="P8" s="5"/>
    </row>
    <row r="9" spans="1:16" x14ac:dyDescent="0.25">
      <c r="A9" s="113" t="s">
        <v>207</v>
      </c>
      <c r="B9" s="4" t="s">
        <v>38</v>
      </c>
      <c r="C9" s="4" t="s">
        <v>39</v>
      </c>
      <c r="D9" s="6">
        <v>10</v>
      </c>
      <c r="E9" s="6">
        <v>2</v>
      </c>
      <c r="F9" s="97" t="str">
        <f t="shared" si="0"/>
        <v>Baixa</v>
      </c>
      <c r="G9" s="6" t="str">
        <f t="shared" si="1"/>
        <v>AIEL</v>
      </c>
      <c r="H9" s="6">
        <f t="shared" si="2"/>
        <v>5</v>
      </c>
      <c r="I9" s="97" t="str">
        <f t="shared" si="3"/>
        <v>L</v>
      </c>
      <c r="J9" s="6" t="str">
        <f t="shared" si="4"/>
        <v>AIEI</v>
      </c>
      <c r="K9" s="98">
        <f t="shared" si="5"/>
        <v>5</v>
      </c>
      <c r="L9" s="98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7"/>
      <c r="N9" s="7"/>
      <c r="O9" s="100"/>
      <c r="P9" s="5"/>
    </row>
    <row r="10" spans="1:16" x14ac:dyDescent="0.25">
      <c r="A10" s="113" t="s">
        <v>208</v>
      </c>
      <c r="B10" s="4" t="s">
        <v>38</v>
      </c>
      <c r="C10" s="4" t="s">
        <v>39</v>
      </c>
      <c r="D10" s="6">
        <v>10</v>
      </c>
      <c r="E10" s="6">
        <v>2</v>
      </c>
      <c r="F10" s="97" t="str">
        <f t="shared" si="0"/>
        <v>Baixa</v>
      </c>
      <c r="G10" s="6" t="str">
        <f t="shared" si="1"/>
        <v>AIEL</v>
      </c>
      <c r="H10" s="6">
        <f t="shared" si="2"/>
        <v>5</v>
      </c>
      <c r="I10" s="97" t="str">
        <f t="shared" si="3"/>
        <v>L</v>
      </c>
      <c r="J10" s="6" t="str">
        <f t="shared" si="4"/>
        <v>AIEI</v>
      </c>
      <c r="K10" s="98">
        <f t="shared" si="5"/>
        <v>5</v>
      </c>
      <c r="L10" s="98">
        <f>IF(NOT(ISERROR(VLOOKUP(B10,Deflatores!G$42:H$64,2,FALSE))),VLOOKUP(B10,Deflatores!G$42:H$64,2,FALSE),IF(OR(ISBLANK(C10),ISBLANK(B10)),"",VLOOKUP(C10,Deflatores!G$4:H$38,2,FALSE)*H10+VLOOKUP(C10,Deflatores!G$4:I$38,3,FALSE)))</f>
        <v>5</v>
      </c>
      <c r="M10" s="7"/>
      <c r="N10" s="7"/>
      <c r="O10" s="100"/>
      <c r="P10" s="5"/>
    </row>
    <row r="11" spans="1:16" x14ac:dyDescent="0.25">
      <c r="A11" s="113" t="s">
        <v>209</v>
      </c>
      <c r="B11" s="4" t="s">
        <v>38</v>
      </c>
      <c r="C11" s="4" t="s">
        <v>39</v>
      </c>
      <c r="D11" s="6">
        <v>12</v>
      </c>
      <c r="E11" s="6">
        <v>1</v>
      </c>
      <c r="F11" s="97" t="str">
        <f t="shared" si="0"/>
        <v>Baixa</v>
      </c>
      <c r="G11" s="6" t="str">
        <f t="shared" si="1"/>
        <v>AIEL</v>
      </c>
      <c r="H11" s="6">
        <f t="shared" si="2"/>
        <v>5</v>
      </c>
      <c r="I11" s="97" t="str">
        <f t="shared" si="3"/>
        <v>L</v>
      </c>
      <c r="J11" s="6" t="str">
        <f t="shared" si="4"/>
        <v>AIEI</v>
      </c>
      <c r="K11" s="98">
        <f t="shared" si="5"/>
        <v>5</v>
      </c>
      <c r="L11" s="98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7"/>
      <c r="N11" s="7"/>
      <c r="O11" s="100"/>
      <c r="P11" s="5"/>
    </row>
    <row r="12" spans="1:16" x14ac:dyDescent="0.25">
      <c r="A12" s="113" t="s">
        <v>216</v>
      </c>
      <c r="B12" s="4" t="s">
        <v>38</v>
      </c>
      <c r="C12" s="4" t="s">
        <v>39</v>
      </c>
      <c r="D12" s="6">
        <v>10</v>
      </c>
      <c r="E12" s="6">
        <v>1</v>
      </c>
      <c r="F12" s="97" t="str">
        <f>IF(ISBLANK(B12),"",IF(I12="L","Baixa",IF(I12="A","Média",IF(I12="","","Alta"))))</f>
        <v>Baixa</v>
      </c>
      <c r="G12" s="6" t="str">
        <f>CONCATENATE(B12,I12)</f>
        <v>AIEL</v>
      </c>
      <c r="H12" s="6">
        <f>IF(ISBLANK(B12),"",IF(B12="ALI",IF(I12="L",7,IF(I12="A",10,15)),IF(B12="AIE",IF(I12="L",5,IF(I12="A",7,10)),IF(B12="SE",IF(I12="L",4,IF(I12="A",5,7)),IF(OR(B12="EE",B12="CE"),IF(I12="L",3,IF(I12="A",4,6)),0)))))</f>
        <v>5</v>
      </c>
      <c r="I12" s="97" t="str">
        <f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6" t="str">
        <f>CONCATENATE(B12,C12)</f>
        <v>AIEI</v>
      </c>
      <c r="K12" s="98">
        <f>IF(OR(H12="",H12=0),L12,H12)</f>
        <v>5</v>
      </c>
      <c r="L12" s="98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7"/>
      <c r="N12" s="7"/>
      <c r="O12" s="100"/>
      <c r="P12" s="5"/>
    </row>
    <row r="13" spans="1:16" x14ac:dyDescent="0.25">
      <c r="A13" s="113" t="s">
        <v>217</v>
      </c>
      <c r="B13" s="4" t="s">
        <v>38</v>
      </c>
      <c r="C13" s="4" t="s">
        <v>39</v>
      </c>
      <c r="D13" s="6">
        <v>2</v>
      </c>
      <c r="E13" s="6">
        <v>1</v>
      </c>
      <c r="F13" s="97" t="str">
        <f t="shared" si="0"/>
        <v>Baixa</v>
      </c>
      <c r="G13" s="6" t="str">
        <f t="shared" si="1"/>
        <v>AIEL</v>
      </c>
      <c r="H13" s="6">
        <f t="shared" si="2"/>
        <v>5</v>
      </c>
      <c r="I13" s="97" t="str">
        <f t="shared" si="3"/>
        <v>L</v>
      </c>
      <c r="J13" s="6" t="str">
        <f t="shared" si="4"/>
        <v>AIEI</v>
      </c>
      <c r="K13" s="98">
        <f t="shared" si="5"/>
        <v>5</v>
      </c>
      <c r="L13" s="98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7"/>
      <c r="N13" s="7"/>
      <c r="O13" s="100"/>
      <c r="P13" s="5"/>
    </row>
    <row r="14" spans="1:16" x14ac:dyDescent="0.25">
      <c r="A14" s="113" t="s">
        <v>218</v>
      </c>
      <c r="B14" s="4" t="s">
        <v>38</v>
      </c>
      <c r="C14" s="4" t="s">
        <v>39</v>
      </c>
      <c r="D14" s="6">
        <v>2</v>
      </c>
      <c r="E14" s="6">
        <v>1</v>
      </c>
      <c r="F14" s="97" t="str">
        <f t="shared" si="0"/>
        <v>Baixa</v>
      </c>
      <c r="G14" s="6" t="str">
        <f t="shared" si="1"/>
        <v>AIEL</v>
      </c>
      <c r="H14" s="6">
        <f t="shared" si="2"/>
        <v>5</v>
      </c>
      <c r="I14" s="97" t="str">
        <f t="shared" si="3"/>
        <v>L</v>
      </c>
      <c r="J14" s="6" t="str">
        <f t="shared" si="4"/>
        <v>AIEI</v>
      </c>
      <c r="K14" s="98">
        <f t="shared" si="5"/>
        <v>5</v>
      </c>
      <c r="L14" s="98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7"/>
      <c r="N14" s="7"/>
      <c r="O14" s="100"/>
      <c r="P14" s="5"/>
    </row>
    <row r="15" spans="1:16" x14ac:dyDescent="0.25">
      <c r="A15" s="113" t="s">
        <v>219</v>
      </c>
      <c r="B15" s="4" t="s">
        <v>38</v>
      </c>
      <c r="C15" s="4" t="s">
        <v>39</v>
      </c>
      <c r="D15" s="6">
        <v>2</v>
      </c>
      <c r="E15" s="6">
        <v>1</v>
      </c>
      <c r="F15" s="97" t="str">
        <f t="shared" si="0"/>
        <v>Baixa</v>
      </c>
      <c r="G15" s="6" t="str">
        <f t="shared" si="1"/>
        <v>AIEL</v>
      </c>
      <c r="H15" s="6">
        <f t="shared" si="2"/>
        <v>5</v>
      </c>
      <c r="I15" s="97" t="str">
        <f t="shared" si="3"/>
        <v>L</v>
      </c>
      <c r="J15" s="6" t="str">
        <f t="shared" si="4"/>
        <v>AIEI</v>
      </c>
      <c r="K15" s="98">
        <f t="shared" si="5"/>
        <v>5</v>
      </c>
      <c r="L15" s="98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7"/>
      <c r="N15" s="7"/>
      <c r="O15" s="100"/>
      <c r="P15" s="5"/>
    </row>
    <row r="16" spans="1:16" x14ac:dyDescent="0.25">
      <c r="A16" s="113" t="s">
        <v>220</v>
      </c>
      <c r="B16" s="4" t="s">
        <v>38</v>
      </c>
      <c r="C16" s="4" t="s">
        <v>39</v>
      </c>
      <c r="D16" s="6">
        <v>2</v>
      </c>
      <c r="E16" s="6">
        <v>1</v>
      </c>
      <c r="F16" s="97" t="str">
        <f>IF(ISBLANK(B16),"",IF(I16="L","Baixa",IF(I16="A","Média",IF(I16="","","Alta"))))</f>
        <v>Baixa</v>
      </c>
      <c r="G16" s="6" t="str">
        <f>CONCATENATE(B16,I16)</f>
        <v>AIEL</v>
      </c>
      <c r="H16" s="6">
        <f>IF(ISBLANK(B16),"",IF(B16="ALI",IF(I16="L",7,IF(I16="A",10,15)),IF(B16="AIE",IF(I16="L",5,IF(I16="A",7,10)),IF(B16="SE",IF(I16="L",4,IF(I16="A",5,7)),IF(OR(B16="EE",B16="CE"),IF(I16="L",3,IF(I16="A",4,6)),0)))))</f>
        <v>5</v>
      </c>
      <c r="I16" s="97" t="str">
        <f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L</v>
      </c>
      <c r="J16" s="6" t="str">
        <f>CONCATENATE(B16,C16)</f>
        <v>AIEI</v>
      </c>
      <c r="K16" s="98">
        <f>IF(OR(H16="",H16=0),L16,H16)</f>
        <v>5</v>
      </c>
      <c r="L16" s="98">
        <f>IF(NOT(ISERROR(VLOOKUP(B16,Deflatores!G$42:H$64,2,FALSE))),VLOOKUP(B16,Deflatores!G$42:H$64,2,FALSE),IF(OR(ISBLANK(C16),ISBLANK(B16)),"",VLOOKUP(C16,Deflatores!G$4:H$38,2,FALSE)*H16+VLOOKUP(C16,Deflatores!G$4:I$38,3,FALSE)))</f>
        <v>5</v>
      </c>
      <c r="M16" s="7"/>
      <c r="N16" s="7"/>
      <c r="O16" s="100"/>
      <c r="P16" s="5"/>
    </row>
    <row r="17" spans="1:16" x14ac:dyDescent="0.25">
      <c r="A17" s="113" t="s">
        <v>221</v>
      </c>
      <c r="B17" s="4" t="s">
        <v>38</v>
      </c>
      <c r="C17" s="4" t="s">
        <v>39</v>
      </c>
      <c r="D17" s="6">
        <v>2</v>
      </c>
      <c r="E17" s="6">
        <v>1</v>
      </c>
      <c r="F17" s="97" t="str">
        <f>IF(ISBLANK(B17),"",IF(I17="L","Baixa",IF(I17="A","Média",IF(I17="","","Alta"))))</f>
        <v>Baixa</v>
      </c>
      <c r="G17" s="6" t="str">
        <f>CONCATENATE(B17,I17)</f>
        <v>AIEL</v>
      </c>
      <c r="H17" s="6">
        <f>IF(ISBLANK(B17),"",IF(B17="ALI",IF(I17="L",7,IF(I17="A",10,15)),IF(B17="AIE",IF(I17="L",5,IF(I17="A",7,10)),IF(B17="SE",IF(I17="L",4,IF(I17="A",5,7)),IF(OR(B17="EE",B17="CE"),IF(I17="L",3,IF(I17="A",4,6)),0)))))</f>
        <v>5</v>
      </c>
      <c r="I17" s="97" t="str">
        <f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L</v>
      </c>
      <c r="J17" s="6" t="str">
        <f>CONCATENATE(B17,C17)</f>
        <v>AIEI</v>
      </c>
      <c r="K17" s="98">
        <f>IF(OR(H17="",H17=0),L17,H17)</f>
        <v>5</v>
      </c>
      <c r="L17" s="98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7"/>
      <c r="N17" s="7"/>
      <c r="O17" s="100"/>
      <c r="P17" s="5"/>
    </row>
    <row r="18" spans="1:16" x14ac:dyDescent="0.25">
      <c r="A18" s="113" t="s">
        <v>222</v>
      </c>
      <c r="B18" s="4" t="s">
        <v>38</v>
      </c>
      <c r="C18" s="4" t="s">
        <v>39</v>
      </c>
      <c r="D18" s="6">
        <v>3</v>
      </c>
      <c r="E18" s="6">
        <v>1</v>
      </c>
      <c r="F18" s="97" t="str">
        <f>IF(ISBLANK(B18),"",IF(I18="L","Baixa",IF(I18="A","Média",IF(I18="","","Alta"))))</f>
        <v>Baixa</v>
      </c>
      <c r="G18" s="6" t="str">
        <f>CONCATENATE(B18,I18)</f>
        <v>AIEL</v>
      </c>
      <c r="H18" s="6">
        <f>IF(ISBLANK(B18),"",IF(B18="ALI",IF(I18="L",7,IF(I18="A",10,15)),IF(B18="AIE",IF(I18="L",5,IF(I18="A",7,10)),IF(B18="SE",IF(I18="L",4,IF(I18="A",5,7)),IF(OR(B18="EE",B18="CE"),IF(I18="L",3,IF(I18="A",4,6)),0)))))</f>
        <v>5</v>
      </c>
      <c r="I18" s="97" t="str">
        <f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6" t="str">
        <f>CONCATENATE(B18,C18)</f>
        <v>AIEI</v>
      </c>
      <c r="K18" s="98">
        <f>IF(OR(H18="",H18=0),L18,H18)</f>
        <v>5</v>
      </c>
      <c r="L18" s="98">
        <f>IF(NOT(ISERROR(VLOOKUP(B18,Deflatores!G$42:H$64,2,FALSE))),VLOOKUP(B18,Deflatores!G$42:H$64,2,FALSE),IF(OR(ISBLANK(C18),ISBLANK(B18)),"",VLOOKUP(C18,Deflatores!G$4:H$38,2,FALSE)*H18+VLOOKUP(C18,Deflatores!G$4:I$38,3,FALSE)))</f>
        <v>5</v>
      </c>
      <c r="M18" s="7"/>
      <c r="N18" s="7"/>
      <c r="O18" s="100"/>
      <c r="P18" s="5"/>
    </row>
    <row r="19" spans="1:16" x14ac:dyDescent="0.25">
      <c r="A19" s="113" t="s">
        <v>223</v>
      </c>
      <c r="B19" s="4" t="s">
        <v>38</v>
      </c>
      <c r="C19" s="4" t="s">
        <v>39</v>
      </c>
      <c r="D19" s="6">
        <v>2</v>
      </c>
      <c r="E19" s="6">
        <v>1</v>
      </c>
      <c r="F19" s="97" t="str">
        <f t="shared" si="0"/>
        <v>Baixa</v>
      </c>
      <c r="G19" s="6" t="str">
        <f t="shared" si="1"/>
        <v>AIEL</v>
      </c>
      <c r="H19" s="6">
        <f t="shared" si="2"/>
        <v>5</v>
      </c>
      <c r="I19" s="97" t="str">
        <f t="shared" si="3"/>
        <v>L</v>
      </c>
      <c r="J19" s="6" t="str">
        <f t="shared" si="4"/>
        <v>AIEI</v>
      </c>
      <c r="K19" s="98">
        <f t="shared" si="5"/>
        <v>5</v>
      </c>
      <c r="L19" s="98">
        <f>IF(NOT(ISERROR(VLOOKUP(B19,Deflatores!G$42:H$64,2,FALSE))),VLOOKUP(B19,Deflatores!G$42:H$64,2,FALSE),IF(OR(ISBLANK(C19),ISBLANK(B19)),"",VLOOKUP(C19,Deflatores!G$4:H$38,2,FALSE)*H19+VLOOKUP(C19,Deflatores!G$4:I$38,3,FALSE)))</f>
        <v>5</v>
      </c>
      <c r="M19" s="7"/>
      <c r="N19" s="7"/>
      <c r="O19" s="100"/>
      <c r="P19" s="5"/>
    </row>
    <row r="20" spans="1:16" x14ac:dyDescent="0.25">
      <c r="A20" s="113" t="s">
        <v>201</v>
      </c>
      <c r="B20" s="4" t="s">
        <v>42</v>
      </c>
      <c r="C20" s="4" t="s">
        <v>39</v>
      </c>
      <c r="D20" s="6">
        <v>87</v>
      </c>
      <c r="E20" s="6">
        <v>9</v>
      </c>
      <c r="F20" s="97" t="str">
        <f t="shared" ref="F20:F27" si="6">IF(ISBLANK(B20),"",IF(I20="L","Baixa",IF(I20="A","Média",IF(I20="","","Alta"))))</f>
        <v>Alta</v>
      </c>
      <c r="G20" s="6" t="str">
        <f t="shared" ref="G20:G27" si="7">CONCATENATE(B20,I20)</f>
        <v>ALIH</v>
      </c>
      <c r="H20" s="6">
        <f t="shared" ref="H20:H27" si="8">IF(ISBLANK(B20),"",IF(B20="ALI",IF(I20="L",7,IF(I20="A",10,15)),IF(B20="AIE",IF(I20="L",5,IF(I20="A",7,10)),IF(B20="SE",IF(I20="L",4,IF(I20="A",5,7)),IF(OR(B20="EE",B20="CE"),IF(I20="L",3,IF(I20="A",4,6)),0)))))</f>
        <v>15</v>
      </c>
      <c r="I20" s="97" t="str">
        <f t="shared" ref="I20:I27" si="9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H</v>
      </c>
      <c r="J20" s="6" t="str">
        <f t="shared" ref="J20:J27" si="10">CONCATENATE(B20,C20)</f>
        <v>ALII</v>
      </c>
      <c r="K20" s="98">
        <f t="shared" ref="K20:K27" si="11">IF(OR(H20="",H20=0),L20,H20)</f>
        <v>15</v>
      </c>
      <c r="L20" s="98">
        <f>IF(NOT(ISERROR(VLOOKUP(B20,Deflatores!G$42:H$64,2,FALSE))),VLOOKUP(B20,Deflatores!G$42:H$64,2,FALSE),IF(OR(ISBLANK(C20),ISBLANK(B20)),"",VLOOKUP(C20,Deflatores!G$4:H$38,2,FALSE)*H20+VLOOKUP(C20,Deflatores!G$4:I$38,3,FALSE)))</f>
        <v>15</v>
      </c>
      <c r="M20" s="7"/>
      <c r="N20" s="7"/>
      <c r="O20" s="100"/>
      <c r="P20" s="5"/>
    </row>
    <row r="21" spans="1:16" x14ac:dyDescent="0.25">
      <c r="A21" s="113" t="s">
        <v>202</v>
      </c>
      <c r="B21" s="4" t="s">
        <v>43</v>
      </c>
      <c r="C21" s="4" t="s">
        <v>39</v>
      </c>
      <c r="D21" s="6">
        <v>28</v>
      </c>
      <c r="E21" s="6">
        <v>5</v>
      </c>
      <c r="F21" s="97" t="str">
        <f t="shared" si="6"/>
        <v>Alta</v>
      </c>
      <c r="G21" s="6" t="str">
        <f t="shared" si="7"/>
        <v>EEH</v>
      </c>
      <c r="H21" s="6">
        <f t="shared" si="8"/>
        <v>6</v>
      </c>
      <c r="I21" s="97" t="str">
        <f t="shared" si="9"/>
        <v>H</v>
      </c>
      <c r="J21" s="6" t="str">
        <f t="shared" si="10"/>
        <v>EEI</v>
      </c>
      <c r="K21" s="98">
        <f t="shared" si="11"/>
        <v>6</v>
      </c>
      <c r="L21" s="98">
        <f>IF(NOT(ISERROR(VLOOKUP(B21,Deflatores!G$42:H$64,2,FALSE))),VLOOKUP(B21,Deflatores!G$42:H$64,2,FALSE),IF(OR(ISBLANK(C21),ISBLANK(B21)),"",VLOOKUP(C21,Deflatores!G$4:H$38,2,FALSE)*H21+VLOOKUP(C21,Deflatores!G$4:I$38,3,FALSE)))</f>
        <v>6</v>
      </c>
      <c r="M21" s="7"/>
      <c r="N21" s="7"/>
      <c r="O21" s="100"/>
      <c r="P21" s="5"/>
    </row>
    <row r="22" spans="1:16" x14ac:dyDescent="0.25">
      <c r="A22" s="114" t="s">
        <v>204</v>
      </c>
      <c r="B22" s="4" t="s">
        <v>41</v>
      </c>
      <c r="C22" s="4" t="s">
        <v>39</v>
      </c>
      <c r="D22" s="6">
        <v>4</v>
      </c>
      <c r="E22" s="6">
        <v>1</v>
      </c>
      <c r="F22" s="97" t="str">
        <f>IF(ISBLANK(B22),"",IF(I22="L","Baixa",IF(I22="A","Média",IF(I22="","","Alta"))))</f>
        <v>Baixa</v>
      </c>
      <c r="G22" s="6" t="str">
        <f>CONCATENATE(B22,I22)</f>
        <v>CEL</v>
      </c>
      <c r="H22" s="6">
        <f>IF(ISBLANK(B22),"",IF(B22="ALI",IF(I22="L",7,IF(I22="A",10,15)),IF(B22="AIE",IF(I22="L",5,IF(I22="A",7,10)),IF(B22="SE",IF(I22="L",4,IF(I22="A",5,7)),IF(OR(B22="EE",B22="CE"),IF(I22="L",3,IF(I22="A",4,6)),0)))))</f>
        <v>3</v>
      </c>
      <c r="I22" s="97" t="str">
        <f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L</v>
      </c>
      <c r="J22" s="6" t="str">
        <f>CONCATENATE(B22,C22)</f>
        <v>CEI</v>
      </c>
      <c r="K22" s="98">
        <f>IF(OR(H22="",H22=0),L22,H22)</f>
        <v>3</v>
      </c>
      <c r="L22" s="98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7"/>
      <c r="N22" s="7"/>
      <c r="O22" s="100"/>
      <c r="P22" s="5"/>
    </row>
    <row r="23" spans="1:16" ht="21.6" x14ac:dyDescent="0.25">
      <c r="A23" s="114" t="s">
        <v>224</v>
      </c>
      <c r="B23" s="4" t="s">
        <v>40</v>
      </c>
      <c r="C23" s="4" t="s">
        <v>39</v>
      </c>
      <c r="D23" s="6">
        <v>27</v>
      </c>
      <c r="E23" s="6">
        <v>7</v>
      </c>
      <c r="F23" s="97" t="str">
        <f>IF(ISBLANK(B23),"",IF(I23="L","Baixa",IF(I23="A","Média",IF(I23="","","Alta"))))</f>
        <v>Alta</v>
      </c>
      <c r="G23" s="6" t="str">
        <f>CONCATENATE(B23,I23)</f>
        <v>SEH</v>
      </c>
      <c r="H23" s="6">
        <f>IF(ISBLANK(B23),"",IF(B23="ALI",IF(I23="L",7,IF(I23="A",10,15)),IF(B23="AIE",IF(I23="L",5,IF(I23="A",7,10)),IF(B23="SE",IF(I23="L",4,IF(I23="A",5,7)),IF(OR(B23="EE",B23="CE"),IF(I23="L",3,IF(I23="A",4,6)),0)))))</f>
        <v>7</v>
      </c>
      <c r="I23" s="97" t="str">
        <f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H</v>
      </c>
      <c r="J23" s="6" t="str">
        <f>CONCATENATE(B23,C23)</f>
        <v>SEI</v>
      </c>
      <c r="K23" s="98">
        <f>IF(OR(H23="",H23=0),L23,H23)</f>
        <v>7</v>
      </c>
      <c r="L23" s="98">
        <f>IF(NOT(ISERROR(VLOOKUP(B23,Deflatores!G$42:H$64,2,FALSE))),VLOOKUP(B23,Deflatores!G$42:H$64,2,FALSE),IF(OR(ISBLANK(C23),ISBLANK(B23)),"",VLOOKUP(C23,Deflatores!G$4:H$38,2,FALSE)*H23+VLOOKUP(C23,Deflatores!G$4:I$38,3,FALSE)))</f>
        <v>7</v>
      </c>
      <c r="M23" s="7"/>
      <c r="N23" s="7"/>
      <c r="O23" s="100"/>
      <c r="P23" s="5" t="s">
        <v>225</v>
      </c>
    </row>
    <row r="24" spans="1:16" x14ac:dyDescent="0.25">
      <c r="A24" s="114" t="s">
        <v>205</v>
      </c>
      <c r="B24" s="4" t="s">
        <v>41</v>
      </c>
      <c r="C24" s="4" t="s">
        <v>39</v>
      </c>
      <c r="D24" s="6">
        <v>2</v>
      </c>
      <c r="E24" s="6">
        <v>1</v>
      </c>
      <c r="F24" s="97" t="str">
        <f>IF(ISBLANK(B24),"",IF(I24="L","Baixa",IF(I24="A","Média",IF(I24="","","Alta"))))</f>
        <v>Baixa</v>
      </c>
      <c r="G24" s="6" t="str">
        <f>CONCATENATE(B24,I24)</f>
        <v>CEL</v>
      </c>
      <c r="H24" s="6">
        <f>IF(ISBLANK(B24),"",IF(B24="ALI",IF(I24="L",7,IF(I24="A",10,15)),IF(B24="AIE",IF(I24="L",5,IF(I24="A",7,10)),IF(B24="SE",IF(I24="L",4,IF(I24="A",5,7)),IF(OR(B24="EE",B24="CE"),IF(I24="L",3,IF(I24="A",4,6)),0)))))</f>
        <v>3</v>
      </c>
      <c r="I24" s="97" t="str">
        <f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L</v>
      </c>
      <c r="J24" s="6" t="str">
        <f>CONCATENATE(B24,C24)</f>
        <v>CEI</v>
      </c>
      <c r="K24" s="98">
        <f>IF(OR(H24="",H24=0),L24,H24)</f>
        <v>3</v>
      </c>
      <c r="L24" s="98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7"/>
      <c r="N24" s="7"/>
      <c r="O24" s="100"/>
      <c r="P24" s="5"/>
    </row>
    <row r="25" spans="1:16" x14ac:dyDescent="0.25">
      <c r="A25" s="114" t="s">
        <v>206</v>
      </c>
      <c r="B25" s="4" t="s">
        <v>41</v>
      </c>
      <c r="C25" s="4" t="s">
        <v>39</v>
      </c>
      <c r="D25" s="6">
        <v>4</v>
      </c>
      <c r="E25" s="6">
        <v>1</v>
      </c>
      <c r="F25" s="97" t="str">
        <f t="shared" si="6"/>
        <v>Baixa</v>
      </c>
      <c r="G25" s="6" t="str">
        <f t="shared" si="7"/>
        <v>CEL</v>
      </c>
      <c r="H25" s="6">
        <f t="shared" si="8"/>
        <v>3</v>
      </c>
      <c r="I25" s="97" t="str">
        <f t="shared" si="9"/>
        <v>L</v>
      </c>
      <c r="J25" s="6" t="str">
        <f t="shared" si="10"/>
        <v>CEI</v>
      </c>
      <c r="K25" s="98">
        <f t="shared" si="11"/>
        <v>3</v>
      </c>
      <c r="L25" s="98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7"/>
      <c r="N25" s="7"/>
      <c r="O25" s="100"/>
      <c r="P25" s="5"/>
    </row>
    <row r="26" spans="1:16" x14ac:dyDescent="0.25">
      <c r="A26" s="113" t="s">
        <v>203</v>
      </c>
      <c r="B26" s="4" t="s">
        <v>43</v>
      </c>
      <c r="C26" s="4" t="s">
        <v>39</v>
      </c>
      <c r="D26" s="6">
        <v>22</v>
      </c>
      <c r="E26" s="6">
        <v>5</v>
      </c>
      <c r="F26" s="97" t="str">
        <f t="shared" si="6"/>
        <v>Alta</v>
      </c>
      <c r="G26" s="6" t="str">
        <f t="shared" si="7"/>
        <v>EEH</v>
      </c>
      <c r="H26" s="6">
        <f t="shared" si="8"/>
        <v>6</v>
      </c>
      <c r="I26" s="97" t="str">
        <f t="shared" si="9"/>
        <v>H</v>
      </c>
      <c r="J26" s="6" t="str">
        <f t="shared" si="10"/>
        <v>EEI</v>
      </c>
      <c r="K26" s="98">
        <f t="shared" si="11"/>
        <v>6</v>
      </c>
      <c r="L26" s="98">
        <f>IF(NOT(ISERROR(VLOOKUP(B26,Deflatores!G$42:H$64,2,FALSE))),VLOOKUP(B26,Deflatores!G$42:H$64,2,FALSE),IF(OR(ISBLANK(C26),ISBLANK(B26)),"",VLOOKUP(C26,Deflatores!G$4:H$38,2,FALSE)*H26+VLOOKUP(C26,Deflatores!G$4:I$38,3,FALSE)))</f>
        <v>6</v>
      </c>
      <c r="M26" s="7"/>
      <c r="N26" s="7"/>
      <c r="O26" s="100"/>
      <c r="P26" s="5"/>
    </row>
    <row r="27" spans="1:16" x14ac:dyDescent="0.25">
      <c r="A27" s="114" t="s">
        <v>178</v>
      </c>
      <c r="B27" s="4" t="s">
        <v>41</v>
      </c>
      <c r="C27" s="4" t="s">
        <v>39</v>
      </c>
      <c r="D27" s="6">
        <v>22</v>
      </c>
      <c r="E27" s="6">
        <v>5</v>
      </c>
      <c r="F27" s="97" t="str">
        <f t="shared" si="6"/>
        <v>Alta</v>
      </c>
      <c r="G27" s="6" t="str">
        <f t="shared" si="7"/>
        <v>CEH</v>
      </c>
      <c r="H27" s="6">
        <f t="shared" si="8"/>
        <v>6</v>
      </c>
      <c r="I27" s="97" t="str">
        <f t="shared" si="9"/>
        <v>H</v>
      </c>
      <c r="J27" s="6" t="str">
        <f t="shared" si="10"/>
        <v>CEI</v>
      </c>
      <c r="K27" s="98">
        <f t="shared" si="11"/>
        <v>6</v>
      </c>
      <c r="L27" s="98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7"/>
      <c r="N27" s="7"/>
      <c r="O27" s="100"/>
      <c r="P27" s="5"/>
    </row>
    <row r="28" spans="1:16" x14ac:dyDescent="0.25">
      <c r="A28" s="113" t="s">
        <v>210</v>
      </c>
      <c r="B28" s="4" t="s">
        <v>43</v>
      </c>
      <c r="C28" s="4" t="s">
        <v>39</v>
      </c>
      <c r="D28" s="6">
        <v>4</v>
      </c>
      <c r="E28" s="6">
        <v>1</v>
      </c>
      <c r="F28" s="97" t="str">
        <f>IF(ISBLANK(B28),"",IF(I28="L","Baixa",IF(I28="A","Média",IF(I28="","","Alta"))))</f>
        <v>Baixa</v>
      </c>
      <c r="G28" s="6" t="str">
        <f>CONCATENATE(B28,I28)</f>
        <v>EEL</v>
      </c>
      <c r="H28" s="6">
        <f>IF(ISBLANK(B28),"",IF(B28="ALI",IF(I28="L",7,IF(I28="A",10,15)),IF(B28="AIE",IF(I28="L",5,IF(I28="A",7,10)),IF(B28="SE",IF(I28="L",4,IF(I28="A",5,7)),IF(OR(B28="EE",B28="CE"),IF(I28="L",3,IF(I28="A",4,6)),0)))))</f>
        <v>3</v>
      </c>
      <c r="I28" s="97" t="str">
        <f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>L</v>
      </c>
      <c r="J28" s="6" t="str">
        <f>CONCATENATE(B28,C28)</f>
        <v>EEI</v>
      </c>
      <c r="K28" s="98">
        <f>IF(OR(H28="",H28=0),L28,H28)</f>
        <v>3</v>
      </c>
      <c r="L28" s="98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7"/>
      <c r="N28" s="7"/>
      <c r="O28" s="100"/>
      <c r="P28" s="5"/>
    </row>
    <row r="29" spans="1:16" x14ac:dyDescent="0.25">
      <c r="A29" s="113" t="s">
        <v>211</v>
      </c>
      <c r="B29" s="4" t="s">
        <v>43</v>
      </c>
      <c r="C29" s="4" t="s">
        <v>39</v>
      </c>
      <c r="D29" s="6">
        <v>12</v>
      </c>
      <c r="E29" s="6">
        <v>2</v>
      </c>
      <c r="F29" s="97" t="str">
        <f>IF(ISBLANK(B29),"",IF(I29="L","Baixa",IF(I29="A","Média",IF(I29="","","Alta"))))</f>
        <v>Média</v>
      </c>
      <c r="G29" s="6" t="str">
        <f>CONCATENATE(B29,I29)</f>
        <v>EEA</v>
      </c>
      <c r="H29" s="6">
        <f>IF(ISBLANK(B29),"",IF(B29="ALI",IF(I29="L",7,IF(I29="A",10,15)),IF(B29="AIE",IF(I29="L",5,IF(I29="A",7,10)),IF(B29="SE",IF(I29="L",4,IF(I29="A",5,7)),IF(OR(B29="EE",B29="CE"),IF(I29="L",3,IF(I29="A",4,6)),0)))))</f>
        <v>4</v>
      </c>
      <c r="I29" s="97" t="str">
        <f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A</v>
      </c>
      <c r="J29" s="6" t="str">
        <f>CONCATENATE(B29,C29)</f>
        <v>EEI</v>
      </c>
      <c r="K29" s="98">
        <f>IF(OR(H29="",H29=0),L29,H29)</f>
        <v>4</v>
      </c>
      <c r="L29" s="98">
        <f>IF(NOT(ISERROR(VLOOKUP(B29,Deflatores!G$42:H$64,2,FALSE))),VLOOKUP(B29,Deflatores!G$42:H$64,2,FALSE),IF(OR(ISBLANK(C29),ISBLANK(B29)),"",VLOOKUP(C29,Deflatores!G$4:H$38,2,FALSE)*H29+VLOOKUP(C29,Deflatores!G$4:I$38,3,FALSE)))</f>
        <v>4</v>
      </c>
      <c r="M29" s="7"/>
      <c r="N29" s="7"/>
      <c r="O29" s="100"/>
      <c r="P29" s="5"/>
    </row>
    <row r="30" spans="1:16" x14ac:dyDescent="0.25">
      <c r="A30" s="113" t="s">
        <v>212</v>
      </c>
      <c r="B30" s="4" t="s">
        <v>41</v>
      </c>
      <c r="C30" s="4" t="s">
        <v>39</v>
      </c>
      <c r="D30" s="6">
        <v>18</v>
      </c>
      <c r="E30" s="6">
        <v>4</v>
      </c>
      <c r="F30" s="97" t="str">
        <f>IF(ISBLANK(B30),"",IF(I30="L","Baixa",IF(I30="A","Média",IF(I30="","","Alta"))))</f>
        <v>Alta</v>
      </c>
      <c r="G30" s="6" t="str">
        <f>CONCATENATE(B30,I30)</f>
        <v>CEH</v>
      </c>
      <c r="H30" s="6">
        <f>IF(ISBLANK(B30),"",IF(B30="ALI",IF(I30="L",7,IF(I30="A",10,15)),IF(B30="AIE",IF(I30="L",5,IF(I30="A",7,10)),IF(B30="SE",IF(I30="L",4,IF(I30="A",5,7)),IF(OR(B30="EE",B30="CE"),IF(I30="L",3,IF(I30="A",4,6)),0)))))</f>
        <v>6</v>
      </c>
      <c r="I30" s="97" t="str">
        <f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H</v>
      </c>
      <c r="J30" s="6" t="str">
        <f>CONCATENATE(B30,C30)</f>
        <v>CEI</v>
      </c>
      <c r="K30" s="98">
        <f>IF(OR(H30="",H30=0),L30,H30)</f>
        <v>6</v>
      </c>
      <c r="L30" s="98">
        <f>IF(NOT(ISERROR(VLOOKUP(B30,Deflatores!G$42:H$64,2,FALSE))),VLOOKUP(B30,Deflatores!G$42:H$64,2,FALSE),IF(OR(ISBLANK(C30),ISBLANK(B30)),"",VLOOKUP(C30,Deflatores!G$4:H$38,2,FALSE)*H30+VLOOKUP(C30,Deflatores!G$4:I$38,3,FALSE)))</f>
        <v>6</v>
      </c>
      <c r="M30" s="7"/>
      <c r="N30" s="7"/>
      <c r="O30" s="100"/>
      <c r="P30" s="5"/>
    </row>
    <row r="31" spans="1:16" x14ac:dyDescent="0.25">
      <c r="A31" s="113" t="s">
        <v>213</v>
      </c>
      <c r="B31" s="4" t="s">
        <v>41</v>
      </c>
      <c r="C31" s="4" t="s">
        <v>39</v>
      </c>
      <c r="D31" s="6">
        <v>20</v>
      </c>
      <c r="E31" s="6">
        <v>4</v>
      </c>
      <c r="F31" s="97" t="str">
        <f>IF(ISBLANK(B31),"",IF(I31="L","Baixa",IF(I31="A","Média",IF(I31="","","Alta"))))</f>
        <v>Alta</v>
      </c>
      <c r="G31" s="6" t="str">
        <f>CONCATENATE(B31,I31)</f>
        <v>CEH</v>
      </c>
      <c r="H31" s="6">
        <f>IF(ISBLANK(B31),"",IF(B31="ALI",IF(I31="L",7,IF(I31="A",10,15)),IF(B31="AIE",IF(I31="L",5,IF(I31="A",7,10)),IF(B31="SE",IF(I31="L",4,IF(I31="A",5,7)),IF(OR(B31="EE",B31="CE"),IF(I31="L",3,IF(I31="A",4,6)),0)))))</f>
        <v>6</v>
      </c>
      <c r="I31" s="97" t="str">
        <f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H</v>
      </c>
      <c r="J31" s="6" t="str">
        <f>CONCATENATE(B31,C31)</f>
        <v>CEI</v>
      </c>
      <c r="K31" s="98">
        <f>IF(OR(H31="",H31=0),L31,H31)</f>
        <v>6</v>
      </c>
      <c r="L31" s="98">
        <f>IF(NOT(ISERROR(VLOOKUP(B31,Deflatores!G$42:H$64,2,FALSE))),VLOOKUP(B31,Deflatores!G$42:H$64,2,FALSE),IF(OR(ISBLANK(C31),ISBLANK(B31)),"",VLOOKUP(C31,Deflatores!G$4:H$38,2,FALSE)*H31+VLOOKUP(C31,Deflatores!G$4:I$38,3,FALSE)))</f>
        <v>6</v>
      </c>
      <c r="M31" s="7"/>
      <c r="N31" s="7"/>
      <c r="O31" s="100"/>
      <c r="P31" s="5"/>
    </row>
    <row r="32" spans="1:16" x14ac:dyDescent="0.25">
      <c r="A32" s="113" t="s">
        <v>214</v>
      </c>
      <c r="B32" s="4" t="s">
        <v>41</v>
      </c>
      <c r="C32" s="4" t="s">
        <v>39</v>
      </c>
      <c r="D32" s="6">
        <v>8</v>
      </c>
      <c r="E32" s="6">
        <v>3</v>
      </c>
      <c r="F32" s="97" t="str">
        <f>IF(ISBLANK(B32),"",IF(I32="L","Baixa",IF(I32="A","Média",IF(I32="","","Alta"))))</f>
        <v>Média</v>
      </c>
      <c r="G32" s="6" t="str">
        <f>CONCATENATE(B32,I32)</f>
        <v>CEA</v>
      </c>
      <c r="H32" s="6">
        <f>IF(ISBLANK(B32),"",IF(B32="ALI",IF(I32="L",7,IF(I32="A",10,15)),IF(B32="AIE",IF(I32="L",5,IF(I32="A",7,10)),IF(B32="SE",IF(I32="L",4,IF(I32="A",5,7)),IF(OR(B32="EE",B32="CE"),IF(I32="L",3,IF(I32="A",4,6)),0)))))</f>
        <v>4</v>
      </c>
      <c r="I32" s="97" t="str">
        <f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A</v>
      </c>
      <c r="J32" s="6" t="str">
        <f>CONCATENATE(B32,C32)</f>
        <v>CEI</v>
      </c>
      <c r="K32" s="98">
        <f>IF(OR(H32="",H32=0),L32,H32)</f>
        <v>4</v>
      </c>
      <c r="L32" s="98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7"/>
      <c r="N32" s="7"/>
      <c r="O32" s="100"/>
      <c r="P32" s="5"/>
    </row>
    <row r="33" spans="1:16" x14ac:dyDescent="0.25">
      <c r="A33" s="113" t="s">
        <v>215</v>
      </c>
      <c r="B33" s="4" t="s">
        <v>43</v>
      </c>
      <c r="C33" s="4" t="s">
        <v>39</v>
      </c>
      <c r="D33" s="6">
        <v>30</v>
      </c>
      <c r="E33" s="6">
        <v>5</v>
      </c>
      <c r="F33" s="97" t="str">
        <f t="shared" ref="F33:F48" si="12">IF(ISBLANK(B33),"",IF(I33="L","Baixa",IF(I33="A","Média",IF(I33="","","Alta"))))</f>
        <v>Alta</v>
      </c>
      <c r="G33" s="6" t="str">
        <f t="shared" ref="G33:G48" si="13">CONCATENATE(B33,I33)</f>
        <v>EEH</v>
      </c>
      <c r="H33" s="6">
        <f t="shared" ref="H33:H48" si="14">IF(ISBLANK(B33),"",IF(B33="ALI",IF(I33="L",7,IF(I33="A",10,15)),IF(B33="AIE",IF(I33="L",5,IF(I33="A",7,10)),IF(B33="SE",IF(I33="L",4,IF(I33="A",5,7)),IF(OR(B33="EE",B33="CE"),IF(I33="L",3,IF(I33="A",4,6)),0)))))</f>
        <v>6</v>
      </c>
      <c r="I33" s="97" t="str">
        <f t="shared" ref="I33:I48" si="15"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>H</v>
      </c>
      <c r="J33" s="6" t="str">
        <f t="shared" ref="J33:J48" si="16">CONCATENATE(B33,C33)</f>
        <v>EEI</v>
      </c>
      <c r="K33" s="98">
        <f t="shared" ref="K33:K48" si="17">IF(OR(H33="",H33=0),L33,H33)</f>
        <v>6</v>
      </c>
      <c r="L33" s="98">
        <f>IF(NOT(ISERROR(VLOOKUP(B33,Deflatores!G$42:H$64,2,FALSE))),VLOOKUP(B33,Deflatores!G$42:H$64,2,FALSE),IF(OR(ISBLANK(C33),ISBLANK(B33)),"",VLOOKUP(C33,Deflatores!G$4:H$38,2,FALSE)*H33+VLOOKUP(C33,Deflatores!G$4:I$38,3,FALSE)))</f>
        <v>6</v>
      </c>
      <c r="M33" s="7"/>
      <c r="N33" s="7"/>
      <c r="O33" s="100"/>
      <c r="P33" s="5"/>
    </row>
    <row r="34" spans="1:16" x14ac:dyDescent="0.25">
      <c r="A34" s="113" t="s">
        <v>305</v>
      </c>
      <c r="B34" s="4" t="s">
        <v>41</v>
      </c>
      <c r="C34" s="4" t="s">
        <v>39</v>
      </c>
      <c r="D34" s="6">
        <v>16</v>
      </c>
      <c r="E34" s="6">
        <v>4</v>
      </c>
      <c r="F34" s="97" t="str">
        <f t="shared" ref="F34:F38" si="18">IF(ISBLANK(B34),"",IF(I34="L","Baixa",IF(I34="A","Média",IF(I34="","","Alta"))))</f>
        <v>Alta</v>
      </c>
      <c r="G34" s="6" t="str">
        <f t="shared" ref="G34:G38" si="19">CONCATENATE(B34,I34)</f>
        <v>CEH</v>
      </c>
      <c r="H34" s="6">
        <f t="shared" ref="H34:H38" si="20">IF(ISBLANK(B34),"",IF(B34="ALI",IF(I34="L",7,IF(I34="A",10,15)),IF(B34="AIE",IF(I34="L",5,IF(I34="A",7,10)),IF(B34="SE",IF(I34="L",4,IF(I34="A",5,7)),IF(OR(B34="EE",B34="CE"),IF(I34="L",3,IF(I34="A",4,6)),0)))))</f>
        <v>6</v>
      </c>
      <c r="I34" s="97" t="str">
        <f t="shared" ref="I34:I38" si="21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H</v>
      </c>
      <c r="J34" s="6" t="str">
        <f t="shared" ref="J34:J38" si="22">CONCATENATE(B34,C34)</f>
        <v>CEI</v>
      </c>
      <c r="K34" s="98">
        <f t="shared" ref="K34:K38" si="23">IF(OR(H34="",H34=0),L34,H34)</f>
        <v>6</v>
      </c>
      <c r="L34" s="98">
        <f>IF(NOT(ISERROR(VLOOKUP(B34,Deflatores!G$42:H$64,2,FALSE))),VLOOKUP(B34,Deflatores!G$42:H$64,2,FALSE),IF(OR(ISBLANK(C34),ISBLANK(B34)),"",VLOOKUP(C34,Deflatores!G$4:H$38,2,FALSE)*H34+VLOOKUP(C34,Deflatores!G$4:I$38,3,FALSE)))</f>
        <v>6</v>
      </c>
      <c r="M34" s="7"/>
      <c r="N34" s="7"/>
      <c r="O34" s="100"/>
      <c r="P34" s="5"/>
    </row>
    <row r="35" spans="1:16" x14ac:dyDescent="0.25">
      <c r="A35" s="113" t="s">
        <v>347</v>
      </c>
      <c r="B35" s="4" t="s">
        <v>41</v>
      </c>
      <c r="C35" s="4" t="s">
        <v>39</v>
      </c>
      <c r="D35" s="6">
        <v>30</v>
      </c>
      <c r="E35" s="6">
        <v>11</v>
      </c>
      <c r="F35" s="97" t="str">
        <f t="shared" ref="F35" si="24">IF(ISBLANK(B35),"",IF(I35="L","Baixa",IF(I35="A","Média",IF(I35="","","Alta"))))</f>
        <v>Alta</v>
      </c>
      <c r="G35" s="6" t="str">
        <f t="shared" ref="G35" si="25">CONCATENATE(B35,I35)</f>
        <v>CEH</v>
      </c>
      <c r="H35" s="6">
        <f t="shared" ref="H35" si="26">IF(ISBLANK(B35),"",IF(B35="ALI",IF(I35="L",7,IF(I35="A",10,15)),IF(B35="AIE",IF(I35="L",5,IF(I35="A",7,10)),IF(B35="SE",IF(I35="L",4,IF(I35="A",5,7)),IF(OR(B35="EE",B35="CE"),IF(I35="L",3,IF(I35="A",4,6)),0)))))</f>
        <v>6</v>
      </c>
      <c r="I35" s="97" t="str">
        <f t="shared" ref="I35" si="27"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>H</v>
      </c>
      <c r="J35" s="6" t="str">
        <f t="shared" ref="J35" si="28">CONCATENATE(B35,C35)</f>
        <v>CEI</v>
      </c>
      <c r="K35" s="98">
        <f t="shared" ref="K35" si="29">IF(OR(H35="",H35=0),L35,H35)</f>
        <v>6</v>
      </c>
      <c r="L35" s="98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7"/>
      <c r="N35" s="7"/>
      <c r="O35" s="100"/>
      <c r="P35" s="5"/>
    </row>
    <row r="36" spans="1:16" x14ac:dyDescent="0.25">
      <c r="A36" s="113"/>
      <c r="B36" s="4"/>
      <c r="C36" s="4"/>
      <c r="D36" s="6"/>
      <c r="E36" s="6"/>
      <c r="F36" s="97" t="str">
        <f t="shared" si="18"/>
        <v/>
      </c>
      <c r="G36" s="6" t="str">
        <f t="shared" si="19"/>
        <v/>
      </c>
      <c r="H36" s="6" t="str">
        <f t="shared" si="20"/>
        <v/>
      </c>
      <c r="I36" s="97" t="str">
        <f t="shared" si="21"/>
        <v/>
      </c>
      <c r="J36" s="6" t="str">
        <f t="shared" si="22"/>
        <v/>
      </c>
      <c r="K36" s="98" t="str">
        <f t="shared" si="23"/>
        <v/>
      </c>
      <c r="L36" s="98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7"/>
      <c r="N36" s="7"/>
      <c r="O36" s="100"/>
      <c r="P36" s="5"/>
    </row>
    <row r="37" spans="1:16" ht="18.75" customHeight="1" x14ac:dyDescent="0.25">
      <c r="A37" s="112" t="s">
        <v>181</v>
      </c>
      <c r="B37" s="4"/>
      <c r="C37" s="4"/>
      <c r="D37" s="6"/>
      <c r="E37" s="6"/>
      <c r="F37" s="97" t="str">
        <f t="shared" si="18"/>
        <v/>
      </c>
      <c r="G37" s="6" t="str">
        <f t="shared" si="19"/>
        <v/>
      </c>
      <c r="H37" s="6" t="str">
        <f t="shared" si="20"/>
        <v/>
      </c>
      <c r="I37" s="97" t="str">
        <f t="shared" si="21"/>
        <v/>
      </c>
      <c r="J37" s="6" t="str">
        <f t="shared" si="22"/>
        <v/>
      </c>
      <c r="K37" s="98" t="str">
        <f t="shared" si="23"/>
        <v/>
      </c>
      <c r="L37" s="98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7"/>
      <c r="N37" s="7"/>
      <c r="O37" s="100"/>
      <c r="P37" s="5"/>
    </row>
    <row r="38" spans="1:16" ht="18.75" customHeight="1" x14ac:dyDescent="0.25">
      <c r="A38" s="113" t="s">
        <v>233</v>
      </c>
      <c r="B38" s="4" t="s">
        <v>42</v>
      </c>
      <c r="C38" s="4" t="s">
        <v>39</v>
      </c>
      <c r="D38" s="6">
        <v>72</v>
      </c>
      <c r="E38" s="6">
        <v>7</v>
      </c>
      <c r="F38" s="97" t="str">
        <f t="shared" si="18"/>
        <v>Alta</v>
      </c>
      <c r="G38" s="6" t="str">
        <f t="shared" si="19"/>
        <v>ALIH</v>
      </c>
      <c r="H38" s="6">
        <f t="shared" si="20"/>
        <v>15</v>
      </c>
      <c r="I38" s="97" t="str">
        <f t="shared" si="21"/>
        <v>H</v>
      </c>
      <c r="J38" s="6" t="str">
        <f t="shared" si="22"/>
        <v>ALII</v>
      </c>
      <c r="K38" s="98">
        <f t="shared" si="23"/>
        <v>15</v>
      </c>
      <c r="L38" s="98">
        <f>IF(NOT(ISERROR(VLOOKUP(B38,Deflatores!G$42:H$64,2,FALSE))),VLOOKUP(B38,Deflatores!G$42:H$64,2,FALSE),IF(OR(ISBLANK(C38),ISBLANK(B38)),"",VLOOKUP(C38,Deflatores!G$4:H$38,2,FALSE)*H38+VLOOKUP(C38,Deflatores!G$4:I$38,3,FALSE)))</f>
        <v>15</v>
      </c>
      <c r="M38" s="7"/>
      <c r="N38" s="7"/>
      <c r="O38" s="100"/>
      <c r="P38" s="5"/>
    </row>
    <row r="39" spans="1:16" x14ac:dyDescent="0.25">
      <c r="A39" s="113" t="s">
        <v>226</v>
      </c>
      <c r="B39" s="4" t="s">
        <v>43</v>
      </c>
      <c r="C39" s="4" t="s">
        <v>39</v>
      </c>
      <c r="D39" s="6">
        <v>32</v>
      </c>
      <c r="E39" s="6">
        <v>3</v>
      </c>
      <c r="F39" s="97" t="str">
        <f t="shared" ref="F39:F43" si="30">IF(ISBLANK(B39),"",IF(I39="L","Baixa",IF(I39="A","Média",IF(I39="","","Alta"))))</f>
        <v>Alta</v>
      </c>
      <c r="G39" s="6" t="str">
        <f t="shared" ref="G39:G43" si="31">CONCATENATE(B39,I39)</f>
        <v>EEH</v>
      </c>
      <c r="H39" s="6">
        <f t="shared" ref="H39:H43" si="32">IF(ISBLANK(B39),"",IF(B39="ALI",IF(I39="L",7,IF(I39="A",10,15)),IF(B39="AIE",IF(I39="L",5,IF(I39="A",7,10)),IF(B39="SE",IF(I39="L",4,IF(I39="A",5,7)),IF(OR(B39="EE",B39="CE"),IF(I39="L",3,IF(I39="A",4,6)),0)))))</f>
        <v>6</v>
      </c>
      <c r="I39" s="97" t="str">
        <f t="shared" ref="I39:I43" si="33"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>H</v>
      </c>
      <c r="J39" s="6" t="str">
        <f t="shared" ref="J39:J43" si="34">CONCATENATE(B39,C39)</f>
        <v>EEI</v>
      </c>
      <c r="K39" s="98">
        <f t="shared" ref="K39:K43" si="35">IF(OR(H39="",H39=0),L39,H39)</f>
        <v>6</v>
      </c>
      <c r="L39" s="98">
        <f>IF(NOT(ISERROR(VLOOKUP(B39,Deflatores!G$42:H$64,2,FALSE))),VLOOKUP(B39,Deflatores!G$42:H$64,2,FALSE),IF(OR(ISBLANK(C39),ISBLANK(B39)),"",VLOOKUP(C39,Deflatores!G$4:H$38,2,FALSE)*H39+VLOOKUP(C39,Deflatores!G$4:I$38,3,FALSE)))</f>
        <v>6</v>
      </c>
      <c r="M39" s="7"/>
      <c r="N39" s="7"/>
      <c r="O39" s="100"/>
      <c r="P39" s="5"/>
    </row>
    <row r="40" spans="1:16" x14ac:dyDescent="0.25">
      <c r="A40" s="113"/>
      <c r="B40" s="4"/>
      <c r="C40" s="4"/>
      <c r="D40" s="6"/>
      <c r="E40" s="6"/>
      <c r="F40" s="97" t="str">
        <f t="shared" si="30"/>
        <v/>
      </c>
      <c r="G40" s="6" t="str">
        <f t="shared" si="31"/>
        <v/>
      </c>
      <c r="H40" s="6" t="str">
        <f t="shared" si="32"/>
        <v/>
      </c>
      <c r="I40" s="97" t="str">
        <f t="shared" si="33"/>
        <v/>
      </c>
      <c r="J40" s="6" t="str">
        <f t="shared" si="34"/>
        <v/>
      </c>
      <c r="K40" s="98" t="str">
        <f t="shared" si="35"/>
        <v/>
      </c>
      <c r="L40" s="98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7"/>
      <c r="N40" s="7"/>
      <c r="O40" s="100"/>
      <c r="P40" s="5"/>
    </row>
    <row r="41" spans="1:16" x14ac:dyDescent="0.25">
      <c r="A41" s="112" t="s">
        <v>182</v>
      </c>
      <c r="B41" s="4"/>
      <c r="C41" s="4"/>
      <c r="D41" s="6"/>
      <c r="E41" s="6"/>
      <c r="F41" s="97" t="str">
        <f t="shared" si="30"/>
        <v/>
      </c>
      <c r="G41" s="6" t="str">
        <f t="shared" si="31"/>
        <v/>
      </c>
      <c r="H41" s="6" t="str">
        <f t="shared" si="32"/>
        <v/>
      </c>
      <c r="I41" s="97" t="str">
        <f t="shared" si="33"/>
        <v/>
      </c>
      <c r="J41" s="6" t="str">
        <f t="shared" si="34"/>
        <v/>
      </c>
      <c r="K41" s="98" t="str">
        <f t="shared" si="35"/>
        <v/>
      </c>
      <c r="L41" s="98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7"/>
      <c r="N41" s="7"/>
      <c r="O41" s="100"/>
      <c r="P41" s="5"/>
    </row>
    <row r="42" spans="1:16" x14ac:dyDescent="0.25">
      <c r="A42" s="113" t="s">
        <v>227</v>
      </c>
      <c r="B42" s="4" t="s">
        <v>41</v>
      </c>
      <c r="C42" s="4" t="s">
        <v>39</v>
      </c>
      <c r="D42" s="6">
        <v>9</v>
      </c>
      <c r="E42" s="6">
        <v>4</v>
      </c>
      <c r="F42" s="97" t="str">
        <f t="shared" si="30"/>
        <v>Alta</v>
      </c>
      <c r="G42" s="6" t="str">
        <f t="shared" si="31"/>
        <v>CEH</v>
      </c>
      <c r="H42" s="6">
        <f t="shared" si="32"/>
        <v>6</v>
      </c>
      <c r="I42" s="97" t="str">
        <f t="shared" si="33"/>
        <v>H</v>
      </c>
      <c r="J42" s="6" t="str">
        <f t="shared" si="34"/>
        <v>CEI</v>
      </c>
      <c r="K42" s="98">
        <f t="shared" si="35"/>
        <v>6</v>
      </c>
      <c r="L42" s="98">
        <f>IF(NOT(ISERROR(VLOOKUP(B42,Deflatores!G$42:H$64,2,FALSE))),VLOOKUP(B42,Deflatores!G$42:H$64,2,FALSE),IF(OR(ISBLANK(C42),ISBLANK(B42)),"",VLOOKUP(C42,Deflatores!G$4:H$38,2,FALSE)*H42+VLOOKUP(C42,Deflatores!G$4:I$38,3,FALSE)))</f>
        <v>6</v>
      </c>
      <c r="M42" s="7"/>
      <c r="N42" s="7"/>
      <c r="O42" s="100"/>
      <c r="P42" s="5"/>
    </row>
    <row r="43" spans="1:16" x14ac:dyDescent="0.25">
      <c r="A43" s="114"/>
      <c r="B43" s="4"/>
      <c r="C43" s="4"/>
      <c r="D43" s="6"/>
      <c r="E43" s="6"/>
      <c r="F43" s="97" t="str">
        <f t="shared" si="30"/>
        <v/>
      </c>
      <c r="G43" s="6" t="str">
        <f t="shared" si="31"/>
        <v/>
      </c>
      <c r="H43" s="6" t="str">
        <f t="shared" si="32"/>
        <v/>
      </c>
      <c r="I43" s="97" t="str">
        <f t="shared" si="33"/>
        <v/>
      </c>
      <c r="J43" s="6" t="str">
        <f t="shared" si="34"/>
        <v/>
      </c>
      <c r="K43" s="98" t="str">
        <f t="shared" si="35"/>
        <v/>
      </c>
      <c r="L43" s="98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7"/>
      <c r="N43" s="7"/>
      <c r="O43" s="100"/>
      <c r="P43" s="5"/>
    </row>
    <row r="44" spans="1:16" x14ac:dyDescent="0.25">
      <c r="A44" s="112" t="s">
        <v>183</v>
      </c>
      <c r="B44" s="4"/>
      <c r="C44" s="4"/>
      <c r="D44" s="6"/>
      <c r="E44" s="6"/>
      <c r="F44" s="97" t="str">
        <f t="shared" si="12"/>
        <v/>
      </c>
      <c r="G44" s="6" t="str">
        <f t="shared" si="13"/>
        <v/>
      </c>
      <c r="H44" s="6" t="str">
        <f t="shared" si="14"/>
        <v/>
      </c>
      <c r="I44" s="97" t="str">
        <f t="shared" si="15"/>
        <v/>
      </c>
      <c r="J44" s="6" t="str">
        <f t="shared" si="16"/>
        <v/>
      </c>
      <c r="K44" s="98" t="str">
        <f t="shared" si="17"/>
        <v/>
      </c>
      <c r="L44" s="98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7"/>
      <c r="N44" s="7"/>
      <c r="O44" s="100"/>
      <c r="P44" s="5"/>
    </row>
    <row r="45" spans="1:16" x14ac:dyDescent="0.25">
      <c r="A45" s="113" t="s">
        <v>228</v>
      </c>
      <c r="B45" s="4" t="s">
        <v>41</v>
      </c>
      <c r="C45" s="4" t="s">
        <v>39</v>
      </c>
      <c r="D45" s="6">
        <v>16</v>
      </c>
      <c r="E45" s="6">
        <v>4</v>
      </c>
      <c r="F45" s="97" t="str">
        <f t="shared" si="12"/>
        <v>Alta</v>
      </c>
      <c r="G45" s="6" t="str">
        <f t="shared" si="13"/>
        <v>CEH</v>
      </c>
      <c r="H45" s="6">
        <f t="shared" si="14"/>
        <v>6</v>
      </c>
      <c r="I45" s="97" t="str">
        <f t="shared" si="15"/>
        <v>H</v>
      </c>
      <c r="J45" s="6" t="str">
        <f t="shared" si="16"/>
        <v>CEI</v>
      </c>
      <c r="K45" s="98">
        <f t="shared" si="17"/>
        <v>6</v>
      </c>
      <c r="L45" s="98">
        <f>IF(NOT(ISERROR(VLOOKUP(B45,Deflatores!G$42:H$64,2,FALSE))),VLOOKUP(B45,Deflatores!G$42:H$64,2,FALSE),IF(OR(ISBLANK(C45),ISBLANK(B45)),"",VLOOKUP(C45,Deflatores!G$4:H$38,2,FALSE)*H45+VLOOKUP(C45,Deflatores!G$4:I$38,3,FALSE)))</f>
        <v>6</v>
      </c>
      <c r="M45" s="7"/>
      <c r="N45" s="7"/>
      <c r="O45" s="100"/>
      <c r="P45" s="5"/>
    </row>
    <row r="46" spans="1:16" x14ac:dyDescent="0.25">
      <c r="A46" s="113" t="s">
        <v>229</v>
      </c>
      <c r="B46" s="4" t="s">
        <v>41</v>
      </c>
      <c r="C46" s="4" t="s">
        <v>39</v>
      </c>
      <c r="D46" s="6">
        <v>16</v>
      </c>
      <c r="E46" s="6">
        <v>4</v>
      </c>
      <c r="F46" s="97" t="str">
        <f t="shared" si="12"/>
        <v>Alta</v>
      </c>
      <c r="G46" s="6" t="str">
        <f t="shared" si="13"/>
        <v>CEH</v>
      </c>
      <c r="H46" s="6">
        <f t="shared" si="14"/>
        <v>6</v>
      </c>
      <c r="I46" s="97" t="str">
        <f t="shared" si="15"/>
        <v>H</v>
      </c>
      <c r="J46" s="6" t="str">
        <f t="shared" si="16"/>
        <v>CEI</v>
      </c>
      <c r="K46" s="98">
        <f t="shared" si="17"/>
        <v>6</v>
      </c>
      <c r="L46" s="98">
        <f>IF(NOT(ISERROR(VLOOKUP(B46,Deflatores!G$42:H$64,2,FALSE))),VLOOKUP(B46,Deflatores!G$42:H$64,2,FALSE),IF(OR(ISBLANK(C46),ISBLANK(B46)),"",VLOOKUP(C46,Deflatores!G$4:H$38,2,FALSE)*H46+VLOOKUP(C46,Deflatores!G$4:I$38,3,FALSE)))</f>
        <v>6</v>
      </c>
      <c r="M46" s="7"/>
      <c r="N46" s="7"/>
      <c r="O46" s="100"/>
      <c r="P46" s="5"/>
    </row>
    <row r="47" spans="1:16" x14ac:dyDescent="0.25">
      <c r="A47" s="113" t="s">
        <v>230</v>
      </c>
      <c r="B47" s="4" t="s">
        <v>43</v>
      </c>
      <c r="C47" s="4" t="s">
        <v>39</v>
      </c>
      <c r="D47" s="6">
        <v>18</v>
      </c>
      <c r="E47" s="6">
        <v>3</v>
      </c>
      <c r="F47" s="97" t="str">
        <f t="shared" si="12"/>
        <v>Alta</v>
      </c>
      <c r="G47" s="6" t="str">
        <f t="shared" si="13"/>
        <v>EEH</v>
      </c>
      <c r="H47" s="6">
        <f t="shared" si="14"/>
        <v>6</v>
      </c>
      <c r="I47" s="97" t="str">
        <f t="shared" si="15"/>
        <v>H</v>
      </c>
      <c r="J47" s="6" t="str">
        <f t="shared" si="16"/>
        <v>EEI</v>
      </c>
      <c r="K47" s="98">
        <f t="shared" si="17"/>
        <v>6</v>
      </c>
      <c r="L47" s="98">
        <f>IF(NOT(ISERROR(VLOOKUP(B47,Deflatores!G$42:H$64,2,FALSE))),VLOOKUP(B47,Deflatores!G$42:H$64,2,FALSE),IF(OR(ISBLANK(C47),ISBLANK(B47)),"",VLOOKUP(C47,Deflatores!G$4:H$38,2,FALSE)*H47+VLOOKUP(C47,Deflatores!G$4:I$38,3,FALSE)))</f>
        <v>6</v>
      </c>
      <c r="M47" s="7"/>
      <c r="N47" s="7"/>
      <c r="O47" s="100"/>
      <c r="P47" s="5"/>
    </row>
    <row r="48" spans="1:16" x14ac:dyDescent="0.25">
      <c r="A48" s="113" t="s">
        <v>231</v>
      </c>
      <c r="B48" s="4" t="s">
        <v>43</v>
      </c>
      <c r="C48" s="4" t="s">
        <v>39</v>
      </c>
      <c r="D48" s="6">
        <v>19</v>
      </c>
      <c r="E48" s="6">
        <v>3</v>
      </c>
      <c r="F48" s="97" t="str">
        <f t="shared" si="12"/>
        <v>Alta</v>
      </c>
      <c r="G48" s="6" t="str">
        <f t="shared" si="13"/>
        <v>EEH</v>
      </c>
      <c r="H48" s="6">
        <f t="shared" si="14"/>
        <v>6</v>
      </c>
      <c r="I48" s="97" t="str">
        <f t="shared" si="15"/>
        <v>H</v>
      </c>
      <c r="J48" s="6" t="str">
        <f t="shared" si="16"/>
        <v>EEI</v>
      </c>
      <c r="K48" s="98">
        <f t="shared" si="17"/>
        <v>6</v>
      </c>
      <c r="L48" s="98">
        <f>IF(NOT(ISERROR(VLOOKUP(B48,Deflatores!G$42:H$64,2,FALSE))),VLOOKUP(B48,Deflatores!G$42:H$64,2,FALSE),IF(OR(ISBLANK(C48),ISBLANK(B48)),"",VLOOKUP(C48,Deflatores!G$4:H$38,2,FALSE)*H48+VLOOKUP(C48,Deflatores!G$4:I$38,3,FALSE)))</f>
        <v>6</v>
      </c>
      <c r="M48" s="7"/>
      <c r="N48" s="7"/>
      <c r="O48" s="100"/>
      <c r="P48" s="5"/>
    </row>
    <row r="49" spans="1:16" x14ac:dyDescent="0.25">
      <c r="A49" s="113" t="s">
        <v>232</v>
      </c>
      <c r="B49" s="4" t="s">
        <v>41</v>
      </c>
      <c r="C49" s="4" t="s">
        <v>39</v>
      </c>
      <c r="D49" s="6">
        <v>17</v>
      </c>
      <c r="E49" s="6">
        <v>6</v>
      </c>
      <c r="F49" s="97" t="str">
        <f t="shared" ref="F49:F87" si="36">IF(ISBLANK(B49),"",IF(I49="L","Baixa",IF(I49="A","Média",IF(I49="","","Alta"))))</f>
        <v>Alta</v>
      </c>
      <c r="G49" s="6" t="str">
        <f t="shared" ref="G49:G87" si="37">CONCATENATE(B49,I49)</f>
        <v>CEH</v>
      </c>
      <c r="H49" s="6">
        <f t="shared" ref="H49:H87" si="38">IF(ISBLANK(B49),"",IF(B49="ALI",IF(I49="L",7,IF(I49="A",10,15)),IF(B49="AIE",IF(I49="L",5,IF(I49="A",7,10)),IF(B49="SE",IF(I49="L",4,IF(I49="A",5,7)),IF(OR(B49="EE",B49="CE"),IF(I49="L",3,IF(I49="A",4,6)),0)))))</f>
        <v>6</v>
      </c>
      <c r="I49" s="97" t="str">
        <f t="shared" ref="I49:I87" si="39">IF(OR(ISBLANK(D49),ISBLANK(E49)),IF(OR(B49="ALI",B49="AIE"),"L",IF(OR(B49="EE",B49="SE",B49="CE"),"A","")),IF(B49="EE",IF(E49&gt;=3,IF(D49&gt;=5,"H","A"),IF(E49&gt;=2,IF(D49&gt;=16,"H",IF(D49&lt;=4,"L","A")),IF(D49&lt;=15,"L","A"))),IF(OR(B49="SE",B49="CE"),IF(E49&gt;=4,IF(D49&gt;=6,"H","A"),IF(E49&gt;=2,IF(D49&gt;=20,"H",IF(D49&lt;=5,"L","A")),IF(D49&lt;=19,"L","A"))),IF(OR(B49="ALI",B49="AIE"),IF(E49&gt;=6,IF(D49&gt;=20,"H","A"),IF(E49&gt;=2,IF(D49&gt;=51,"H",IF(D49&lt;=19,"L","A")),IF(D49&lt;=50,"L","A"))),""))))</f>
        <v>H</v>
      </c>
      <c r="J49" s="6" t="str">
        <f t="shared" ref="J49:J87" si="40">CONCATENATE(B49,C49)</f>
        <v>CEI</v>
      </c>
      <c r="K49" s="98">
        <f t="shared" ref="K49:K87" si="41">IF(OR(H49="",H49=0),L49,H49)</f>
        <v>6</v>
      </c>
      <c r="L49" s="98">
        <f>IF(NOT(ISERROR(VLOOKUP(B49,Deflatores!G$42:H$64,2,FALSE))),VLOOKUP(B49,Deflatores!G$42:H$64,2,FALSE),IF(OR(ISBLANK(C49),ISBLANK(B49)),"",VLOOKUP(C49,Deflatores!G$4:H$38,2,FALSE)*H49+VLOOKUP(C49,Deflatores!G$4:I$38,3,FALSE)))</f>
        <v>6</v>
      </c>
      <c r="M49" s="7"/>
      <c r="N49" s="7"/>
      <c r="O49" s="100"/>
      <c r="P49" s="5"/>
    </row>
    <row r="50" spans="1:16" x14ac:dyDescent="0.25">
      <c r="A50" s="109"/>
      <c r="B50" s="4"/>
      <c r="C50" s="4"/>
      <c r="D50" s="6"/>
      <c r="E50" s="6"/>
      <c r="F50" s="97" t="str">
        <f t="shared" si="36"/>
        <v/>
      </c>
      <c r="G50" s="6" t="str">
        <f t="shared" si="37"/>
        <v/>
      </c>
      <c r="H50" s="6" t="str">
        <f t="shared" si="38"/>
        <v/>
      </c>
      <c r="I50" s="97" t="str">
        <f t="shared" si="39"/>
        <v/>
      </c>
      <c r="J50" s="6" t="str">
        <f t="shared" si="40"/>
        <v/>
      </c>
      <c r="K50" s="98" t="str">
        <f t="shared" si="41"/>
        <v/>
      </c>
      <c r="L50" s="98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7"/>
      <c r="N50" s="7"/>
      <c r="O50" s="100"/>
      <c r="P50" s="5"/>
    </row>
    <row r="51" spans="1:16" x14ac:dyDescent="0.25">
      <c r="A51" s="112" t="s">
        <v>184</v>
      </c>
      <c r="B51" s="4"/>
      <c r="C51" s="4"/>
      <c r="D51" s="6"/>
      <c r="E51" s="6"/>
      <c r="F51" s="97" t="str">
        <f t="shared" si="36"/>
        <v/>
      </c>
      <c r="G51" s="6" t="str">
        <f t="shared" si="37"/>
        <v/>
      </c>
      <c r="H51" s="6" t="str">
        <f t="shared" si="38"/>
        <v/>
      </c>
      <c r="I51" s="97" t="str">
        <f t="shared" si="39"/>
        <v/>
      </c>
      <c r="J51" s="6" t="str">
        <f t="shared" si="40"/>
        <v/>
      </c>
      <c r="K51" s="98" t="str">
        <f t="shared" si="41"/>
        <v/>
      </c>
      <c r="L51" s="98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7"/>
      <c r="N51" s="7"/>
      <c r="O51" s="100"/>
      <c r="P51" s="5"/>
    </row>
    <row r="52" spans="1:16" x14ac:dyDescent="0.25">
      <c r="A52" s="113" t="s">
        <v>299</v>
      </c>
      <c r="B52" s="4" t="s">
        <v>41</v>
      </c>
      <c r="C52" s="4" t="s">
        <v>39</v>
      </c>
      <c r="D52" s="6">
        <v>27</v>
      </c>
      <c r="E52" s="6">
        <v>7</v>
      </c>
      <c r="F52" s="97" t="str">
        <f t="shared" si="36"/>
        <v>Alta</v>
      </c>
      <c r="G52" s="6" t="str">
        <f t="shared" si="37"/>
        <v>CEH</v>
      </c>
      <c r="H52" s="6">
        <f t="shared" si="38"/>
        <v>6</v>
      </c>
      <c r="I52" s="97" t="str">
        <f t="shared" si="39"/>
        <v>H</v>
      </c>
      <c r="J52" s="6" t="str">
        <f t="shared" si="40"/>
        <v>CEI</v>
      </c>
      <c r="K52" s="98">
        <f t="shared" si="41"/>
        <v>6</v>
      </c>
      <c r="L52" s="98">
        <f>IF(NOT(ISERROR(VLOOKUP(B52,Deflatores!G$42:H$64,2,FALSE))),VLOOKUP(B52,Deflatores!G$42:H$64,2,FALSE),IF(OR(ISBLANK(C52),ISBLANK(B52)),"",VLOOKUP(C52,Deflatores!G$4:H$38,2,FALSE)*H52+VLOOKUP(C52,Deflatores!G$4:I$38,3,FALSE)))</f>
        <v>6</v>
      </c>
      <c r="M52" s="7"/>
      <c r="N52" s="7"/>
      <c r="O52" s="100"/>
      <c r="P52" s="5"/>
    </row>
    <row r="53" spans="1:16" x14ac:dyDescent="0.25">
      <c r="A53" s="113" t="s">
        <v>300</v>
      </c>
      <c r="B53" s="4" t="s">
        <v>41</v>
      </c>
      <c r="C53" s="4" t="s">
        <v>39</v>
      </c>
      <c r="D53" s="6">
        <v>22</v>
      </c>
      <c r="E53" s="6">
        <v>3</v>
      </c>
      <c r="F53" s="97" t="str">
        <f t="shared" si="36"/>
        <v>Alta</v>
      </c>
      <c r="G53" s="6" t="str">
        <f t="shared" si="37"/>
        <v>CEH</v>
      </c>
      <c r="H53" s="6">
        <f t="shared" si="38"/>
        <v>6</v>
      </c>
      <c r="I53" s="97" t="str">
        <f t="shared" si="39"/>
        <v>H</v>
      </c>
      <c r="J53" s="6" t="str">
        <f t="shared" si="40"/>
        <v>CEI</v>
      </c>
      <c r="K53" s="98">
        <f t="shared" si="41"/>
        <v>6</v>
      </c>
      <c r="L53" s="98">
        <f>IF(NOT(ISERROR(VLOOKUP(B53,Deflatores!G$42:H$64,2,FALSE))),VLOOKUP(B53,Deflatores!G$42:H$64,2,FALSE),IF(OR(ISBLANK(C53),ISBLANK(B53)),"",VLOOKUP(C53,Deflatores!G$4:H$38,2,FALSE)*H53+VLOOKUP(C53,Deflatores!G$4:I$38,3,FALSE)))</f>
        <v>6</v>
      </c>
      <c r="M53" s="7"/>
      <c r="N53" s="7"/>
      <c r="O53" s="100"/>
      <c r="P53" s="5"/>
    </row>
    <row r="54" spans="1:16" x14ac:dyDescent="0.25">
      <c r="A54" s="113" t="s">
        <v>301</v>
      </c>
      <c r="B54" s="4" t="s">
        <v>41</v>
      </c>
      <c r="C54" s="4" t="s">
        <v>39</v>
      </c>
      <c r="D54" s="6">
        <v>22</v>
      </c>
      <c r="E54" s="6">
        <v>3</v>
      </c>
      <c r="F54" s="97" t="str">
        <f t="shared" si="36"/>
        <v>Alta</v>
      </c>
      <c r="G54" s="6" t="str">
        <f t="shared" si="37"/>
        <v>CEH</v>
      </c>
      <c r="H54" s="6">
        <f t="shared" si="38"/>
        <v>6</v>
      </c>
      <c r="I54" s="97" t="str">
        <f t="shared" si="39"/>
        <v>H</v>
      </c>
      <c r="J54" s="6" t="str">
        <f t="shared" si="40"/>
        <v>CEI</v>
      </c>
      <c r="K54" s="98">
        <f t="shared" si="41"/>
        <v>6</v>
      </c>
      <c r="L54" s="98">
        <f>IF(NOT(ISERROR(VLOOKUP(B54,Deflatores!G$42:H$64,2,FALSE))),VLOOKUP(B54,Deflatores!G$42:H$64,2,FALSE),IF(OR(ISBLANK(C54),ISBLANK(B54)),"",VLOOKUP(C54,Deflatores!G$4:H$38,2,FALSE)*H54+VLOOKUP(C54,Deflatores!G$4:I$38,3,FALSE)))</f>
        <v>6</v>
      </c>
      <c r="M54" s="7"/>
      <c r="N54" s="7"/>
      <c r="O54" s="100"/>
      <c r="P54" s="5"/>
    </row>
    <row r="55" spans="1:16" x14ac:dyDescent="0.25">
      <c r="A55" s="113" t="s">
        <v>302</v>
      </c>
      <c r="B55" s="4" t="s">
        <v>41</v>
      </c>
      <c r="C55" s="4" t="s">
        <v>39</v>
      </c>
      <c r="D55" s="6">
        <v>7</v>
      </c>
      <c r="E55" s="6">
        <v>1</v>
      </c>
      <c r="F55" s="97" t="str">
        <f t="shared" si="36"/>
        <v>Baixa</v>
      </c>
      <c r="G55" s="6" t="str">
        <f t="shared" si="37"/>
        <v>CEL</v>
      </c>
      <c r="H55" s="6">
        <f t="shared" si="38"/>
        <v>3</v>
      </c>
      <c r="I55" s="97" t="str">
        <f t="shared" si="39"/>
        <v>L</v>
      </c>
      <c r="J55" s="6" t="str">
        <f t="shared" si="40"/>
        <v>CEI</v>
      </c>
      <c r="K55" s="98">
        <f t="shared" si="41"/>
        <v>3</v>
      </c>
      <c r="L55" s="98">
        <f>IF(NOT(ISERROR(VLOOKUP(B55,Deflatores!G$42:H$64,2,FALSE))),VLOOKUP(B55,Deflatores!G$42:H$64,2,FALSE),IF(OR(ISBLANK(C55),ISBLANK(B55)),"",VLOOKUP(C55,Deflatores!G$4:H$38,2,FALSE)*H55+VLOOKUP(C55,Deflatores!G$4:I$38,3,FALSE)))</f>
        <v>3</v>
      </c>
      <c r="M55" s="7"/>
      <c r="N55" s="7"/>
      <c r="O55" s="100"/>
      <c r="P55" s="5"/>
    </row>
    <row r="56" spans="1:16" x14ac:dyDescent="0.25">
      <c r="A56" s="113"/>
      <c r="B56" s="4"/>
      <c r="C56" s="4"/>
      <c r="D56" s="6"/>
      <c r="E56" s="6"/>
      <c r="F56" s="97" t="str">
        <f t="shared" si="36"/>
        <v/>
      </c>
      <c r="G56" s="6" t="str">
        <f t="shared" si="37"/>
        <v/>
      </c>
      <c r="H56" s="6" t="str">
        <f t="shared" si="38"/>
        <v/>
      </c>
      <c r="I56" s="97" t="str">
        <f t="shared" si="39"/>
        <v/>
      </c>
      <c r="J56" s="6" t="str">
        <f t="shared" si="40"/>
        <v/>
      </c>
      <c r="K56" s="98" t="str">
        <f t="shared" si="41"/>
        <v/>
      </c>
      <c r="L56" s="98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7"/>
      <c r="N56" s="7"/>
      <c r="O56" s="100"/>
      <c r="P56" s="5"/>
    </row>
    <row r="57" spans="1:16" x14ac:dyDescent="0.25">
      <c r="A57" s="112" t="s">
        <v>185</v>
      </c>
      <c r="B57" s="4"/>
      <c r="C57" s="4"/>
      <c r="D57" s="6"/>
      <c r="E57" s="6"/>
      <c r="F57" s="97" t="str">
        <f t="shared" si="36"/>
        <v/>
      </c>
      <c r="G57" s="6" t="str">
        <f t="shared" si="37"/>
        <v/>
      </c>
      <c r="H57" s="6" t="str">
        <f t="shared" si="38"/>
        <v/>
      </c>
      <c r="I57" s="97" t="str">
        <f t="shared" si="39"/>
        <v/>
      </c>
      <c r="J57" s="6" t="str">
        <f t="shared" si="40"/>
        <v/>
      </c>
      <c r="K57" s="98" t="str">
        <f t="shared" si="41"/>
        <v/>
      </c>
      <c r="L57" s="98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7"/>
      <c r="N57" s="7"/>
      <c r="O57" s="100"/>
      <c r="P57" s="5"/>
    </row>
    <row r="58" spans="1:16" x14ac:dyDescent="0.25">
      <c r="A58" s="109" t="s">
        <v>235</v>
      </c>
      <c r="B58" s="4" t="s">
        <v>43</v>
      </c>
      <c r="C58" s="4" t="s">
        <v>39</v>
      </c>
      <c r="D58" s="6">
        <v>21</v>
      </c>
      <c r="E58" s="6">
        <v>3</v>
      </c>
      <c r="F58" s="97" t="str">
        <f t="shared" si="36"/>
        <v>Alta</v>
      </c>
      <c r="G58" s="6" t="str">
        <f t="shared" si="37"/>
        <v>EEH</v>
      </c>
      <c r="H58" s="6">
        <f t="shared" si="38"/>
        <v>6</v>
      </c>
      <c r="I58" s="97" t="str">
        <f t="shared" si="39"/>
        <v>H</v>
      </c>
      <c r="J58" s="6" t="str">
        <f t="shared" si="40"/>
        <v>EEI</v>
      </c>
      <c r="K58" s="98">
        <f t="shared" si="41"/>
        <v>6</v>
      </c>
      <c r="L58" s="98">
        <f>IF(NOT(ISERROR(VLOOKUP(B58,Deflatores!G$42:H$64,2,FALSE))),VLOOKUP(B58,Deflatores!G$42:H$64,2,FALSE),IF(OR(ISBLANK(C58),ISBLANK(B58)),"",VLOOKUP(C58,Deflatores!G$4:H$38,2,FALSE)*H58+VLOOKUP(C58,Deflatores!G$4:I$38,3,FALSE)))</f>
        <v>6</v>
      </c>
      <c r="M58" s="7"/>
      <c r="N58" s="7"/>
      <c r="O58" s="100"/>
      <c r="P58" s="5"/>
    </row>
    <row r="59" spans="1:16" x14ac:dyDescent="0.25">
      <c r="A59" s="113" t="s">
        <v>236</v>
      </c>
      <c r="B59" s="4" t="s">
        <v>43</v>
      </c>
      <c r="C59" s="4" t="s">
        <v>39</v>
      </c>
      <c r="D59" s="6">
        <v>21</v>
      </c>
      <c r="E59" s="6">
        <v>3</v>
      </c>
      <c r="F59" s="97" t="str">
        <f t="shared" si="36"/>
        <v>Alta</v>
      </c>
      <c r="G59" s="6" t="str">
        <f t="shared" si="37"/>
        <v>EEH</v>
      </c>
      <c r="H59" s="6">
        <f t="shared" si="38"/>
        <v>6</v>
      </c>
      <c r="I59" s="97" t="str">
        <f t="shared" si="39"/>
        <v>H</v>
      </c>
      <c r="J59" s="6" t="str">
        <f t="shared" si="40"/>
        <v>EEI</v>
      </c>
      <c r="K59" s="98">
        <f t="shared" si="41"/>
        <v>6</v>
      </c>
      <c r="L59" s="98">
        <f>IF(NOT(ISERROR(VLOOKUP(B59,Deflatores!G$42:H$64,2,FALSE))),VLOOKUP(B59,Deflatores!G$42:H$64,2,FALSE),IF(OR(ISBLANK(C59),ISBLANK(B59)),"",VLOOKUP(C59,Deflatores!G$4:H$38,2,FALSE)*H59+VLOOKUP(C59,Deflatores!G$4:I$38,3,FALSE)))</f>
        <v>6</v>
      </c>
      <c r="M59" s="7"/>
      <c r="N59" s="7"/>
      <c r="O59" s="100"/>
      <c r="P59" s="5"/>
    </row>
    <row r="60" spans="1:16" x14ac:dyDescent="0.25">
      <c r="A60" s="114" t="s">
        <v>178</v>
      </c>
      <c r="B60" s="4" t="s">
        <v>41</v>
      </c>
      <c r="C60" s="4" t="s">
        <v>39</v>
      </c>
      <c r="D60" s="6">
        <v>8</v>
      </c>
      <c r="E60" s="6">
        <v>2</v>
      </c>
      <c r="F60" s="97" t="str">
        <f t="shared" si="36"/>
        <v>Média</v>
      </c>
      <c r="G60" s="6" t="str">
        <f t="shared" si="37"/>
        <v>CEA</v>
      </c>
      <c r="H60" s="6">
        <f t="shared" si="38"/>
        <v>4</v>
      </c>
      <c r="I60" s="97" t="str">
        <f t="shared" si="39"/>
        <v>A</v>
      </c>
      <c r="J60" s="6" t="str">
        <f t="shared" si="40"/>
        <v>CEI</v>
      </c>
      <c r="K60" s="98">
        <f t="shared" si="41"/>
        <v>4</v>
      </c>
      <c r="L60" s="98">
        <f>IF(NOT(ISERROR(VLOOKUP(B60,Deflatores!G$42:H$64,2,FALSE))),VLOOKUP(B60,Deflatores!G$42:H$64,2,FALSE),IF(OR(ISBLANK(C60),ISBLANK(B60)),"",VLOOKUP(C60,Deflatores!G$4:H$38,2,FALSE)*H60+VLOOKUP(C60,Deflatores!G$4:I$38,3,FALSE)))</f>
        <v>4</v>
      </c>
      <c r="M60" s="7"/>
      <c r="N60" s="7"/>
      <c r="O60" s="100"/>
      <c r="P60" s="5"/>
    </row>
    <row r="61" spans="1:16" x14ac:dyDescent="0.25">
      <c r="A61" s="113" t="s">
        <v>237</v>
      </c>
      <c r="B61" s="4" t="s">
        <v>43</v>
      </c>
      <c r="C61" s="4" t="s">
        <v>39</v>
      </c>
      <c r="D61" s="6">
        <v>27</v>
      </c>
      <c r="E61" s="6">
        <v>3</v>
      </c>
      <c r="F61" s="97" t="str">
        <f t="shared" si="36"/>
        <v>Alta</v>
      </c>
      <c r="G61" s="6" t="str">
        <f t="shared" si="37"/>
        <v>EEH</v>
      </c>
      <c r="H61" s="6">
        <f t="shared" si="38"/>
        <v>6</v>
      </c>
      <c r="I61" s="97" t="str">
        <f t="shared" si="39"/>
        <v>H</v>
      </c>
      <c r="J61" s="6" t="str">
        <f t="shared" si="40"/>
        <v>EEI</v>
      </c>
      <c r="K61" s="98">
        <f t="shared" si="41"/>
        <v>6</v>
      </c>
      <c r="L61" s="98">
        <f>IF(NOT(ISERROR(VLOOKUP(B61,Deflatores!G$42:H$64,2,FALSE))),VLOOKUP(B61,Deflatores!G$42:H$64,2,FALSE),IF(OR(ISBLANK(C61),ISBLANK(B61)),"",VLOOKUP(C61,Deflatores!G$4:H$38,2,FALSE)*H61+VLOOKUP(C61,Deflatores!G$4:I$38,3,FALSE)))</f>
        <v>6</v>
      </c>
      <c r="M61" s="7"/>
      <c r="N61" s="7"/>
      <c r="O61" s="100"/>
      <c r="P61" s="5"/>
    </row>
    <row r="62" spans="1:16" x14ac:dyDescent="0.25">
      <c r="A62" s="113" t="s">
        <v>234</v>
      </c>
      <c r="B62" s="4" t="s">
        <v>41</v>
      </c>
      <c r="C62" s="4" t="s">
        <v>39</v>
      </c>
      <c r="D62" s="6">
        <v>12</v>
      </c>
      <c r="E62" s="6">
        <v>5</v>
      </c>
      <c r="F62" s="97" t="str">
        <f t="shared" si="36"/>
        <v>Alta</v>
      </c>
      <c r="G62" s="6" t="str">
        <f t="shared" si="37"/>
        <v>CEH</v>
      </c>
      <c r="H62" s="6">
        <f t="shared" si="38"/>
        <v>6</v>
      </c>
      <c r="I62" s="97" t="str">
        <f t="shared" si="39"/>
        <v>H</v>
      </c>
      <c r="J62" s="6" t="str">
        <f t="shared" si="40"/>
        <v>CEI</v>
      </c>
      <c r="K62" s="98">
        <f t="shared" si="41"/>
        <v>6</v>
      </c>
      <c r="L62" s="98">
        <f>IF(NOT(ISERROR(VLOOKUP(B62,Deflatores!G$42:H$64,2,FALSE))),VLOOKUP(B62,Deflatores!G$42:H$64,2,FALSE),IF(OR(ISBLANK(C62),ISBLANK(B62)),"",VLOOKUP(C62,Deflatores!G$4:H$38,2,FALSE)*H62+VLOOKUP(C62,Deflatores!G$4:I$38,3,FALSE)))</f>
        <v>6</v>
      </c>
      <c r="M62" s="7"/>
      <c r="N62" s="7"/>
      <c r="O62" s="100"/>
      <c r="P62" s="5"/>
    </row>
    <row r="63" spans="1:16" x14ac:dyDescent="0.25">
      <c r="A63" s="113"/>
      <c r="B63" s="4"/>
      <c r="C63" s="4"/>
      <c r="D63" s="6"/>
      <c r="E63" s="6"/>
      <c r="F63" s="97" t="str">
        <f t="shared" si="36"/>
        <v/>
      </c>
      <c r="G63" s="6" t="str">
        <f t="shared" si="37"/>
        <v/>
      </c>
      <c r="H63" s="6" t="str">
        <f t="shared" si="38"/>
        <v/>
      </c>
      <c r="I63" s="97" t="str">
        <f t="shared" si="39"/>
        <v/>
      </c>
      <c r="J63" s="6" t="str">
        <f t="shared" si="40"/>
        <v/>
      </c>
      <c r="K63" s="98" t="str">
        <f t="shared" si="41"/>
        <v/>
      </c>
      <c r="L63" s="98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7"/>
      <c r="N63" s="7"/>
      <c r="O63" s="100"/>
      <c r="P63" s="5"/>
    </row>
    <row r="64" spans="1:16" x14ac:dyDescent="0.25">
      <c r="A64" s="110" t="s">
        <v>186</v>
      </c>
      <c r="B64" s="4"/>
      <c r="C64" s="4"/>
      <c r="D64" s="6"/>
      <c r="E64" s="6"/>
      <c r="F64" s="97" t="str">
        <f t="shared" si="36"/>
        <v/>
      </c>
      <c r="G64" s="6" t="str">
        <f t="shared" si="37"/>
        <v/>
      </c>
      <c r="H64" s="6" t="str">
        <f t="shared" si="38"/>
        <v/>
      </c>
      <c r="I64" s="97" t="str">
        <f t="shared" si="39"/>
        <v/>
      </c>
      <c r="J64" s="6" t="str">
        <f t="shared" si="40"/>
        <v/>
      </c>
      <c r="K64" s="98" t="str">
        <f t="shared" si="41"/>
        <v/>
      </c>
      <c r="L64" s="98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7"/>
      <c r="N64" s="7"/>
      <c r="O64" s="100"/>
      <c r="P64" s="5"/>
    </row>
    <row r="65" spans="1:16" x14ac:dyDescent="0.25">
      <c r="A65" s="109" t="s">
        <v>238</v>
      </c>
      <c r="B65" s="4" t="s">
        <v>43</v>
      </c>
      <c r="C65" s="4" t="s">
        <v>39</v>
      </c>
      <c r="D65" s="6">
        <v>21</v>
      </c>
      <c r="E65" s="6">
        <v>3</v>
      </c>
      <c r="F65" s="97" t="str">
        <f t="shared" si="36"/>
        <v>Alta</v>
      </c>
      <c r="G65" s="6" t="str">
        <f t="shared" si="37"/>
        <v>EEH</v>
      </c>
      <c r="H65" s="6">
        <f t="shared" si="38"/>
        <v>6</v>
      </c>
      <c r="I65" s="97" t="str">
        <f t="shared" si="39"/>
        <v>H</v>
      </c>
      <c r="J65" s="6" t="str">
        <f t="shared" si="40"/>
        <v>EEI</v>
      </c>
      <c r="K65" s="98">
        <f t="shared" si="41"/>
        <v>6</v>
      </c>
      <c r="L65" s="98">
        <f>IF(NOT(ISERROR(VLOOKUP(B65,Deflatores!G$42:H$64,2,FALSE))),VLOOKUP(B65,Deflatores!G$42:H$64,2,FALSE),IF(OR(ISBLANK(C65),ISBLANK(B65)),"",VLOOKUP(C65,Deflatores!G$4:H$38,2,FALSE)*H65+VLOOKUP(C65,Deflatores!G$4:I$38,3,FALSE)))</f>
        <v>6</v>
      </c>
      <c r="M65" s="7"/>
      <c r="N65" s="7"/>
      <c r="O65" s="100"/>
      <c r="P65" s="5"/>
    </row>
    <row r="66" spans="1:16" x14ac:dyDescent="0.25">
      <c r="A66" s="113" t="s">
        <v>239</v>
      </c>
      <c r="B66" s="4" t="s">
        <v>43</v>
      </c>
      <c r="C66" s="4" t="s">
        <v>39</v>
      </c>
      <c r="D66" s="6">
        <v>21</v>
      </c>
      <c r="E66" s="6">
        <v>3</v>
      </c>
      <c r="F66" s="97" t="str">
        <f t="shared" si="36"/>
        <v>Alta</v>
      </c>
      <c r="G66" s="6" t="str">
        <f t="shared" si="37"/>
        <v>EEH</v>
      </c>
      <c r="H66" s="6">
        <f t="shared" si="38"/>
        <v>6</v>
      </c>
      <c r="I66" s="97" t="str">
        <f t="shared" si="39"/>
        <v>H</v>
      </c>
      <c r="J66" s="6" t="str">
        <f t="shared" si="40"/>
        <v>EEI</v>
      </c>
      <c r="K66" s="98">
        <f t="shared" si="41"/>
        <v>6</v>
      </c>
      <c r="L66" s="98">
        <f>IF(NOT(ISERROR(VLOOKUP(B66,Deflatores!G$42:H$64,2,FALSE))),VLOOKUP(B66,Deflatores!G$42:H$64,2,FALSE),IF(OR(ISBLANK(C66),ISBLANK(B66)),"",VLOOKUP(C66,Deflatores!G$4:H$38,2,FALSE)*H66+VLOOKUP(C66,Deflatores!G$4:I$38,3,FALSE)))</f>
        <v>6</v>
      </c>
      <c r="M66" s="7"/>
      <c r="N66" s="7"/>
      <c r="O66" s="100"/>
      <c r="P66" s="5"/>
    </row>
    <row r="67" spans="1:16" x14ac:dyDescent="0.25">
      <c r="A67" s="114" t="s">
        <v>178</v>
      </c>
      <c r="B67" s="4" t="s">
        <v>41</v>
      </c>
      <c r="C67" s="4" t="s">
        <v>39</v>
      </c>
      <c r="D67" s="6">
        <v>8</v>
      </c>
      <c r="E67" s="6">
        <v>2</v>
      </c>
      <c r="F67" s="97" t="str">
        <f t="shared" si="36"/>
        <v>Média</v>
      </c>
      <c r="G67" s="6" t="str">
        <f t="shared" si="37"/>
        <v>CEA</v>
      </c>
      <c r="H67" s="6">
        <f t="shared" si="38"/>
        <v>4</v>
      </c>
      <c r="I67" s="97" t="str">
        <f t="shared" si="39"/>
        <v>A</v>
      </c>
      <c r="J67" s="6" t="str">
        <f t="shared" si="40"/>
        <v>CEI</v>
      </c>
      <c r="K67" s="98">
        <f t="shared" si="41"/>
        <v>4</v>
      </c>
      <c r="L67" s="98">
        <f>IF(NOT(ISERROR(VLOOKUP(B67,Deflatores!G$42:H$64,2,FALSE))),VLOOKUP(B67,Deflatores!G$42:H$64,2,FALSE),IF(OR(ISBLANK(C67),ISBLANK(B67)),"",VLOOKUP(C67,Deflatores!G$4:H$38,2,FALSE)*H67+VLOOKUP(C67,Deflatores!G$4:I$38,3,FALSE)))</f>
        <v>4</v>
      </c>
      <c r="M67" s="7"/>
      <c r="N67" s="7"/>
      <c r="O67" s="100"/>
      <c r="P67" s="5"/>
    </row>
    <row r="68" spans="1:16" x14ac:dyDescent="0.25">
      <c r="A68" s="113" t="s">
        <v>240</v>
      </c>
      <c r="B68" s="4" t="s">
        <v>43</v>
      </c>
      <c r="C68" s="4" t="s">
        <v>39</v>
      </c>
      <c r="D68" s="6">
        <v>27</v>
      </c>
      <c r="E68" s="6">
        <v>3</v>
      </c>
      <c r="F68" s="97" t="str">
        <f t="shared" si="36"/>
        <v>Alta</v>
      </c>
      <c r="G68" s="6" t="str">
        <f t="shared" si="37"/>
        <v>EEH</v>
      </c>
      <c r="H68" s="6">
        <f t="shared" si="38"/>
        <v>6</v>
      </c>
      <c r="I68" s="97" t="str">
        <f t="shared" si="39"/>
        <v>H</v>
      </c>
      <c r="J68" s="6" t="str">
        <f t="shared" si="40"/>
        <v>EEI</v>
      </c>
      <c r="K68" s="98">
        <f t="shared" si="41"/>
        <v>6</v>
      </c>
      <c r="L68" s="98">
        <f>IF(NOT(ISERROR(VLOOKUP(B68,Deflatores!G$42:H$64,2,FALSE))),VLOOKUP(B68,Deflatores!G$42:H$64,2,FALSE),IF(OR(ISBLANK(C68),ISBLANK(B68)),"",VLOOKUP(C68,Deflatores!G$4:H$38,2,FALSE)*H68+VLOOKUP(C68,Deflatores!G$4:I$38,3,FALSE)))</f>
        <v>6</v>
      </c>
      <c r="M68" s="7"/>
      <c r="N68" s="7"/>
      <c r="O68" s="100"/>
      <c r="P68" s="5"/>
    </row>
    <row r="69" spans="1:16" ht="21.6" x14ac:dyDescent="0.25">
      <c r="A69" s="113" t="s">
        <v>234</v>
      </c>
      <c r="B69" s="4"/>
      <c r="C69" s="4"/>
      <c r="D69" s="6"/>
      <c r="E69" s="6"/>
      <c r="F69" s="97" t="str">
        <f t="shared" si="36"/>
        <v/>
      </c>
      <c r="G69" s="6" t="str">
        <f t="shared" si="37"/>
        <v/>
      </c>
      <c r="H69" s="6" t="str">
        <f t="shared" si="38"/>
        <v/>
      </c>
      <c r="I69" s="97" t="str">
        <f t="shared" si="39"/>
        <v/>
      </c>
      <c r="J69" s="6" t="str">
        <f t="shared" si="40"/>
        <v/>
      </c>
      <c r="K69" s="98" t="str">
        <f t="shared" si="41"/>
        <v/>
      </c>
      <c r="L69" s="98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7"/>
      <c r="N69" s="7"/>
      <c r="O69" s="100"/>
      <c r="P69" s="5" t="s">
        <v>241</v>
      </c>
    </row>
    <row r="70" spans="1:16" x14ac:dyDescent="0.25">
      <c r="A70" s="113"/>
      <c r="B70" s="4"/>
      <c r="C70" s="4"/>
      <c r="D70" s="6"/>
      <c r="E70" s="6"/>
      <c r="F70" s="97" t="str">
        <f t="shared" si="36"/>
        <v/>
      </c>
      <c r="G70" s="6" t="str">
        <f t="shared" si="37"/>
        <v/>
      </c>
      <c r="H70" s="6" t="str">
        <f t="shared" si="38"/>
        <v/>
      </c>
      <c r="I70" s="97" t="str">
        <f t="shared" si="39"/>
        <v/>
      </c>
      <c r="J70" s="6" t="str">
        <f t="shared" si="40"/>
        <v/>
      </c>
      <c r="K70" s="98" t="str">
        <f t="shared" si="41"/>
        <v/>
      </c>
      <c r="L70" s="98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7"/>
      <c r="N70" s="7"/>
      <c r="O70" s="100"/>
      <c r="P70" s="5"/>
    </row>
    <row r="71" spans="1:16" x14ac:dyDescent="0.25">
      <c r="A71" s="112" t="s">
        <v>187</v>
      </c>
      <c r="B71" s="4"/>
      <c r="C71" s="4"/>
      <c r="D71" s="6"/>
      <c r="E71" s="6"/>
      <c r="F71" s="97" t="str">
        <f t="shared" si="36"/>
        <v/>
      </c>
      <c r="G71" s="6" t="str">
        <f t="shared" si="37"/>
        <v/>
      </c>
      <c r="H71" s="6" t="str">
        <f t="shared" si="38"/>
        <v/>
      </c>
      <c r="I71" s="97" t="str">
        <f t="shared" si="39"/>
        <v/>
      </c>
      <c r="J71" s="6" t="str">
        <f t="shared" si="40"/>
        <v/>
      </c>
      <c r="K71" s="98" t="str">
        <f t="shared" si="41"/>
        <v/>
      </c>
      <c r="L71" s="98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7"/>
      <c r="N71" s="7"/>
      <c r="O71" s="100"/>
      <c r="P71" s="5"/>
    </row>
    <row r="72" spans="1:16" x14ac:dyDescent="0.25">
      <c r="A72" s="113" t="s">
        <v>242</v>
      </c>
      <c r="B72" s="4" t="s">
        <v>43</v>
      </c>
      <c r="C72" s="4" t="s">
        <v>39</v>
      </c>
      <c r="D72" s="6">
        <v>6</v>
      </c>
      <c r="E72" s="6">
        <v>3</v>
      </c>
      <c r="F72" s="97" t="str">
        <f t="shared" si="36"/>
        <v>Alta</v>
      </c>
      <c r="G72" s="6" t="str">
        <f t="shared" si="37"/>
        <v>EEH</v>
      </c>
      <c r="H72" s="6">
        <f t="shared" si="38"/>
        <v>6</v>
      </c>
      <c r="I72" s="97" t="str">
        <f t="shared" si="39"/>
        <v>H</v>
      </c>
      <c r="J72" s="6" t="str">
        <f t="shared" si="40"/>
        <v>EEI</v>
      </c>
      <c r="K72" s="98">
        <f t="shared" si="41"/>
        <v>6</v>
      </c>
      <c r="L72" s="98">
        <f>IF(NOT(ISERROR(VLOOKUP(B72,Deflatores!G$42:H$64,2,FALSE))),VLOOKUP(B72,Deflatores!G$42:H$64,2,FALSE),IF(OR(ISBLANK(C72),ISBLANK(B72)),"",VLOOKUP(C72,Deflatores!G$4:H$38,2,FALSE)*H72+VLOOKUP(C72,Deflatores!G$4:I$38,3,FALSE)))</f>
        <v>6</v>
      </c>
      <c r="M72" s="7"/>
      <c r="N72" s="7"/>
      <c r="O72" s="100"/>
      <c r="P72" s="5"/>
    </row>
    <row r="73" spans="1:16" x14ac:dyDescent="0.25">
      <c r="A73" s="113" t="s">
        <v>243</v>
      </c>
      <c r="B73" s="4" t="s">
        <v>43</v>
      </c>
      <c r="C73" s="4" t="s">
        <v>39</v>
      </c>
      <c r="D73" s="6">
        <v>18</v>
      </c>
      <c r="E73" s="6">
        <v>4</v>
      </c>
      <c r="F73" s="97" t="str">
        <f t="shared" si="36"/>
        <v>Alta</v>
      </c>
      <c r="G73" s="6" t="str">
        <f t="shared" si="37"/>
        <v>EEH</v>
      </c>
      <c r="H73" s="6">
        <f t="shared" si="38"/>
        <v>6</v>
      </c>
      <c r="I73" s="97" t="str">
        <f t="shared" si="39"/>
        <v>H</v>
      </c>
      <c r="J73" s="6" t="str">
        <f t="shared" si="40"/>
        <v>EEI</v>
      </c>
      <c r="K73" s="98">
        <f t="shared" si="41"/>
        <v>6</v>
      </c>
      <c r="L73" s="98">
        <f>IF(NOT(ISERROR(VLOOKUP(B73,Deflatores!G$42:H$64,2,FALSE))),VLOOKUP(B73,Deflatores!G$42:H$64,2,FALSE),IF(OR(ISBLANK(C73),ISBLANK(B73)),"",VLOOKUP(C73,Deflatores!G$4:H$38,2,FALSE)*H73+VLOOKUP(C73,Deflatores!G$4:I$38,3,FALSE)))</f>
        <v>6</v>
      </c>
      <c r="M73" s="7"/>
      <c r="N73" s="7"/>
      <c r="O73" s="100"/>
      <c r="P73" s="5"/>
    </row>
    <row r="74" spans="1:16" x14ac:dyDescent="0.25">
      <c r="A74" s="114" t="s">
        <v>247</v>
      </c>
      <c r="B74" s="4" t="s">
        <v>41</v>
      </c>
      <c r="C74" s="4" t="s">
        <v>39</v>
      </c>
      <c r="D74" s="6">
        <v>4</v>
      </c>
      <c r="E74" s="6">
        <v>1</v>
      </c>
      <c r="F74" s="97" t="str">
        <f t="shared" si="36"/>
        <v>Baixa</v>
      </c>
      <c r="G74" s="6" t="str">
        <f t="shared" si="37"/>
        <v>CEL</v>
      </c>
      <c r="H74" s="6">
        <f t="shared" si="38"/>
        <v>3</v>
      </c>
      <c r="I74" s="97" t="str">
        <f t="shared" si="39"/>
        <v>L</v>
      </c>
      <c r="J74" s="6" t="str">
        <f t="shared" si="40"/>
        <v>CEI</v>
      </c>
      <c r="K74" s="98">
        <f t="shared" si="41"/>
        <v>3</v>
      </c>
      <c r="L74" s="98">
        <f>IF(NOT(ISERROR(VLOOKUP(B74,Deflatores!G$42:H$64,2,FALSE))),VLOOKUP(B74,Deflatores!G$42:H$64,2,FALSE),IF(OR(ISBLANK(C74),ISBLANK(B74)),"",VLOOKUP(C74,Deflatores!G$4:H$38,2,FALSE)*H74+VLOOKUP(C74,Deflatores!G$4:I$38,3,FALSE)))</f>
        <v>3</v>
      </c>
      <c r="M74" s="7"/>
      <c r="N74" s="7"/>
      <c r="O74" s="100"/>
      <c r="P74" s="5"/>
    </row>
    <row r="75" spans="1:16" x14ac:dyDescent="0.25">
      <c r="A75" s="113" t="s">
        <v>246</v>
      </c>
      <c r="B75" s="4" t="s">
        <v>43</v>
      </c>
      <c r="C75" s="4" t="s">
        <v>39</v>
      </c>
      <c r="D75" s="6">
        <v>18</v>
      </c>
      <c r="E75" s="6">
        <v>4</v>
      </c>
      <c r="F75" s="97" t="str">
        <f t="shared" si="36"/>
        <v>Alta</v>
      </c>
      <c r="G75" s="6" t="str">
        <f t="shared" si="37"/>
        <v>EEH</v>
      </c>
      <c r="H75" s="6">
        <f t="shared" si="38"/>
        <v>6</v>
      </c>
      <c r="I75" s="97" t="str">
        <f t="shared" si="39"/>
        <v>H</v>
      </c>
      <c r="J75" s="6" t="str">
        <f t="shared" si="40"/>
        <v>EEI</v>
      </c>
      <c r="K75" s="98">
        <f t="shared" si="41"/>
        <v>6</v>
      </c>
      <c r="L75" s="98">
        <f>IF(NOT(ISERROR(VLOOKUP(B75,Deflatores!G$42:H$64,2,FALSE))),VLOOKUP(B75,Deflatores!G$42:H$64,2,FALSE),IF(OR(ISBLANK(C75),ISBLANK(B75)),"",VLOOKUP(C75,Deflatores!G$4:H$38,2,FALSE)*H75+VLOOKUP(C75,Deflatores!G$4:I$38,3,FALSE)))</f>
        <v>6</v>
      </c>
      <c r="M75" s="7"/>
      <c r="N75" s="7"/>
      <c r="O75" s="100"/>
      <c r="P75" s="5"/>
    </row>
    <row r="76" spans="1:16" x14ac:dyDescent="0.25">
      <c r="A76" s="114" t="s">
        <v>245</v>
      </c>
      <c r="B76" s="4" t="s">
        <v>41</v>
      </c>
      <c r="C76" s="4" t="s">
        <v>39</v>
      </c>
      <c r="D76" s="6">
        <v>12</v>
      </c>
      <c r="E76" s="6">
        <v>2</v>
      </c>
      <c r="F76" s="97" t="str">
        <f t="shared" si="36"/>
        <v>Média</v>
      </c>
      <c r="G76" s="6" t="str">
        <f t="shared" si="37"/>
        <v>CEA</v>
      </c>
      <c r="H76" s="6">
        <f t="shared" si="38"/>
        <v>4</v>
      </c>
      <c r="I76" s="97" t="str">
        <f t="shared" si="39"/>
        <v>A</v>
      </c>
      <c r="J76" s="6" t="str">
        <f t="shared" si="40"/>
        <v>CEI</v>
      </c>
      <c r="K76" s="98">
        <f t="shared" si="41"/>
        <v>4</v>
      </c>
      <c r="L76" s="98">
        <f>IF(NOT(ISERROR(VLOOKUP(B76,Deflatores!G$42:H$64,2,FALSE))),VLOOKUP(B76,Deflatores!G$42:H$64,2,FALSE),IF(OR(ISBLANK(C76),ISBLANK(B76)),"",VLOOKUP(C76,Deflatores!G$4:H$38,2,FALSE)*H76+VLOOKUP(C76,Deflatores!G$4:I$38,3,FALSE)))</f>
        <v>4</v>
      </c>
      <c r="M76" s="7"/>
      <c r="N76" s="7"/>
      <c r="O76" s="100"/>
      <c r="P76" s="5"/>
    </row>
    <row r="77" spans="1:16" x14ac:dyDescent="0.25">
      <c r="A77" s="113" t="s">
        <v>244</v>
      </c>
      <c r="B77" s="4" t="s">
        <v>43</v>
      </c>
      <c r="C77" s="4" t="s">
        <v>39</v>
      </c>
      <c r="D77" s="6">
        <v>20</v>
      </c>
      <c r="E77" s="6">
        <v>4</v>
      </c>
      <c r="F77" s="97" t="str">
        <f t="shared" ref="F77:F82" si="42">IF(ISBLANK(B77),"",IF(I77="L","Baixa",IF(I77="A","Média",IF(I77="","","Alta"))))</f>
        <v>Alta</v>
      </c>
      <c r="G77" s="6" t="str">
        <f t="shared" ref="G77:G82" si="43">CONCATENATE(B77,I77)</f>
        <v>EEH</v>
      </c>
      <c r="H77" s="6">
        <f t="shared" ref="H77:H82" si="44">IF(ISBLANK(B77),"",IF(B77="ALI",IF(I77="L",7,IF(I77="A",10,15)),IF(B77="AIE",IF(I77="L",5,IF(I77="A",7,10)),IF(B77="SE",IF(I77="L",4,IF(I77="A",5,7)),IF(OR(B77="EE",B77="CE"),IF(I77="L",3,IF(I77="A",4,6)),0)))))</f>
        <v>6</v>
      </c>
      <c r="I77" s="97" t="str">
        <f t="shared" ref="I77:I82" si="45">IF(OR(ISBLANK(D77),ISBLANK(E77)),IF(OR(B77="ALI",B77="AIE"),"L",IF(OR(B77="EE",B77="SE",B77="CE"),"A","")),IF(B77="EE",IF(E77&gt;=3,IF(D77&gt;=5,"H","A"),IF(E77&gt;=2,IF(D77&gt;=16,"H",IF(D77&lt;=4,"L","A")),IF(D77&lt;=15,"L","A"))),IF(OR(B77="SE",B77="CE"),IF(E77&gt;=4,IF(D77&gt;=6,"H","A"),IF(E77&gt;=2,IF(D77&gt;=20,"H",IF(D77&lt;=5,"L","A")),IF(D77&lt;=19,"L","A"))),IF(OR(B77="ALI",B77="AIE"),IF(E77&gt;=6,IF(D77&gt;=20,"H","A"),IF(E77&gt;=2,IF(D77&gt;=51,"H",IF(D77&lt;=19,"L","A")),IF(D77&lt;=50,"L","A"))),""))))</f>
        <v>H</v>
      </c>
      <c r="J77" s="6" t="str">
        <f t="shared" ref="J77:J82" si="46">CONCATENATE(B77,C77)</f>
        <v>EEI</v>
      </c>
      <c r="K77" s="98">
        <f t="shared" ref="K77:K82" si="47">IF(OR(H77="",H77=0),L77,H77)</f>
        <v>6</v>
      </c>
      <c r="L77" s="98">
        <f>IF(NOT(ISERROR(VLOOKUP(B77,Deflatores!G$42:H$64,2,FALSE))),VLOOKUP(B77,Deflatores!G$42:H$64,2,FALSE),IF(OR(ISBLANK(C77),ISBLANK(B77)),"",VLOOKUP(C77,Deflatores!G$4:H$38,2,FALSE)*H77+VLOOKUP(C77,Deflatores!G$4:I$38,3,FALSE)))</f>
        <v>6</v>
      </c>
      <c r="M77" s="7"/>
      <c r="N77" s="7"/>
      <c r="O77" s="100"/>
      <c r="P77" s="5"/>
    </row>
    <row r="78" spans="1:16" x14ac:dyDescent="0.25">
      <c r="A78" s="113" t="s">
        <v>345</v>
      </c>
      <c r="B78" s="4" t="s">
        <v>43</v>
      </c>
      <c r="C78" s="4" t="s">
        <v>39</v>
      </c>
      <c r="D78" s="6">
        <v>2</v>
      </c>
      <c r="E78" s="6">
        <v>3</v>
      </c>
      <c r="F78" s="97" t="str">
        <f t="shared" ref="F78" si="48">IF(ISBLANK(B78),"",IF(I78="L","Baixa",IF(I78="A","Média",IF(I78="","","Alta"))))</f>
        <v>Média</v>
      </c>
      <c r="G78" s="6" t="str">
        <f t="shared" ref="G78" si="49">CONCATENATE(B78,I78)</f>
        <v>EEA</v>
      </c>
      <c r="H78" s="6">
        <f t="shared" ref="H78" si="50">IF(ISBLANK(B78),"",IF(B78="ALI",IF(I78="L",7,IF(I78="A",10,15)),IF(B78="AIE",IF(I78="L",5,IF(I78="A",7,10)),IF(B78="SE",IF(I78="L",4,IF(I78="A",5,7)),IF(OR(B78="EE",B78="CE"),IF(I78="L",3,IF(I78="A",4,6)),0)))))</f>
        <v>4</v>
      </c>
      <c r="I78" s="97" t="str">
        <f t="shared" ref="I78" si="51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>A</v>
      </c>
      <c r="J78" s="6" t="str">
        <f t="shared" ref="J78" si="52">CONCATENATE(B78,C78)</f>
        <v>EEI</v>
      </c>
      <c r="K78" s="98">
        <f t="shared" ref="K78" si="53">IF(OR(H78="",H78=0),L78,H78)</f>
        <v>4</v>
      </c>
      <c r="L78" s="98">
        <f>IF(NOT(ISERROR(VLOOKUP(B78,Deflatores!G$42:H$64,2,FALSE))),VLOOKUP(B78,Deflatores!G$42:H$64,2,FALSE),IF(OR(ISBLANK(C78),ISBLANK(B78)),"",VLOOKUP(C78,Deflatores!G$4:H$38,2,FALSE)*H78+VLOOKUP(C78,Deflatores!G$4:I$38,3,FALSE)))</f>
        <v>4</v>
      </c>
      <c r="M78" s="7"/>
      <c r="N78" s="7"/>
      <c r="O78" s="100"/>
      <c r="P78" s="5"/>
    </row>
    <row r="79" spans="1:16" x14ac:dyDescent="0.25">
      <c r="A79" s="113"/>
      <c r="B79" s="4"/>
      <c r="C79" s="4"/>
      <c r="D79" s="6"/>
      <c r="E79" s="6"/>
      <c r="F79" s="97" t="str">
        <f t="shared" si="42"/>
        <v/>
      </c>
      <c r="G79" s="6" t="str">
        <f t="shared" si="43"/>
        <v/>
      </c>
      <c r="H79" s="6" t="str">
        <f t="shared" si="44"/>
        <v/>
      </c>
      <c r="I79" s="97" t="str">
        <f t="shared" si="45"/>
        <v/>
      </c>
      <c r="J79" s="6" t="str">
        <f t="shared" si="46"/>
        <v/>
      </c>
      <c r="K79" s="98" t="str">
        <f t="shared" si="47"/>
        <v/>
      </c>
      <c r="L79" s="98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7"/>
      <c r="N79" s="7"/>
      <c r="O79" s="100"/>
      <c r="P79" s="5"/>
    </row>
    <row r="80" spans="1:16" x14ac:dyDescent="0.25">
      <c r="A80" s="112" t="s">
        <v>188</v>
      </c>
      <c r="B80" s="4"/>
      <c r="C80" s="4"/>
      <c r="D80" s="6"/>
      <c r="E80" s="6"/>
      <c r="F80" s="97" t="str">
        <f t="shared" si="42"/>
        <v/>
      </c>
      <c r="G80" s="6" t="str">
        <f t="shared" si="43"/>
        <v/>
      </c>
      <c r="H80" s="6" t="str">
        <f t="shared" si="44"/>
        <v/>
      </c>
      <c r="I80" s="97" t="str">
        <f t="shared" si="45"/>
        <v/>
      </c>
      <c r="J80" s="6" t="str">
        <f t="shared" si="46"/>
        <v/>
      </c>
      <c r="K80" s="98" t="str">
        <f t="shared" si="47"/>
        <v/>
      </c>
      <c r="L80" s="98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7"/>
      <c r="N80" s="7"/>
      <c r="O80" s="100"/>
      <c r="P80" s="5"/>
    </row>
    <row r="81" spans="1:16" x14ac:dyDescent="0.25">
      <c r="A81" s="113" t="s">
        <v>252</v>
      </c>
      <c r="B81" s="4" t="s">
        <v>42</v>
      </c>
      <c r="C81" s="4" t="s">
        <v>39</v>
      </c>
      <c r="D81" s="6">
        <v>33</v>
      </c>
      <c r="E81" s="6">
        <v>4</v>
      </c>
      <c r="F81" s="97" t="str">
        <f t="shared" ref="F81" si="54">IF(ISBLANK(B81),"",IF(I81="L","Baixa",IF(I81="A","Média",IF(I81="","","Alta"))))</f>
        <v>Média</v>
      </c>
      <c r="G81" s="6" t="str">
        <f t="shared" ref="G81" si="55">CONCATENATE(B81,I81)</f>
        <v>ALIA</v>
      </c>
      <c r="H81" s="6">
        <f t="shared" ref="H81" si="56">IF(ISBLANK(B81),"",IF(B81="ALI",IF(I81="L",7,IF(I81="A",10,15)),IF(B81="AIE",IF(I81="L",5,IF(I81="A",7,10)),IF(B81="SE",IF(I81="L",4,IF(I81="A",5,7)),IF(OR(B81="EE",B81="CE"),IF(I81="L",3,IF(I81="A",4,6)),0)))))</f>
        <v>10</v>
      </c>
      <c r="I81" s="97" t="str">
        <f t="shared" ref="I81" si="57"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>A</v>
      </c>
      <c r="J81" s="6" t="str">
        <f t="shared" ref="J81" si="58">CONCATENATE(B81,C81)</f>
        <v>ALII</v>
      </c>
      <c r="K81" s="98">
        <f t="shared" ref="K81" si="59">IF(OR(H81="",H81=0),L81,H81)</f>
        <v>10</v>
      </c>
      <c r="L81" s="98">
        <f>IF(NOT(ISERROR(VLOOKUP(B81,Deflatores!G$42:H$64,2,FALSE))),VLOOKUP(B81,Deflatores!G$42:H$64,2,FALSE),IF(OR(ISBLANK(C81),ISBLANK(B81)),"",VLOOKUP(C81,Deflatores!G$4:H$38,2,FALSE)*H81+VLOOKUP(C81,Deflatores!G$4:I$38,3,FALSE)))</f>
        <v>10</v>
      </c>
      <c r="M81" s="7"/>
      <c r="N81" s="7"/>
      <c r="O81" s="100"/>
      <c r="P81" s="5"/>
    </row>
    <row r="82" spans="1:16" x14ac:dyDescent="0.25">
      <c r="A82" s="113" t="s">
        <v>248</v>
      </c>
      <c r="B82" s="4" t="s">
        <v>43</v>
      </c>
      <c r="C82" s="4" t="s">
        <v>39</v>
      </c>
      <c r="D82" s="6">
        <v>14</v>
      </c>
      <c r="E82" s="6">
        <v>4</v>
      </c>
      <c r="F82" s="97" t="str">
        <f t="shared" si="42"/>
        <v>Alta</v>
      </c>
      <c r="G82" s="6" t="str">
        <f t="shared" si="43"/>
        <v>EEH</v>
      </c>
      <c r="H82" s="6">
        <f t="shared" si="44"/>
        <v>6</v>
      </c>
      <c r="I82" s="97" t="str">
        <f t="shared" si="45"/>
        <v>H</v>
      </c>
      <c r="J82" s="6" t="str">
        <f t="shared" si="46"/>
        <v>EEI</v>
      </c>
      <c r="K82" s="98">
        <f t="shared" si="47"/>
        <v>6</v>
      </c>
      <c r="L82" s="98">
        <f>IF(NOT(ISERROR(VLOOKUP(B82,Deflatores!G$42:H$64,2,FALSE))),VLOOKUP(B82,Deflatores!G$42:H$64,2,FALSE),IF(OR(ISBLANK(C82),ISBLANK(B82)),"",VLOOKUP(C82,Deflatores!G$4:H$38,2,FALSE)*H82+VLOOKUP(C82,Deflatores!G$4:I$38,3,FALSE)))</f>
        <v>6</v>
      </c>
      <c r="M82" s="7"/>
      <c r="N82" s="7"/>
      <c r="O82" s="100"/>
      <c r="P82" s="5"/>
    </row>
    <row r="83" spans="1:16" x14ac:dyDescent="0.25">
      <c r="A83" s="113" t="s">
        <v>249</v>
      </c>
      <c r="B83" s="4" t="s">
        <v>43</v>
      </c>
      <c r="C83" s="4" t="s">
        <v>39</v>
      </c>
      <c r="D83" s="6">
        <v>14</v>
      </c>
      <c r="E83" s="6">
        <v>4</v>
      </c>
      <c r="F83" s="97" t="str">
        <f t="shared" ref="F83:F86" si="60">IF(ISBLANK(B83),"",IF(I83="L","Baixa",IF(I83="A","Média",IF(I83="","","Alta"))))</f>
        <v>Alta</v>
      </c>
      <c r="G83" s="6" t="str">
        <f t="shared" ref="G83:G86" si="61">CONCATENATE(B83,I83)</f>
        <v>EEH</v>
      </c>
      <c r="H83" s="6">
        <f t="shared" ref="H83:H86" si="62">IF(ISBLANK(B83),"",IF(B83="ALI",IF(I83="L",7,IF(I83="A",10,15)),IF(B83="AIE",IF(I83="L",5,IF(I83="A",7,10)),IF(B83="SE",IF(I83="L",4,IF(I83="A",5,7)),IF(OR(B83="EE",B83="CE"),IF(I83="L",3,IF(I83="A",4,6)),0)))))</f>
        <v>6</v>
      </c>
      <c r="I83" s="97" t="str">
        <f t="shared" ref="I83:I86" si="63">IF(OR(ISBLANK(D83),ISBLANK(E83)),IF(OR(B83="ALI",B83="AIE"),"L",IF(OR(B83="EE",B83="SE",B83="CE"),"A","")),IF(B83="EE",IF(E83&gt;=3,IF(D83&gt;=5,"H","A"),IF(E83&gt;=2,IF(D83&gt;=16,"H",IF(D83&lt;=4,"L","A")),IF(D83&lt;=15,"L","A"))),IF(OR(B83="SE",B83="CE"),IF(E83&gt;=4,IF(D83&gt;=6,"H","A"),IF(E83&gt;=2,IF(D83&gt;=20,"H",IF(D83&lt;=5,"L","A")),IF(D83&lt;=19,"L","A"))),IF(OR(B83="ALI",B83="AIE"),IF(E83&gt;=6,IF(D83&gt;=20,"H","A"),IF(E83&gt;=2,IF(D83&gt;=51,"H",IF(D83&lt;=19,"L","A")),IF(D83&lt;=50,"L","A"))),""))))</f>
        <v>H</v>
      </c>
      <c r="J83" s="6" t="str">
        <f t="shared" ref="J83:J86" si="64">CONCATENATE(B83,C83)</f>
        <v>EEI</v>
      </c>
      <c r="K83" s="98">
        <f t="shared" ref="K83:K86" si="65">IF(OR(H83="",H83=0),L83,H83)</f>
        <v>6</v>
      </c>
      <c r="L83" s="98">
        <f>IF(NOT(ISERROR(VLOOKUP(B83,Deflatores!G$42:H$64,2,FALSE))),VLOOKUP(B83,Deflatores!G$42:H$64,2,FALSE),IF(OR(ISBLANK(C83),ISBLANK(B83)),"",VLOOKUP(C83,Deflatores!G$4:H$38,2,FALSE)*H83+VLOOKUP(C83,Deflatores!G$4:I$38,3,FALSE)))</f>
        <v>6</v>
      </c>
      <c r="M83" s="7"/>
      <c r="N83" s="7"/>
      <c r="O83" s="100"/>
      <c r="P83" s="5"/>
    </row>
    <row r="84" spans="1:16" x14ac:dyDescent="0.25">
      <c r="A84" s="114" t="s">
        <v>178</v>
      </c>
      <c r="B84" s="4" t="s">
        <v>41</v>
      </c>
      <c r="C84" s="4" t="s">
        <v>39</v>
      </c>
      <c r="D84" s="6">
        <v>7</v>
      </c>
      <c r="E84" s="6">
        <v>1</v>
      </c>
      <c r="F84" s="97" t="str">
        <f t="shared" si="60"/>
        <v>Baixa</v>
      </c>
      <c r="G84" s="6" t="str">
        <f t="shared" si="61"/>
        <v>CEL</v>
      </c>
      <c r="H84" s="6">
        <f t="shared" si="62"/>
        <v>3</v>
      </c>
      <c r="I84" s="97" t="str">
        <f t="shared" si="63"/>
        <v>L</v>
      </c>
      <c r="J84" s="6" t="str">
        <f t="shared" si="64"/>
        <v>CEI</v>
      </c>
      <c r="K84" s="98">
        <f t="shared" si="65"/>
        <v>3</v>
      </c>
      <c r="L84" s="98">
        <f>IF(NOT(ISERROR(VLOOKUP(B84,Deflatores!G$42:H$64,2,FALSE))),VLOOKUP(B84,Deflatores!G$42:H$64,2,FALSE),IF(OR(ISBLANK(C84),ISBLANK(B84)),"",VLOOKUP(C84,Deflatores!G$4:H$38,2,FALSE)*H84+VLOOKUP(C84,Deflatores!G$4:I$38,3,FALSE)))</f>
        <v>3</v>
      </c>
      <c r="M84" s="7"/>
      <c r="N84" s="7"/>
      <c r="O84" s="100"/>
      <c r="P84" s="5"/>
    </row>
    <row r="85" spans="1:16" x14ac:dyDescent="0.25">
      <c r="A85" s="113" t="s">
        <v>250</v>
      </c>
      <c r="B85" s="4" t="s">
        <v>43</v>
      </c>
      <c r="C85" s="4" t="s">
        <v>39</v>
      </c>
      <c r="D85" s="6">
        <v>18</v>
      </c>
      <c r="E85" s="6">
        <v>4</v>
      </c>
      <c r="F85" s="97" t="str">
        <f t="shared" si="60"/>
        <v>Alta</v>
      </c>
      <c r="G85" s="6" t="str">
        <f t="shared" si="61"/>
        <v>EEH</v>
      </c>
      <c r="H85" s="6">
        <f t="shared" si="62"/>
        <v>6</v>
      </c>
      <c r="I85" s="97" t="str">
        <f t="shared" si="63"/>
        <v>H</v>
      </c>
      <c r="J85" s="6" t="str">
        <f t="shared" si="64"/>
        <v>EEI</v>
      </c>
      <c r="K85" s="98">
        <f t="shared" si="65"/>
        <v>6</v>
      </c>
      <c r="L85" s="98">
        <f>IF(NOT(ISERROR(VLOOKUP(B85,Deflatores!G$42:H$64,2,FALSE))),VLOOKUP(B85,Deflatores!G$42:H$64,2,FALSE),IF(OR(ISBLANK(C85),ISBLANK(B85)),"",VLOOKUP(C85,Deflatores!G$4:H$38,2,FALSE)*H85+VLOOKUP(C85,Deflatores!G$4:I$38,3,FALSE)))</f>
        <v>6</v>
      </c>
      <c r="M85" s="7"/>
      <c r="N85" s="7"/>
      <c r="O85" s="100"/>
      <c r="P85" s="5"/>
    </row>
    <row r="86" spans="1:16" x14ac:dyDescent="0.25">
      <c r="A86" s="113" t="s">
        <v>251</v>
      </c>
      <c r="B86" s="4" t="s">
        <v>41</v>
      </c>
      <c r="C86" s="4" t="s">
        <v>39</v>
      </c>
      <c r="D86" s="6">
        <v>15</v>
      </c>
      <c r="E86" s="6">
        <v>4</v>
      </c>
      <c r="F86" s="97" t="str">
        <f t="shared" si="60"/>
        <v>Alta</v>
      </c>
      <c r="G86" s="6" t="str">
        <f t="shared" si="61"/>
        <v>CEH</v>
      </c>
      <c r="H86" s="6">
        <f t="shared" si="62"/>
        <v>6</v>
      </c>
      <c r="I86" s="97" t="str">
        <f t="shared" si="63"/>
        <v>H</v>
      </c>
      <c r="J86" s="6" t="str">
        <f t="shared" si="64"/>
        <v>CEI</v>
      </c>
      <c r="K86" s="98">
        <f t="shared" si="65"/>
        <v>6</v>
      </c>
      <c r="L86" s="98">
        <f>IF(NOT(ISERROR(VLOOKUP(B86,Deflatores!G$42:H$64,2,FALSE))),VLOOKUP(B86,Deflatores!G$42:H$64,2,FALSE),IF(OR(ISBLANK(C86),ISBLANK(B86)),"",VLOOKUP(C86,Deflatores!G$4:H$38,2,FALSE)*H86+VLOOKUP(C86,Deflatores!G$4:I$38,3,FALSE)))</f>
        <v>6</v>
      </c>
      <c r="M86" s="7"/>
      <c r="N86" s="7"/>
      <c r="O86" s="100"/>
      <c r="P86" s="5"/>
    </row>
    <row r="87" spans="1:16" x14ac:dyDescent="0.25">
      <c r="A87" s="110"/>
      <c r="B87" s="4"/>
      <c r="C87" s="4"/>
      <c r="D87" s="6"/>
      <c r="E87" s="6"/>
      <c r="F87" s="97" t="str">
        <f t="shared" si="36"/>
        <v/>
      </c>
      <c r="G87" s="6" t="str">
        <f t="shared" si="37"/>
        <v/>
      </c>
      <c r="H87" s="6" t="str">
        <f t="shared" si="38"/>
        <v/>
      </c>
      <c r="I87" s="97" t="str">
        <f t="shared" si="39"/>
        <v/>
      </c>
      <c r="J87" s="6" t="str">
        <f t="shared" si="40"/>
        <v/>
      </c>
      <c r="K87" s="98" t="str">
        <f t="shared" si="41"/>
        <v/>
      </c>
      <c r="L87" s="98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7"/>
      <c r="N87" s="7"/>
      <c r="O87" s="100"/>
      <c r="P87" s="5"/>
    </row>
    <row r="88" spans="1:16" x14ac:dyDescent="0.25">
      <c r="A88" s="112" t="s">
        <v>189</v>
      </c>
      <c r="B88" s="4"/>
      <c r="C88" s="4"/>
      <c r="D88" s="6"/>
      <c r="E88" s="6"/>
      <c r="F88" s="97" t="str">
        <f t="shared" ref="F88" si="66">IF(ISBLANK(B88),"",IF(I88="L","Baixa",IF(I88="A","Média",IF(I88="","","Alta"))))</f>
        <v/>
      </c>
      <c r="G88" s="6" t="str">
        <f t="shared" ref="G88" si="67">CONCATENATE(B88,I88)</f>
        <v/>
      </c>
      <c r="H88" s="6" t="str">
        <f t="shared" ref="H88" si="68">IF(ISBLANK(B88),"",IF(B88="ALI",IF(I88="L",7,IF(I88="A",10,15)),IF(B88="AIE",IF(I88="L",5,IF(I88="A",7,10)),IF(B88="SE",IF(I88="L",4,IF(I88="A",5,7)),IF(OR(B88="EE",B88="CE"),IF(I88="L",3,IF(I88="A",4,6)),0)))))</f>
        <v/>
      </c>
      <c r="I88" s="97" t="str">
        <f t="shared" ref="I88" si="69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6" t="str">
        <f t="shared" ref="J88" si="70">CONCATENATE(B88,C88)</f>
        <v/>
      </c>
      <c r="K88" s="98" t="str">
        <f t="shared" ref="K88:K89" si="71">IF(OR(H88="",H88=0),L88,H88)</f>
        <v/>
      </c>
      <c r="L88" s="98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7"/>
      <c r="N88" s="7"/>
      <c r="O88" s="100"/>
      <c r="P88" s="5"/>
    </row>
    <row r="89" spans="1:16" x14ac:dyDescent="0.25">
      <c r="A89" s="113" t="s">
        <v>253</v>
      </c>
      <c r="B89" s="4" t="s">
        <v>43</v>
      </c>
      <c r="C89" s="4" t="s">
        <v>39</v>
      </c>
      <c r="D89" s="6">
        <v>9</v>
      </c>
      <c r="E89" s="6">
        <v>3</v>
      </c>
      <c r="F89" s="97" t="str">
        <f>IF(ISBLANK(B89),"",IF(I89="L","Baixa",IF(I89="A","Média",IF(I89="","","Alta"))))</f>
        <v>Alta</v>
      </c>
      <c r="G89" s="6" t="str">
        <f>CONCATENATE(B89,I89)</f>
        <v>EEH</v>
      </c>
      <c r="H89" s="6">
        <f>IF(ISBLANK(B89),"",IF(B89="ALI",IF(I89="L",7,IF(I89="A",10,15)),IF(B89="AIE",IF(I89="L",5,IF(I89="A",7,10)),IF(B89="SE",IF(I89="L",4,IF(I89="A",5,7)),IF(OR(B89="EE",B89="CE"),IF(I89="L",3,IF(I89="A",4,6)),0)))))</f>
        <v>6</v>
      </c>
      <c r="I89" s="97" t="str">
        <f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>H</v>
      </c>
      <c r="J89" s="6" t="str">
        <f>CONCATENATE(B89,C89)</f>
        <v>EEI</v>
      </c>
      <c r="K89" s="98">
        <f t="shared" si="71"/>
        <v>6</v>
      </c>
      <c r="L89" s="98">
        <f>IF(NOT(ISERROR(VLOOKUP(B89,Deflatores!G$42:H$64,2,FALSE))),VLOOKUP(B89,Deflatores!G$42:H$64,2,FALSE),IF(OR(ISBLANK(C89),ISBLANK(B89)),"",VLOOKUP(C89,Deflatores!G$4:H$38,2,FALSE)*H89+VLOOKUP(C89,Deflatores!G$4:I$38,3,FALSE)))</f>
        <v>6</v>
      </c>
      <c r="M89" s="7"/>
      <c r="N89" s="7"/>
      <c r="O89" s="100"/>
      <c r="P89" s="5"/>
    </row>
    <row r="90" spans="1:16" x14ac:dyDescent="0.25">
      <c r="A90" s="114" t="s">
        <v>260</v>
      </c>
      <c r="B90" s="4" t="s">
        <v>41</v>
      </c>
      <c r="C90" s="4" t="s">
        <v>39</v>
      </c>
      <c r="D90" s="6">
        <v>4</v>
      </c>
      <c r="E90" s="6">
        <v>1</v>
      </c>
      <c r="F90" s="97" t="str">
        <f t="shared" ref="F90:F108" si="72">IF(ISBLANK(B90),"",IF(I90="L","Baixa",IF(I90="A","Média",IF(I90="","","Alta"))))</f>
        <v>Baixa</v>
      </c>
      <c r="G90" s="6" t="str">
        <f t="shared" ref="G90:G108" si="73">CONCATENATE(B90,I90)</f>
        <v>CEL</v>
      </c>
      <c r="H90" s="6">
        <f t="shared" ref="H90:H93" si="74">IF(ISBLANK(B90),"",IF(B90="ALI",IF(I90="L",7,IF(I90="A",10,15)),IF(B90="AIE",IF(I90="L",5,IF(I90="A",7,10)),IF(B90="SE",IF(I90="L",4,IF(I90="A",5,7)),IF(OR(B90="EE",B90="CE"),IF(I90="L",3,IF(I90="A",4,6)),0)))))</f>
        <v>3</v>
      </c>
      <c r="I90" s="97" t="str">
        <f t="shared" ref="I90:I93" si="75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>L</v>
      </c>
      <c r="J90" s="6" t="str">
        <f t="shared" ref="J90:J93" si="76">CONCATENATE(B90,C90)</f>
        <v>CEI</v>
      </c>
      <c r="K90" s="98">
        <f t="shared" ref="K90:K93" si="77">IF(OR(H90="",H90=0),L90,H90)</f>
        <v>3</v>
      </c>
      <c r="L90" s="98">
        <f>IF(NOT(ISERROR(VLOOKUP(B90,Deflatores!G$42:H$64,2,FALSE))),VLOOKUP(B90,Deflatores!G$42:H$64,2,FALSE),IF(OR(ISBLANK(C90),ISBLANK(B90)),"",VLOOKUP(C90,Deflatores!G$4:H$38,2,FALSE)*H90+VLOOKUP(C90,Deflatores!G$4:I$38,3,FALSE)))</f>
        <v>3</v>
      </c>
      <c r="M90" s="7"/>
      <c r="N90" s="7"/>
      <c r="O90" s="100"/>
      <c r="P90" s="5"/>
    </row>
    <row r="91" spans="1:16" x14ac:dyDescent="0.25">
      <c r="A91" s="113" t="s">
        <v>254</v>
      </c>
      <c r="B91" s="4" t="s">
        <v>43</v>
      </c>
      <c r="C91" s="4" t="s">
        <v>39</v>
      </c>
      <c r="D91" s="6">
        <v>9</v>
      </c>
      <c r="E91" s="6">
        <v>3</v>
      </c>
      <c r="F91" s="97" t="str">
        <f t="shared" si="72"/>
        <v>Alta</v>
      </c>
      <c r="G91" s="6" t="str">
        <f t="shared" si="73"/>
        <v>EEH</v>
      </c>
      <c r="H91" s="6">
        <f t="shared" si="74"/>
        <v>6</v>
      </c>
      <c r="I91" s="97" t="str">
        <f t="shared" si="75"/>
        <v>H</v>
      </c>
      <c r="J91" s="6" t="str">
        <f t="shared" si="76"/>
        <v>EEI</v>
      </c>
      <c r="K91" s="98">
        <f t="shared" si="77"/>
        <v>6</v>
      </c>
      <c r="L91" s="98">
        <f>IF(NOT(ISERROR(VLOOKUP(B91,Deflatores!G$42:H$64,2,FALSE))),VLOOKUP(B91,Deflatores!G$42:H$64,2,FALSE),IF(OR(ISBLANK(C91),ISBLANK(B91)),"",VLOOKUP(C91,Deflatores!G$4:H$38,2,FALSE)*H91+VLOOKUP(C91,Deflatores!G$4:I$38,3,FALSE)))</f>
        <v>6</v>
      </c>
      <c r="M91" s="7"/>
      <c r="N91" s="7"/>
      <c r="O91" s="100"/>
      <c r="P91" s="5"/>
    </row>
    <row r="92" spans="1:16" x14ac:dyDescent="0.25">
      <c r="A92" s="114" t="s">
        <v>178</v>
      </c>
      <c r="B92" s="4" t="s">
        <v>41</v>
      </c>
      <c r="C92" s="4" t="s">
        <v>39</v>
      </c>
      <c r="D92" s="6">
        <v>9</v>
      </c>
      <c r="E92" s="6">
        <v>1</v>
      </c>
      <c r="F92" s="97" t="str">
        <f t="shared" si="72"/>
        <v>Baixa</v>
      </c>
      <c r="G92" s="6" t="str">
        <f t="shared" si="73"/>
        <v>CEL</v>
      </c>
      <c r="H92" s="6">
        <f t="shared" si="74"/>
        <v>3</v>
      </c>
      <c r="I92" s="97" t="str">
        <f t="shared" si="75"/>
        <v>L</v>
      </c>
      <c r="J92" s="6" t="str">
        <f t="shared" si="76"/>
        <v>CEI</v>
      </c>
      <c r="K92" s="98">
        <f t="shared" si="77"/>
        <v>3</v>
      </c>
      <c r="L92" s="98">
        <f>IF(NOT(ISERROR(VLOOKUP(B92,Deflatores!G$42:H$64,2,FALSE))),VLOOKUP(B92,Deflatores!G$42:H$64,2,FALSE),IF(OR(ISBLANK(C92),ISBLANK(B92)),"",VLOOKUP(C92,Deflatores!G$4:H$38,2,FALSE)*H92+VLOOKUP(C92,Deflatores!G$4:I$38,3,FALSE)))</f>
        <v>3</v>
      </c>
      <c r="M92" s="7"/>
      <c r="N92" s="7"/>
      <c r="O92" s="100"/>
      <c r="P92" s="5"/>
    </row>
    <row r="93" spans="1:16" x14ac:dyDescent="0.25">
      <c r="A93" s="113" t="s">
        <v>255</v>
      </c>
      <c r="B93" s="4" t="s">
        <v>43</v>
      </c>
      <c r="C93" s="4" t="s">
        <v>39</v>
      </c>
      <c r="D93" s="6">
        <v>3</v>
      </c>
      <c r="E93" s="6">
        <v>3</v>
      </c>
      <c r="F93" s="97" t="str">
        <f t="shared" si="72"/>
        <v>Média</v>
      </c>
      <c r="G93" s="6" t="str">
        <f t="shared" si="73"/>
        <v>EEA</v>
      </c>
      <c r="H93" s="6">
        <f t="shared" si="74"/>
        <v>4</v>
      </c>
      <c r="I93" s="97" t="str">
        <f t="shared" si="75"/>
        <v>A</v>
      </c>
      <c r="J93" s="6" t="str">
        <f t="shared" si="76"/>
        <v>EEI</v>
      </c>
      <c r="K93" s="98">
        <f t="shared" si="77"/>
        <v>4</v>
      </c>
      <c r="L93" s="98">
        <f>IF(NOT(ISERROR(VLOOKUP(B93,Deflatores!G$42:H$64,2,FALSE))),VLOOKUP(B93,Deflatores!G$42:H$64,2,FALSE),IF(OR(ISBLANK(C93),ISBLANK(B93)),"",VLOOKUP(C93,Deflatores!G$4:H$38,2,FALSE)*H93+VLOOKUP(C93,Deflatores!G$4:I$38,3,FALSE)))</f>
        <v>4</v>
      </c>
      <c r="M93" s="7"/>
      <c r="N93" s="7"/>
      <c r="O93" s="100"/>
      <c r="P93" s="5"/>
    </row>
    <row r="94" spans="1:16" x14ac:dyDescent="0.25">
      <c r="A94" s="113" t="s">
        <v>256</v>
      </c>
      <c r="B94" s="4" t="s">
        <v>41</v>
      </c>
      <c r="C94" s="4" t="s">
        <v>39</v>
      </c>
      <c r="D94" s="6">
        <v>12</v>
      </c>
      <c r="E94" s="6">
        <v>4</v>
      </c>
      <c r="F94" s="97" t="str">
        <f t="shared" si="72"/>
        <v>Alta</v>
      </c>
      <c r="G94" s="6" t="str">
        <f t="shared" si="73"/>
        <v>CEH</v>
      </c>
      <c r="H94" s="6">
        <f t="shared" ref="H94:H108" si="78">IF(ISBLANK(B94),"",IF(B94="ALI",IF(I94="L",7,IF(I94="A",10,15)),IF(B94="AIE",IF(I94="L",5,IF(I94="A",7,10)),IF(B94="SE",IF(I94="L",4,IF(I94="A",5,7)),IF(OR(B94="EE",B94="CE"),IF(I94="L",3,IF(I94="A",4,6)),0)))))</f>
        <v>6</v>
      </c>
      <c r="I94" s="97" t="str">
        <f t="shared" ref="I94:I108" si="79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>H</v>
      </c>
      <c r="J94" s="6" t="str">
        <f t="shared" ref="J94:J108" si="80">CONCATENATE(B94,C94)</f>
        <v>CEI</v>
      </c>
      <c r="K94" s="98">
        <f t="shared" ref="K94:K108" si="81">IF(OR(H94="",H94=0),L94,H94)</f>
        <v>6</v>
      </c>
      <c r="L94" s="98">
        <f>IF(NOT(ISERROR(VLOOKUP(B94,Deflatores!G$42:H$64,2,FALSE))),VLOOKUP(B94,Deflatores!G$42:H$64,2,FALSE),IF(OR(ISBLANK(C94),ISBLANK(B94)),"",VLOOKUP(C94,Deflatores!G$4:H$38,2,FALSE)*H94+VLOOKUP(C94,Deflatores!G$4:I$38,3,FALSE)))</f>
        <v>6</v>
      </c>
      <c r="M94" s="7"/>
      <c r="N94" s="7"/>
      <c r="O94" s="100"/>
      <c r="P94" s="5"/>
    </row>
    <row r="95" spans="1:16" x14ac:dyDescent="0.25">
      <c r="A95" s="113" t="s">
        <v>257</v>
      </c>
      <c r="B95" s="4" t="s">
        <v>41</v>
      </c>
      <c r="C95" s="4" t="s">
        <v>39</v>
      </c>
      <c r="D95" s="6">
        <v>12</v>
      </c>
      <c r="E95" s="6">
        <v>4</v>
      </c>
      <c r="F95" s="97" t="str">
        <f t="shared" si="72"/>
        <v>Alta</v>
      </c>
      <c r="G95" s="6" t="str">
        <f t="shared" si="73"/>
        <v>CEH</v>
      </c>
      <c r="H95" s="6">
        <f t="shared" si="78"/>
        <v>6</v>
      </c>
      <c r="I95" s="97" t="str">
        <f t="shared" si="79"/>
        <v>H</v>
      </c>
      <c r="J95" s="6" t="str">
        <f t="shared" si="80"/>
        <v>CEI</v>
      </c>
      <c r="K95" s="98">
        <f t="shared" si="81"/>
        <v>6</v>
      </c>
      <c r="L95" s="98">
        <f>IF(NOT(ISERROR(VLOOKUP(B95,Deflatores!G$42:H$64,2,FALSE))),VLOOKUP(B95,Deflatores!G$42:H$64,2,FALSE),IF(OR(ISBLANK(C95),ISBLANK(B95)),"",VLOOKUP(C95,Deflatores!G$4:H$38,2,FALSE)*H95+VLOOKUP(C95,Deflatores!G$4:I$38,3,FALSE)))</f>
        <v>6</v>
      </c>
      <c r="M95" s="7"/>
      <c r="N95" s="7"/>
      <c r="O95" s="100"/>
      <c r="P95" s="5"/>
    </row>
    <row r="96" spans="1:16" x14ac:dyDescent="0.25">
      <c r="A96" s="113" t="s">
        <v>258</v>
      </c>
      <c r="B96" s="4" t="s">
        <v>41</v>
      </c>
      <c r="C96" s="4" t="s">
        <v>39</v>
      </c>
      <c r="D96" s="6">
        <v>12</v>
      </c>
      <c r="E96" s="6">
        <v>4</v>
      </c>
      <c r="F96" s="97" t="str">
        <f t="shared" si="72"/>
        <v>Alta</v>
      </c>
      <c r="G96" s="6" t="str">
        <f t="shared" si="73"/>
        <v>CEH</v>
      </c>
      <c r="H96" s="6">
        <f t="shared" si="78"/>
        <v>6</v>
      </c>
      <c r="I96" s="97" t="str">
        <f t="shared" si="79"/>
        <v>H</v>
      </c>
      <c r="J96" s="6" t="str">
        <f t="shared" si="80"/>
        <v>CEI</v>
      </c>
      <c r="K96" s="98">
        <f t="shared" si="81"/>
        <v>6</v>
      </c>
      <c r="L96" s="98">
        <f>IF(NOT(ISERROR(VLOOKUP(B96,Deflatores!G$42:H$64,2,FALSE))),VLOOKUP(B96,Deflatores!G$42:H$64,2,FALSE),IF(OR(ISBLANK(C96),ISBLANK(B96)),"",VLOOKUP(C96,Deflatores!G$4:H$38,2,FALSE)*H96+VLOOKUP(C96,Deflatores!G$4:I$38,3,FALSE)))</f>
        <v>6</v>
      </c>
      <c r="M96" s="7"/>
      <c r="N96" s="7"/>
      <c r="O96" s="100"/>
      <c r="P96" s="5"/>
    </row>
    <row r="97" spans="1:16" x14ac:dyDescent="0.25">
      <c r="A97" s="113" t="s">
        <v>259</v>
      </c>
      <c r="B97" s="115" t="s">
        <v>41</v>
      </c>
      <c r="C97" s="4" t="s">
        <v>39</v>
      </c>
      <c r="D97" s="6">
        <v>24</v>
      </c>
      <c r="E97" s="6">
        <v>7</v>
      </c>
      <c r="F97" s="97" t="str">
        <f t="shared" si="72"/>
        <v>Alta</v>
      </c>
      <c r="G97" s="6" t="str">
        <f t="shared" si="73"/>
        <v>CEH</v>
      </c>
      <c r="H97" s="6">
        <f t="shared" si="78"/>
        <v>6</v>
      </c>
      <c r="I97" s="97" t="str">
        <f t="shared" si="79"/>
        <v>H</v>
      </c>
      <c r="J97" s="6" t="str">
        <f t="shared" si="80"/>
        <v>CEI</v>
      </c>
      <c r="K97" s="98">
        <f t="shared" si="81"/>
        <v>6</v>
      </c>
      <c r="L97" s="98">
        <f>IF(NOT(ISERROR(VLOOKUP(B97,Deflatores!G$42:H$64,2,FALSE))),VLOOKUP(B97,Deflatores!G$42:H$64,2,FALSE),IF(OR(ISBLANK(C97),ISBLANK(B97)),"",VLOOKUP(C97,Deflatores!G$4:H$38,2,FALSE)*H97+VLOOKUP(C97,Deflatores!G$4:I$38,3,FALSE)))</f>
        <v>6</v>
      </c>
      <c r="M97" s="7"/>
      <c r="N97" s="7"/>
      <c r="O97" s="100"/>
      <c r="P97" s="5" t="s">
        <v>262</v>
      </c>
    </row>
    <row r="98" spans="1:16" x14ac:dyDescent="0.25">
      <c r="A98" s="113"/>
      <c r="B98" s="4"/>
      <c r="C98" s="4"/>
      <c r="D98" s="6"/>
      <c r="E98" s="6"/>
      <c r="F98" s="97" t="str">
        <f t="shared" si="72"/>
        <v/>
      </c>
      <c r="G98" s="6" t="str">
        <f t="shared" si="73"/>
        <v/>
      </c>
      <c r="H98" s="6" t="str">
        <f t="shared" si="78"/>
        <v/>
      </c>
      <c r="I98" s="97" t="str">
        <f t="shared" si="79"/>
        <v/>
      </c>
      <c r="J98" s="6" t="str">
        <f t="shared" si="80"/>
        <v/>
      </c>
      <c r="K98" s="98" t="str">
        <f t="shared" si="81"/>
        <v/>
      </c>
      <c r="L98" s="98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7"/>
      <c r="N98" s="7"/>
      <c r="O98" s="100"/>
      <c r="P98" s="5"/>
    </row>
    <row r="99" spans="1:16" x14ac:dyDescent="0.25">
      <c r="A99" s="112" t="s">
        <v>190</v>
      </c>
      <c r="B99" s="4"/>
      <c r="C99" s="4"/>
      <c r="D99" s="6"/>
      <c r="E99" s="6"/>
      <c r="F99" s="97" t="str">
        <f t="shared" si="72"/>
        <v/>
      </c>
      <c r="G99" s="6" t="str">
        <f t="shared" si="73"/>
        <v/>
      </c>
      <c r="H99" s="6" t="str">
        <f t="shared" si="78"/>
        <v/>
      </c>
      <c r="I99" s="97" t="str">
        <f t="shared" si="79"/>
        <v/>
      </c>
      <c r="J99" s="6" t="str">
        <f t="shared" si="80"/>
        <v/>
      </c>
      <c r="K99" s="98" t="str">
        <f t="shared" si="81"/>
        <v/>
      </c>
      <c r="L99" s="98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7"/>
      <c r="N99" s="7"/>
      <c r="O99" s="100"/>
      <c r="P99" s="5"/>
    </row>
    <row r="100" spans="1:16" x14ac:dyDescent="0.25">
      <c r="A100" s="113" t="s">
        <v>261</v>
      </c>
      <c r="B100" s="4" t="s">
        <v>41</v>
      </c>
      <c r="C100" s="4" t="s">
        <v>39</v>
      </c>
      <c r="D100" s="6">
        <v>18</v>
      </c>
      <c r="E100" s="6">
        <v>5</v>
      </c>
      <c r="F100" s="97" t="str">
        <f t="shared" si="72"/>
        <v>Alta</v>
      </c>
      <c r="G100" s="6" t="str">
        <f t="shared" si="73"/>
        <v>CEH</v>
      </c>
      <c r="H100" s="6">
        <f t="shared" si="78"/>
        <v>6</v>
      </c>
      <c r="I100" s="97" t="str">
        <f t="shared" si="79"/>
        <v>H</v>
      </c>
      <c r="J100" s="6" t="str">
        <f t="shared" si="80"/>
        <v>CEI</v>
      </c>
      <c r="K100" s="98">
        <f t="shared" si="81"/>
        <v>6</v>
      </c>
      <c r="L100" s="98">
        <f>IF(NOT(ISERROR(VLOOKUP(B100,Deflatores!G$42:H$64,2,FALSE))),VLOOKUP(B100,Deflatores!G$42:H$64,2,FALSE),IF(OR(ISBLANK(C100),ISBLANK(B100)),"",VLOOKUP(C100,Deflatores!G$4:H$38,2,FALSE)*H100+VLOOKUP(C100,Deflatores!G$4:I$38,3,FALSE)))</f>
        <v>6</v>
      </c>
      <c r="M100" s="7"/>
      <c r="N100" s="7"/>
      <c r="O100" s="100"/>
      <c r="P100" s="5"/>
    </row>
    <row r="101" spans="1:16" x14ac:dyDescent="0.25">
      <c r="A101" s="113" t="s">
        <v>263</v>
      </c>
      <c r="B101" s="4" t="s">
        <v>41</v>
      </c>
      <c r="C101" s="4" t="s">
        <v>39</v>
      </c>
      <c r="D101" s="6">
        <v>12</v>
      </c>
      <c r="E101" s="6">
        <v>3</v>
      </c>
      <c r="F101" s="97" t="str">
        <f t="shared" si="72"/>
        <v>Média</v>
      </c>
      <c r="G101" s="6" t="str">
        <f t="shared" si="73"/>
        <v>CEA</v>
      </c>
      <c r="H101" s="6">
        <f t="shared" si="78"/>
        <v>4</v>
      </c>
      <c r="I101" s="97" t="str">
        <f t="shared" si="79"/>
        <v>A</v>
      </c>
      <c r="J101" s="6" t="str">
        <f t="shared" si="80"/>
        <v>CEI</v>
      </c>
      <c r="K101" s="98">
        <f t="shared" si="81"/>
        <v>4</v>
      </c>
      <c r="L101" s="98">
        <f>IF(NOT(ISERROR(VLOOKUP(B101,Deflatores!G$42:H$64,2,FALSE))),VLOOKUP(B101,Deflatores!G$42:H$64,2,FALSE),IF(OR(ISBLANK(C101),ISBLANK(B101)),"",VLOOKUP(C101,Deflatores!G$4:H$38,2,FALSE)*H101+VLOOKUP(C101,Deflatores!G$4:I$38,3,FALSE)))</f>
        <v>4</v>
      </c>
      <c r="M101" s="7"/>
      <c r="N101" s="7"/>
      <c r="O101" s="100"/>
      <c r="P101" s="5"/>
    </row>
    <row r="102" spans="1:16" x14ac:dyDescent="0.25">
      <c r="A102" s="113"/>
      <c r="B102" s="4"/>
      <c r="C102" s="4"/>
      <c r="D102" s="6"/>
      <c r="E102" s="6"/>
      <c r="F102" s="97" t="str">
        <f t="shared" si="72"/>
        <v/>
      </c>
      <c r="G102" s="6" t="str">
        <f t="shared" si="73"/>
        <v/>
      </c>
      <c r="H102" s="6" t="str">
        <f t="shared" si="78"/>
        <v/>
      </c>
      <c r="I102" s="97" t="str">
        <f t="shared" si="79"/>
        <v/>
      </c>
      <c r="J102" s="6" t="str">
        <f t="shared" si="80"/>
        <v/>
      </c>
      <c r="K102" s="98" t="str">
        <f t="shared" si="81"/>
        <v/>
      </c>
      <c r="L102" s="98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7"/>
      <c r="N102" s="7"/>
      <c r="O102" s="100"/>
      <c r="P102" s="5"/>
    </row>
    <row r="103" spans="1:16" x14ac:dyDescent="0.25">
      <c r="A103" s="112" t="s">
        <v>191</v>
      </c>
      <c r="B103" s="4"/>
      <c r="C103" s="4"/>
      <c r="D103" s="6"/>
      <c r="E103" s="6"/>
      <c r="F103" s="97" t="str">
        <f t="shared" si="72"/>
        <v/>
      </c>
      <c r="G103" s="6" t="str">
        <f t="shared" si="73"/>
        <v/>
      </c>
      <c r="H103" s="6" t="str">
        <f t="shared" si="78"/>
        <v/>
      </c>
      <c r="I103" s="97" t="str">
        <f t="shared" si="79"/>
        <v/>
      </c>
      <c r="J103" s="6" t="str">
        <f t="shared" si="80"/>
        <v/>
      </c>
      <c r="K103" s="98" t="str">
        <f t="shared" si="81"/>
        <v/>
      </c>
      <c r="L103" s="98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7"/>
      <c r="N103" s="7"/>
      <c r="O103" s="100"/>
      <c r="P103" s="5"/>
    </row>
    <row r="104" spans="1:16" x14ac:dyDescent="0.25">
      <c r="A104" s="113" t="s">
        <v>264</v>
      </c>
      <c r="B104" s="4" t="s">
        <v>43</v>
      </c>
      <c r="C104" s="4" t="s">
        <v>39</v>
      </c>
      <c r="D104" s="6">
        <v>9</v>
      </c>
      <c r="E104" s="6">
        <v>2</v>
      </c>
      <c r="F104" s="97" t="str">
        <f t="shared" si="72"/>
        <v>Média</v>
      </c>
      <c r="G104" s="6" t="str">
        <f t="shared" si="73"/>
        <v>EEA</v>
      </c>
      <c r="H104" s="6">
        <f t="shared" si="78"/>
        <v>4</v>
      </c>
      <c r="I104" s="97" t="str">
        <f t="shared" si="79"/>
        <v>A</v>
      </c>
      <c r="J104" s="6" t="str">
        <f t="shared" si="80"/>
        <v>EEI</v>
      </c>
      <c r="K104" s="98">
        <f t="shared" si="81"/>
        <v>4</v>
      </c>
      <c r="L104" s="98">
        <f>IF(NOT(ISERROR(VLOOKUP(B104,Deflatores!G$42:H$64,2,FALSE))),VLOOKUP(B104,Deflatores!G$42:H$64,2,FALSE),IF(OR(ISBLANK(C104),ISBLANK(B104)),"",VLOOKUP(C104,Deflatores!G$4:H$38,2,FALSE)*H104+VLOOKUP(C104,Deflatores!G$4:I$38,3,FALSE)))</f>
        <v>4</v>
      </c>
      <c r="M104" s="7"/>
      <c r="N104" s="7"/>
      <c r="O104" s="100"/>
      <c r="P104" s="5"/>
    </row>
    <row r="105" spans="1:16" x14ac:dyDescent="0.25">
      <c r="A105" s="113" t="s">
        <v>265</v>
      </c>
      <c r="B105" s="4" t="s">
        <v>43</v>
      </c>
      <c r="C105" s="4" t="s">
        <v>39</v>
      </c>
      <c r="D105" s="6">
        <v>9</v>
      </c>
      <c r="E105" s="6">
        <v>2</v>
      </c>
      <c r="F105" s="97" t="str">
        <f t="shared" si="72"/>
        <v>Média</v>
      </c>
      <c r="G105" s="6" t="str">
        <f t="shared" si="73"/>
        <v>EEA</v>
      </c>
      <c r="H105" s="6">
        <f t="shared" si="78"/>
        <v>4</v>
      </c>
      <c r="I105" s="97" t="str">
        <f t="shared" si="79"/>
        <v>A</v>
      </c>
      <c r="J105" s="6" t="str">
        <f t="shared" si="80"/>
        <v>EEI</v>
      </c>
      <c r="K105" s="98">
        <f t="shared" si="81"/>
        <v>4</v>
      </c>
      <c r="L105" s="98">
        <f>IF(NOT(ISERROR(VLOOKUP(B105,Deflatores!G$42:H$64,2,FALSE))),VLOOKUP(B105,Deflatores!G$42:H$64,2,FALSE),IF(OR(ISBLANK(C105),ISBLANK(B105)),"",VLOOKUP(C105,Deflatores!G$4:H$38,2,FALSE)*H105+VLOOKUP(C105,Deflatores!G$4:I$38,3,FALSE)))</f>
        <v>4</v>
      </c>
      <c r="M105" s="7"/>
      <c r="N105" s="7"/>
      <c r="O105" s="100"/>
      <c r="P105" s="5"/>
    </row>
    <row r="106" spans="1:16" x14ac:dyDescent="0.25">
      <c r="A106" s="114" t="s">
        <v>178</v>
      </c>
      <c r="B106" s="4" t="s">
        <v>41</v>
      </c>
      <c r="C106" s="4" t="s">
        <v>39</v>
      </c>
      <c r="D106" s="6">
        <v>9</v>
      </c>
      <c r="E106" s="6">
        <v>1</v>
      </c>
      <c r="F106" s="97" t="str">
        <f t="shared" si="72"/>
        <v>Baixa</v>
      </c>
      <c r="G106" s="6" t="str">
        <f t="shared" si="73"/>
        <v>CEL</v>
      </c>
      <c r="H106" s="6">
        <f t="shared" si="78"/>
        <v>3</v>
      </c>
      <c r="I106" s="97" t="str">
        <f t="shared" si="79"/>
        <v>L</v>
      </c>
      <c r="J106" s="6" t="str">
        <f t="shared" si="80"/>
        <v>CEI</v>
      </c>
      <c r="K106" s="98">
        <f t="shared" si="81"/>
        <v>3</v>
      </c>
      <c r="L106" s="98">
        <f>IF(NOT(ISERROR(VLOOKUP(B106,Deflatores!G$42:H$64,2,FALSE))),VLOOKUP(B106,Deflatores!G$42:H$64,2,FALSE),IF(OR(ISBLANK(C106),ISBLANK(B106)),"",VLOOKUP(C106,Deflatores!G$4:H$38,2,FALSE)*H106+VLOOKUP(C106,Deflatores!G$4:I$38,3,FALSE)))</f>
        <v>3</v>
      </c>
      <c r="M106" s="7"/>
      <c r="N106" s="7"/>
      <c r="O106" s="100"/>
      <c r="P106" s="5"/>
    </row>
    <row r="107" spans="1:16" x14ac:dyDescent="0.25">
      <c r="A107" s="113" t="s">
        <v>266</v>
      </c>
      <c r="B107" s="4" t="s">
        <v>43</v>
      </c>
      <c r="C107" s="4" t="s">
        <v>39</v>
      </c>
      <c r="D107" s="6">
        <v>3</v>
      </c>
      <c r="E107" s="6">
        <v>1</v>
      </c>
      <c r="F107" s="97" t="str">
        <f t="shared" si="72"/>
        <v>Baixa</v>
      </c>
      <c r="G107" s="6" t="str">
        <f t="shared" si="73"/>
        <v>EEL</v>
      </c>
      <c r="H107" s="6">
        <f t="shared" si="78"/>
        <v>3</v>
      </c>
      <c r="I107" s="97" t="str">
        <f t="shared" si="79"/>
        <v>L</v>
      </c>
      <c r="J107" s="6" t="str">
        <f t="shared" si="80"/>
        <v>EEI</v>
      </c>
      <c r="K107" s="98">
        <f t="shared" si="81"/>
        <v>3</v>
      </c>
      <c r="L107" s="98">
        <f>IF(NOT(ISERROR(VLOOKUP(B107,Deflatores!G$42:H$64,2,FALSE))),VLOOKUP(B107,Deflatores!G$42:H$64,2,FALSE),IF(OR(ISBLANK(C107),ISBLANK(B107)),"",VLOOKUP(C107,Deflatores!G$4:H$38,2,FALSE)*H107+VLOOKUP(C107,Deflatores!G$4:I$38,3,FALSE)))</f>
        <v>3</v>
      </c>
      <c r="M107" s="7"/>
      <c r="N107" s="7"/>
      <c r="O107" s="100"/>
      <c r="P107" s="5"/>
    </row>
    <row r="108" spans="1:16" x14ac:dyDescent="0.25">
      <c r="A108" s="113" t="s">
        <v>267</v>
      </c>
      <c r="B108" s="4" t="s">
        <v>41</v>
      </c>
      <c r="C108" s="4" t="s">
        <v>39</v>
      </c>
      <c r="D108" s="6">
        <v>7</v>
      </c>
      <c r="E108" s="6">
        <v>1</v>
      </c>
      <c r="F108" s="97" t="str">
        <f t="shared" si="72"/>
        <v>Baixa</v>
      </c>
      <c r="G108" s="6" t="str">
        <f t="shared" si="73"/>
        <v>CEL</v>
      </c>
      <c r="H108" s="6">
        <f t="shared" si="78"/>
        <v>3</v>
      </c>
      <c r="I108" s="97" t="str">
        <f t="shared" si="79"/>
        <v>L</v>
      </c>
      <c r="J108" s="6" t="str">
        <f t="shared" si="80"/>
        <v>CEI</v>
      </c>
      <c r="K108" s="98">
        <f t="shared" si="81"/>
        <v>3</v>
      </c>
      <c r="L108" s="98">
        <f>IF(NOT(ISERROR(VLOOKUP(B108,Deflatores!G$42:H$64,2,FALSE))),VLOOKUP(B108,Deflatores!G$42:H$64,2,FALSE),IF(OR(ISBLANK(C108),ISBLANK(B108)),"",VLOOKUP(C108,Deflatores!G$4:H$38,2,FALSE)*H108+VLOOKUP(C108,Deflatores!G$4:I$38,3,FALSE)))</f>
        <v>3</v>
      </c>
      <c r="M108" s="7"/>
      <c r="N108" s="7"/>
      <c r="O108" s="100"/>
      <c r="P108" s="5"/>
    </row>
    <row r="109" spans="1:16" x14ac:dyDescent="0.25">
      <c r="A109" s="113" t="s">
        <v>268</v>
      </c>
      <c r="B109" s="4" t="s">
        <v>41</v>
      </c>
      <c r="C109" s="4" t="s">
        <v>39</v>
      </c>
      <c r="D109" s="6">
        <v>9</v>
      </c>
      <c r="E109" s="6">
        <v>2</v>
      </c>
      <c r="F109" s="97" t="str">
        <f t="shared" ref="F109:F158" si="82">IF(ISBLANK(B109),"",IF(I109="L","Baixa",IF(I109="A","Média",IF(I109="","","Alta"))))</f>
        <v>Média</v>
      </c>
      <c r="G109" s="6" t="str">
        <f t="shared" ref="G109:G158" si="83">CONCATENATE(B109,I109)</f>
        <v>CEA</v>
      </c>
      <c r="H109" s="6">
        <f t="shared" ref="H109:H158" si="84">IF(ISBLANK(B109),"",IF(B109="ALI",IF(I109="L",7,IF(I109="A",10,15)),IF(B109="AIE",IF(I109="L",5,IF(I109="A",7,10)),IF(B109="SE",IF(I109="L",4,IF(I109="A",5,7)),IF(OR(B109="EE",B109="CE"),IF(I109="L",3,IF(I109="A",4,6)),0)))))</f>
        <v>4</v>
      </c>
      <c r="I109" s="97" t="str">
        <f t="shared" ref="I109:I158" si="85">IF(OR(ISBLANK(D109),ISBLANK(E109)),IF(OR(B109="ALI",B109="AIE"),"L",IF(OR(B109="EE",B109="SE",B109="CE"),"A","")),IF(B109="EE",IF(E109&gt;=3,IF(D109&gt;=5,"H","A"),IF(E109&gt;=2,IF(D109&gt;=16,"H",IF(D109&lt;=4,"L","A")),IF(D109&lt;=15,"L","A"))),IF(OR(B109="SE",B109="CE"),IF(E109&gt;=4,IF(D109&gt;=6,"H","A"),IF(E109&gt;=2,IF(D109&gt;=20,"H",IF(D109&lt;=5,"L","A")),IF(D109&lt;=19,"L","A"))),IF(OR(B109="ALI",B109="AIE"),IF(E109&gt;=6,IF(D109&gt;=20,"H","A"),IF(E109&gt;=2,IF(D109&gt;=51,"H",IF(D109&lt;=19,"L","A")),IF(D109&lt;=50,"L","A"))),""))))</f>
        <v>A</v>
      </c>
      <c r="J109" s="6" t="str">
        <f t="shared" ref="J109:J158" si="86">CONCATENATE(B109,C109)</f>
        <v>CEI</v>
      </c>
      <c r="K109" s="98">
        <f t="shared" ref="K109:K158" si="87">IF(OR(H109="",H109=0),L109,H109)</f>
        <v>4</v>
      </c>
      <c r="L109" s="98">
        <f>IF(NOT(ISERROR(VLOOKUP(B109,Deflatores!G$42:H$64,2,FALSE))),VLOOKUP(B109,Deflatores!G$42:H$64,2,FALSE),IF(OR(ISBLANK(C109),ISBLANK(B109)),"",VLOOKUP(C109,Deflatores!G$4:H$38,2,FALSE)*H109+VLOOKUP(C109,Deflatores!G$4:I$38,3,FALSE)))</f>
        <v>4</v>
      </c>
      <c r="M109" s="7"/>
      <c r="N109" s="7"/>
      <c r="O109" s="100"/>
      <c r="P109" s="5"/>
    </row>
    <row r="110" spans="1:16" x14ac:dyDescent="0.25">
      <c r="A110" s="113"/>
      <c r="B110" s="4"/>
      <c r="C110" s="4"/>
      <c r="D110" s="6"/>
      <c r="E110" s="6"/>
      <c r="F110" s="97" t="str">
        <f t="shared" ref="F110:F115" si="88">IF(ISBLANK(B110),"",IF(I110="L","Baixa",IF(I110="A","Média",IF(I110="","","Alta"))))</f>
        <v/>
      </c>
      <c r="G110" s="6" t="str">
        <f t="shared" ref="G110:G115" si="89">CONCATENATE(B110,I110)</f>
        <v/>
      </c>
      <c r="H110" s="6" t="str">
        <f t="shared" ref="H110:H115" si="90">IF(ISBLANK(B110),"",IF(B110="ALI",IF(I110="L",7,IF(I110="A",10,15)),IF(B110="AIE",IF(I110="L",5,IF(I110="A",7,10)),IF(B110="SE",IF(I110="L",4,IF(I110="A",5,7)),IF(OR(B110="EE",B110="CE"),IF(I110="L",3,IF(I110="A",4,6)),0)))))</f>
        <v/>
      </c>
      <c r="I110" s="97" t="str">
        <f t="shared" ref="I110:I115" si="91"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  <v/>
      </c>
      <c r="J110" s="6" t="str">
        <f t="shared" ref="J110:J115" si="92">CONCATENATE(B110,C110)</f>
        <v/>
      </c>
      <c r="K110" s="98" t="str">
        <f t="shared" ref="K110:K115" si="93">IF(OR(H110="",H110=0),L110,H110)</f>
        <v/>
      </c>
      <c r="L110" s="98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7"/>
      <c r="N110" s="7"/>
      <c r="O110" s="100"/>
      <c r="P110" s="5"/>
    </row>
    <row r="111" spans="1:16" x14ac:dyDescent="0.25">
      <c r="A111" s="112" t="s">
        <v>192</v>
      </c>
      <c r="B111" s="4"/>
      <c r="C111" s="4"/>
      <c r="D111" s="6"/>
      <c r="E111" s="6"/>
      <c r="F111" s="97" t="str">
        <f t="shared" si="88"/>
        <v/>
      </c>
      <c r="G111" s="6" t="str">
        <f t="shared" si="89"/>
        <v/>
      </c>
      <c r="H111" s="6" t="str">
        <f t="shared" si="90"/>
        <v/>
      </c>
      <c r="I111" s="97" t="str">
        <f t="shared" si="91"/>
        <v/>
      </c>
      <c r="J111" s="6" t="str">
        <f t="shared" si="92"/>
        <v/>
      </c>
      <c r="K111" s="98" t="str">
        <f t="shared" si="93"/>
        <v/>
      </c>
      <c r="L111" s="98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7"/>
      <c r="N111" s="7"/>
      <c r="O111" s="100"/>
      <c r="P111" s="5"/>
    </row>
    <row r="112" spans="1:16" x14ac:dyDescent="0.25">
      <c r="A112" s="113" t="s">
        <v>269</v>
      </c>
      <c r="B112" s="4" t="s">
        <v>42</v>
      </c>
      <c r="C112" s="4" t="s">
        <v>39</v>
      </c>
      <c r="D112" s="6">
        <v>58</v>
      </c>
      <c r="E112" s="6">
        <v>6</v>
      </c>
      <c r="F112" s="97" t="str">
        <f t="shared" si="88"/>
        <v>Alta</v>
      </c>
      <c r="G112" s="6" t="str">
        <f t="shared" si="89"/>
        <v>ALIH</v>
      </c>
      <c r="H112" s="6">
        <f t="shared" si="90"/>
        <v>15</v>
      </c>
      <c r="I112" s="97" t="str">
        <f t="shared" si="91"/>
        <v>H</v>
      </c>
      <c r="J112" s="6" t="str">
        <f t="shared" si="92"/>
        <v>ALII</v>
      </c>
      <c r="K112" s="98">
        <f t="shared" si="93"/>
        <v>15</v>
      </c>
      <c r="L112" s="98">
        <f>IF(NOT(ISERROR(VLOOKUP(B112,Deflatores!G$42:H$64,2,FALSE))),VLOOKUP(B112,Deflatores!G$42:H$64,2,FALSE),IF(OR(ISBLANK(C112),ISBLANK(B112)),"",VLOOKUP(C112,Deflatores!G$4:H$38,2,FALSE)*H112+VLOOKUP(C112,Deflatores!G$4:I$38,3,FALSE)))</f>
        <v>15</v>
      </c>
      <c r="M112" s="7"/>
      <c r="N112" s="7"/>
      <c r="O112" s="100"/>
      <c r="P112" s="5"/>
    </row>
    <row r="113" spans="1:16" x14ac:dyDescent="0.25">
      <c r="A113" s="113" t="s">
        <v>270</v>
      </c>
      <c r="B113" s="4" t="s">
        <v>41</v>
      </c>
      <c r="C113" s="4" t="s">
        <v>39</v>
      </c>
      <c r="D113" s="6">
        <v>8</v>
      </c>
      <c r="E113" s="6">
        <v>2</v>
      </c>
      <c r="F113" s="97" t="str">
        <f t="shared" si="88"/>
        <v>Média</v>
      </c>
      <c r="G113" s="6" t="str">
        <f t="shared" si="89"/>
        <v>CEA</v>
      </c>
      <c r="H113" s="6">
        <f t="shared" si="90"/>
        <v>4</v>
      </c>
      <c r="I113" s="97" t="str">
        <f t="shared" si="91"/>
        <v>A</v>
      </c>
      <c r="J113" s="6" t="str">
        <f t="shared" si="92"/>
        <v>CEI</v>
      </c>
      <c r="K113" s="98">
        <f t="shared" si="93"/>
        <v>4</v>
      </c>
      <c r="L113" s="98">
        <f>IF(NOT(ISERROR(VLOOKUP(B113,Deflatores!G$42:H$64,2,FALSE))),VLOOKUP(B113,Deflatores!G$42:H$64,2,FALSE),IF(OR(ISBLANK(C113),ISBLANK(B113)),"",VLOOKUP(C113,Deflatores!G$4:H$38,2,FALSE)*H113+VLOOKUP(C113,Deflatores!G$4:I$38,3,FALSE)))</f>
        <v>4</v>
      </c>
      <c r="M113" s="7"/>
      <c r="N113" s="7"/>
      <c r="O113" s="100"/>
      <c r="P113" s="5"/>
    </row>
    <row r="114" spans="1:16" x14ac:dyDescent="0.25">
      <c r="A114" s="113" t="s">
        <v>263</v>
      </c>
      <c r="B114" s="4" t="s">
        <v>41</v>
      </c>
      <c r="C114" s="4" t="s">
        <v>39</v>
      </c>
      <c r="D114" s="6"/>
      <c r="E114" s="6"/>
      <c r="F114" s="97" t="str">
        <f t="shared" si="88"/>
        <v>Média</v>
      </c>
      <c r="G114" s="6" t="str">
        <f t="shared" si="89"/>
        <v>CEA</v>
      </c>
      <c r="H114" s="6">
        <f t="shared" si="90"/>
        <v>4</v>
      </c>
      <c r="I114" s="97" t="str">
        <f t="shared" si="91"/>
        <v>A</v>
      </c>
      <c r="J114" s="6" t="str">
        <f t="shared" si="92"/>
        <v>CEI</v>
      </c>
      <c r="K114" s="98">
        <f t="shared" si="93"/>
        <v>4</v>
      </c>
      <c r="L114" s="98">
        <f>IF(NOT(ISERROR(VLOOKUP(B114,Deflatores!G$42:H$64,2,FALSE))),VLOOKUP(B114,Deflatores!G$42:H$64,2,FALSE),IF(OR(ISBLANK(C114),ISBLANK(B114)),"",VLOOKUP(C114,Deflatores!G$4:H$38,2,FALSE)*H114+VLOOKUP(C114,Deflatores!G$4:I$38,3,FALSE)))</f>
        <v>4</v>
      </c>
      <c r="M114" s="7"/>
      <c r="N114" s="7"/>
      <c r="O114" s="100"/>
      <c r="P114" s="5"/>
    </row>
    <row r="115" spans="1:16" x14ac:dyDescent="0.25">
      <c r="A115" s="113" t="s">
        <v>271</v>
      </c>
      <c r="B115" s="4" t="s">
        <v>41</v>
      </c>
      <c r="C115" s="4" t="s">
        <v>39</v>
      </c>
      <c r="D115" s="6">
        <v>12</v>
      </c>
      <c r="E115" s="6">
        <v>2</v>
      </c>
      <c r="F115" s="97" t="str">
        <f t="shared" si="88"/>
        <v>Média</v>
      </c>
      <c r="G115" s="6" t="str">
        <f t="shared" si="89"/>
        <v>CEA</v>
      </c>
      <c r="H115" s="6">
        <f t="shared" si="90"/>
        <v>4</v>
      </c>
      <c r="I115" s="97" t="str">
        <f t="shared" si="91"/>
        <v>A</v>
      </c>
      <c r="J115" s="6" t="str">
        <f t="shared" si="92"/>
        <v>CEI</v>
      </c>
      <c r="K115" s="98">
        <f t="shared" si="93"/>
        <v>4</v>
      </c>
      <c r="L115" s="98">
        <f>IF(NOT(ISERROR(VLOOKUP(B115,Deflatores!G$42:H$64,2,FALSE))),VLOOKUP(B115,Deflatores!G$42:H$64,2,FALSE),IF(OR(ISBLANK(C115),ISBLANK(B115)),"",VLOOKUP(C115,Deflatores!G$4:H$38,2,FALSE)*H115+VLOOKUP(C115,Deflatores!G$4:I$38,3,FALSE)))</f>
        <v>4</v>
      </c>
      <c r="M115" s="7"/>
      <c r="N115" s="7"/>
      <c r="O115" s="100"/>
      <c r="P115" s="5"/>
    </row>
    <row r="116" spans="1:16" x14ac:dyDescent="0.25">
      <c r="A116" s="113" t="s">
        <v>272</v>
      </c>
      <c r="B116" s="4" t="s">
        <v>43</v>
      </c>
      <c r="C116" s="4" t="s">
        <v>39</v>
      </c>
      <c r="D116" s="6">
        <v>4</v>
      </c>
      <c r="E116" s="6">
        <v>2</v>
      </c>
      <c r="F116" s="97" t="str">
        <f t="shared" si="82"/>
        <v>Baixa</v>
      </c>
      <c r="G116" s="6" t="str">
        <f t="shared" si="83"/>
        <v>EEL</v>
      </c>
      <c r="H116" s="6">
        <f t="shared" si="84"/>
        <v>3</v>
      </c>
      <c r="I116" s="97" t="str">
        <f t="shared" si="85"/>
        <v>L</v>
      </c>
      <c r="J116" s="6" t="str">
        <f t="shared" si="86"/>
        <v>EEI</v>
      </c>
      <c r="K116" s="98">
        <f t="shared" si="87"/>
        <v>3</v>
      </c>
      <c r="L116" s="98">
        <f>IF(NOT(ISERROR(VLOOKUP(B116,Deflatores!G$42:H$64,2,FALSE))),VLOOKUP(B116,Deflatores!G$42:H$64,2,FALSE),IF(OR(ISBLANK(C116),ISBLANK(B116)),"",VLOOKUP(C116,Deflatores!G$4:H$38,2,FALSE)*H116+VLOOKUP(C116,Deflatores!G$4:I$38,3,FALSE)))</f>
        <v>3</v>
      </c>
      <c r="M116" s="7"/>
      <c r="N116" s="7"/>
      <c r="O116" s="100"/>
      <c r="P116" s="5"/>
    </row>
    <row r="117" spans="1:16" x14ac:dyDescent="0.25">
      <c r="A117" s="113"/>
      <c r="B117" s="4"/>
      <c r="C117" s="4"/>
      <c r="D117" s="6"/>
      <c r="E117" s="6"/>
      <c r="F117" s="97" t="str">
        <f t="shared" si="82"/>
        <v/>
      </c>
      <c r="G117" s="6" t="str">
        <f t="shared" si="83"/>
        <v/>
      </c>
      <c r="H117" s="6" t="str">
        <f t="shared" si="84"/>
        <v/>
      </c>
      <c r="I117" s="97" t="str">
        <f t="shared" si="85"/>
        <v/>
      </c>
      <c r="J117" s="6" t="str">
        <f t="shared" si="86"/>
        <v/>
      </c>
      <c r="K117" s="98" t="str">
        <f t="shared" si="87"/>
        <v/>
      </c>
      <c r="L117" s="98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7"/>
      <c r="N117" s="7"/>
      <c r="O117" s="100"/>
      <c r="P117" s="5"/>
    </row>
    <row r="118" spans="1:16" x14ac:dyDescent="0.25">
      <c r="A118" s="110" t="s">
        <v>193</v>
      </c>
      <c r="B118" s="4"/>
      <c r="C118" s="4"/>
      <c r="D118" s="6"/>
      <c r="E118" s="6"/>
      <c r="F118" s="97" t="str">
        <f t="shared" si="82"/>
        <v/>
      </c>
      <c r="G118" s="6" t="str">
        <f t="shared" si="83"/>
        <v/>
      </c>
      <c r="H118" s="6" t="str">
        <f t="shared" si="84"/>
        <v/>
      </c>
      <c r="I118" s="97" t="str">
        <f t="shared" si="85"/>
        <v/>
      </c>
      <c r="J118" s="6" t="str">
        <f t="shared" si="86"/>
        <v/>
      </c>
      <c r="K118" s="98" t="str">
        <f t="shared" si="87"/>
        <v/>
      </c>
      <c r="L118" s="98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7"/>
      <c r="N118" s="7"/>
      <c r="O118" s="100"/>
      <c r="P118" s="5"/>
    </row>
    <row r="119" spans="1:16" x14ac:dyDescent="0.25">
      <c r="A119" s="109" t="s">
        <v>273</v>
      </c>
      <c r="B119" s="4" t="s">
        <v>43</v>
      </c>
      <c r="C119" s="4" t="s">
        <v>39</v>
      </c>
      <c r="D119" s="6">
        <v>25</v>
      </c>
      <c r="E119" s="6">
        <v>3</v>
      </c>
      <c r="F119" s="97" t="str">
        <f t="shared" si="82"/>
        <v>Alta</v>
      </c>
      <c r="G119" s="6" t="str">
        <f t="shared" si="83"/>
        <v>EEH</v>
      </c>
      <c r="H119" s="6">
        <f t="shared" si="84"/>
        <v>6</v>
      </c>
      <c r="I119" s="97" t="str">
        <f t="shared" si="85"/>
        <v>H</v>
      </c>
      <c r="J119" s="6" t="str">
        <f t="shared" si="86"/>
        <v>EEI</v>
      </c>
      <c r="K119" s="98">
        <f t="shared" si="87"/>
        <v>6</v>
      </c>
      <c r="L119" s="98">
        <f>IF(NOT(ISERROR(VLOOKUP(B119,Deflatores!G$42:H$64,2,FALSE))),VLOOKUP(B119,Deflatores!G$42:H$64,2,FALSE),IF(OR(ISBLANK(C119),ISBLANK(B119)),"",VLOOKUP(C119,Deflatores!G$4:H$38,2,FALSE)*H119+VLOOKUP(C119,Deflatores!G$4:I$38,3,FALSE)))</f>
        <v>6</v>
      </c>
      <c r="M119" s="7"/>
      <c r="N119" s="7"/>
      <c r="O119" s="100"/>
      <c r="P119" s="5"/>
    </row>
    <row r="120" spans="1:16" x14ac:dyDescent="0.25">
      <c r="A120" s="109" t="s">
        <v>275</v>
      </c>
      <c r="B120" s="4" t="s">
        <v>41</v>
      </c>
      <c r="C120" s="4" t="s">
        <v>39</v>
      </c>
      <c r="D120" s="6">
        <v>4</v>
      </c>
      <c r="E120" s="6">
        <v>1</v>
      </c>
      <c r="F120" s="97" t="str">
        <f t="shared" ref="F120:F124" si="94">IF(ISBLANK(B120),"",IF(I120="L","Baixa",IF(I120="A","Média",IF(I120="","","Alta"))))</f>
        <v>Baixa</v>
      </c>
      <c r="G120" s="6" t="str">
        <f t="shared" ref="G120:G124" si="95">CONCATENATE(B120,I120)</f>
        <v>CEL</v>
      </c>
      <c r="H120" s="6">
        <f t="shared" ref="H120:H124" si="96">IF(ISBLANK(B120),"",IF(B120="ALI",IF(I120="L",7,IF(I120="A",10,15)),IF(B120="AIE",IF(I120="L",5,IF(I120="A",7,10)),IF(B120="SE",IF(I120="L",4,IF(I120="A",5,7)),IF(OR(B120="EE",B120="CE"),IF(I120="L",3,IF(I120="A",4,6)),0)))))</f>
        <v>3</v>
      </c>
      <c r="I120" s="97" t="str">
        <f t="shared" ref="I120:I124" si="97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>L</v>
      </c>
      <c r="J120" s="6" t="str">
        <f t="shared" ref="J120:J124" si="98">CONCATENATE(B120,C120)</f>
        <v>CEI</v>
      </c>
      <c r="K120" s="98">
        <f t="shared" ref="K120:K124" si="99">IF(OR(H120="",H120=0),L120,H120)</f>
        <v>3</v>
      </c>
      <c r="L120" s="98">
        <f>IF(NOT(ISERROR(VLOOKUP(B120,Deflatores!G$42:H$64,2,FALSE))),VLOOKUP(B120,Deflatores!G$42:H$64,2,FALSE),IF(OR(ISBLANK(C120),ISBLANK(B120)),"",VLOOKUP(C120,Deflatores!G$4:H$38,2,FALSE)*H120+VLOOKUP(C120,Deflatores!G$4:I$38,3,FALSE)))</f>
        <v>3</v>
      </c>
      <c r="M120" s="7"/>
      <c r="N120" s="7"/>
      <c r="O120" s="100"/>
      <c r="P120" s="5"/>
    </row>
    <row r="121" spans="1:16" x14ac:dyDescent="0.25">
      <c r="A121" s="109" t="s">
        <v>274</v>
      </c>
      <c r="B121" s="4" t="s">
        <v>43</v>
      </c>
      <c r="C121" s="4" t="s">
        <v>39</v>
      </c>
      <c r="D121" s="6">
        <v>25</v>
      </c>
      <c r="E121" s="6">
        <v>3</v>
      </c>
      <c r="F121" s="97" t="str">
        <f t="shared" si="94"/>
        <v>Alta</v>
      </c>
      <c r="G121" s="6" t="str">
        <f t="shared" si="95"/>
        <v>EEH</v>
      </c>
      <c r="H121" s="6">
        <f t="shared" si="96"/>
        <v>6</v>
      </c>
      <c r="I121" s="97" t="str">
        <f t="shared" si="97"/>
        <v>H</v>
      </c>
      <c r="J121" s="6" t="str">
        <f t="shared" si="98"/>
        <v>EEI</v>
      </c>
      <c r="K121" s="98">
        <f t="shared" si="99"/>
        <v>6</v>
      </c>
      <c r="L121" s="98">
        <f>IF(NOT(ISERROR(VLOOKUP(B121,Deflatores!G$42:H$64,2,FALSE))),VLOOKUP(B121,Deflatores!G$42:H$64,2,FALSE),IF(OR(ISBLANK(C121),ISBLANK(B121)),"",VLOOKUP(C121,Deflatores!G$4:H$38,2,FALSE)*H121+VLOOKUP(C121,Deflatores!G$4:I$38,3,FALSE)))</f>
        <v>6</v>
      </c>
      <c r="M121" s="7"/>
      <c r="N121" s="7"/>
      <c r="O121" s="100"/>
      <c r="P121" s="5"/>
    </row>
    <row r="122" spans="1:16" x14ac:dyDescent="0.25">
      <c r="A122" s="114" t="s">
        <v>178</v>
      </c>
      <c r="B122" s="4" t="s">
        <v>41</v>
      </c>
      <c r="C122" s="4" t="s">
        <v>39</v>
      </c>
      <c r="D122" s="6">
        <v>14</v>
      </c>
      <c r="E122" s="6">
        <v>3</v>
      </c>
      <c r="F122" s="97" t="str">
        <f t="shared" si="94"/>
        <v>Média</v>
      </c>
      <c r="G122" s="6" t="str">
        <f t="shared" si="95"/>
        <v>CEA</v>
      </c>
      <c r="H122" s="6">
        <f t="shared" si="96"/>
        <v>4</v>
      </c>
      <c r="I122" s="97" t="str">
        <f t="shared" si="97"/>
        <v>A</v>
      </c>
      <c r="J122" s="6" t="str">
        <f t="shared" si="98"/>
        <v>CEI</v>
      </c>
      <c r="K122" s="98">
        <f t="shared" si="99"/>
        <v>4</v>
      </c>
      <c r="L122" s="98">
        <f>IF(NOT(ISERROR(VLOOKUP(B122,Deflatores!G$42:H$64,2,FALSE))),VLOOKUP(B122,Deflatores!G$42:H$64,2,FALSE),IF(OR(ISBLANK(C122),ISBLANK(B122)),"",VLOOKUP(C122,Deflatores!G$4:H$38,2,FALSE)*H122+VLOOKUP(C122,Deflatores!G$4:I$38,3,FALSE)))</f>
        <v>4</v>
      </c>
      <c r="M122" s="7"/>
      <c r="N122" s="7"/>
      <c r="O122" s="100"/>
      <c r="P122" s="5"/>
    </row>
    <row r="123" spans="1:16" x14ac:dyDescent="0.25">
      <c r="A123" s="114"/>
      <c r="B123" s="4"/>
      <c r="C123" s="4"/>
      <c r="D123" s="6"/>
      <c r="E123" s="6"/>
      <c r="F123" s="97" t="str">
        <f t="shared" si="94"/>
        <v/>
      </c>
      <c r="G123" s="6" t="str">
        <f t="shared" si="95"/>
        <v/>
      </c>
      <c r="H123" s="6" t="str">
        <f t="shared" si="96"/>
        <v/>
      </c>
      <c r="I123" s="97" t="str">
        <f t="shared" si="97"/>
        <v/>
      </c>
      <c r="J123" s="6" t="str">
        <f t="shared" si="98"/>
        <v/>
      </c>
      <c r="K123" s="98" t="str">
        <f t="shared" si="99"/>
        <v/>
      </c>
      <c r="L123" s="98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7"/>
      <c r="N123" s="7"/>
      <c r="O123" s="100"/>
      <c r="P123" s="5"/>
    </row>
    <row r="124" spans="1:16" x14ac:dyDescent="0.25">
      <c r="A124" s="112" t="s">
        <v>194</v>
      </c>
      <c r="B124" s="4"/>
      <c r="C124" s="4"/>
      <c r="D124" s="6"/>
      <c r="E124" s="6"/>
      <c r="F124" s="97" t="str">
        <f t="shared" si="94"/>
        <v/>
      </c>
      <c r="G124" s="6" t="str">
        <f t="shared" si="95"/>
        <v/>
      </c>
      <c r="H124" s="6" t="str">
        <f t="shared" si="96"/>
        <v/>
      </c>
      <c r="I124" s="97" t="str">
        <f t="shared" si="97"/>
        <v/>
      </c>
      <c r="J124" s="6" t="str">
        <f t="shared" si="98"/>
        <v/>
      </c>
      <c r="K124" s="98" t="str">
        <f t="shared" si="99"/>
        <v/>
      </c>
      <c r="L124" s="98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7"/>
      <c r="N124" s="7"/>
      <c r="O124" s="100"/>
      <c r="P124" s="5"/>
    </row>
    <row r="125" spans="1:16" x14ac:dyDescent="0.25">
      <c r="A125" s="109" t="s">
        <v>276</v>
      </c>
      <c r="B125" s="4" t="s">
        <v>43</v>
      </c>
      <c r="C125" s="4" t="s">
        <v>39</v>
      </c>
      <c r="D125" s="6">
        <v>25</v>
      </c>
      <c r="E125" s="6">
        <v>2</v>
      </c>
      <c r="F125" s="97" t="str">
        <f t="shared" si="82"/>
        <v>Alta</v>
      </c>
      <c r="G125" s="6" t="str">
        <f t="shared" si="83"/>
        <v>EEH</v>
      </c>
      <c r="H125" s="6">
        <f t="shared" si="84"/>
        <v>6</v>
      </c>
      <c r="I125" s="97" t="str">
        <f t="shared" si="85"/>
        <v>H</v>
      </c>
      <c r="J125" s="6" t="str">
        <f t="shared" si="86"/>
        <v>EEI</v>
      </c>
      <c r="K125" s="98">
        <f t="shared" si="87"/>
        <v>6</v>
      </c>
      <c r="L125" s="98">
        <f>IF(NOT(ISERROR(VLOOKUP(B125,Deflatores!G$42:H$64,2,FALSE))),VLOOKUP(B125,Deflatores!G$42:H$64,2,FALSE),IF(OR(ISBLANK(C125),ISBLANK(B125)),"",VLOOKUP(C125,Deflatores!G$4:H$38,2,FALSE)*H125+VLOOKUP(C125,Deflatores!G$4:I$38,3,FALSE)))</f>
        <v>6</v>
      </c>
      <c r="M125" s="7"/>
      <c r="N125" s="7"/>
      <c r="O125" s="100"/>
      <c r="P125" s="5"/>
    </row>
    <row r="126" spans="1:16" x14ac:dyDescent="0.25">
      <c r="A126" s="113" t="s">
        <v>277</v>
      </c>
      <c r="B126" s="4" t="s">
        <v>43</v>
      </c>
      <c r="C126" s="4" t="s">
        <v>39</v>
      </c>
      <c r="D126" s="6">
        <v>25</v>
      </c>
      <c r="E126" s="6">
        <v>2</v>
      </c>
      <c r="F126" s="97" t="str">
        <f t="shared" si="82"/>
        <v>Alta</v>
      </c>
      <c r="G126" s="6" t="str">
        <f t="shared" si="83"/>
        <v>EEH</v>
      </c>
      <c r="H126" s="6">
        <f t="shared" si="84"/>
        <v>6</v>
      </c>
      <c r="I126" s="97" t="str">
        <f t="shared" si="85"/>
        <v>H</v>
      </c>
      <c r="J126" s="6" t="str">
        <f t="shared" si="86"/>
        <v>EEI</v>
      </c>
      <c r="K126" s="98">
        <f t="shared" si="87"/>
        <v>6</v>
      </c>
      <c r="L126" s="98">
        <f>IF(NOT(ISERROR(VLOOKUP(B126,Deflatores!G$42:H$64,2,FALSE))),VLOOKUP(B126,Deflatores!G$42:H$64,2,FALSE),IF(OR(ISBLANK(C126),ISBLANK(B126)),"",VLOOKUP(C126,Deflatores!G$4:H$38,2,FALSE)*H126+VLOOKUP(C126,Deflatores!G$4:I$38,3,FALSE)))</f>
        <v>6</v>
      </c>
      <c r="M126" s="7"/>
      <c r="N126" s="7"/>
      <c r="O126" s="100"/>
      <c r="P126" s="5"/>
    </row>
    <row r="127" spans="1:16" x14ac:dyDescent="0.25">
      <c r="A127" s="114" t="s">
        <v>178</v>
      </c>
      <c r="B127" s="4" t="s">
        <v>41</v>
      </c>
      <c r="C127" s="4" t="s">
        <v>39</v>
      </c>
      <c r="D127" s="6">
        <v>10</v>
      </c>
      <c r="E127" s="6">
        <v>1</v>
      </c>
      <c r="F127" s="97" t="str">
        <f t="shared" ref="F127:F131" si="100">IF(ISBLANK(B127),"",IF(I127="L","Baixa",IF(I127="A","Média",IF(I127="","","Alta"))))</f>
        <v>Baixa</v>
      </c>
      <c r="G127" s="6" t="str">
        <f t="shared" ref="G127:G131" si="101">CONCATENATE(B127,I127)</f>
        <v>CEL</v>
      </c>
      <c r="H127" s="6">
        <f t="shared" ref="H127:H131" si="102">IF(ISBLANK(B127),"",IF(B127="ALI",IF(I127="L",7,IF(I127="A",10,15)),IF(B127="AIE",IF(I127="L",5,IF(I127="A",7,10)),IF(B127="SE",IF(I127="L",4,IF(I127="A",5,7)),IF(OR(B127="EE",B127="CE"),IF(I127="L",3,IF(I127="A",4,6)),0)))))</f>
        <v>3</v>
      </c>
      <c r="I127" s="97" t="str">
        <f t="shared" ref="I127:I131" si="103"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  <v>L</v>
      </c>
      <c r="J127" s="6" t="str">
        <f t="shared" ref="J127:J131" si="104">CONCATENATE(B127,C127)</f>
        <v>CEI</v>
      </c>
      <c r="K127" s="98">
        <f t="shared" ref="K127:K131" si="105">IF(OR(H127="",H127=0),L127,H127)</f>
        <v>3</v>
      </c>
      <c r="L127" s="98">
        <f>IF(NOT(ISERROR(VLOOKUP(B127,Deflatores!G$42:H$64,2,FALSE))),VLOOKUP(B127,Deflatores!G$42:H$64,2,FALSE),IF(OR(ISBLANK(C127),ISBLANK(B127)),"",VLOOKUP(C127,Deflatores!G$4:H$38,2,FALSE)*H127+VLOOKUP(C127,Deflatores!G$4:I$38,3,FALSE)))</f>
        <v>3</v>
      </c>
      <c r="M127" s="7"/>
      <c r="N127" s="7"/>
      <c r="O127" s="100"/>
      <c r="P127" s="5"/>
    </row>
    <row r="128" spans="1:16" x14ac:dyDescent="0.25">
      <c r="A128" s="113" t="s">
        <v>278</v>
      </c>
      <c r="B128" s="4" t="s">
        <v>43</v>
      </c>
      <c r="C128" s="4" t="s">
        <v>39</v>
      </c>
      <c r="D128" s="6">
        <v>4</v>
      </c>
      <c r="E128" s="6">
        <v>2</v>
      </c>
      <c r="F128" s="97" t="str">
        <f t="shared" si="100"/>
        <v>Baixa</v>
      </c>
      <c r="G128" s="6" t="str">
        <f t="shared" si="101"/>
        <v>EEL</v>
      </c>
      <c r="H128" s="6">
        <f t="shared" si="102"/>
        <v>3</v>
      </c>
      <c r="I128" s="97" t="str">
        <f t="shared" si="103"/>
        <v>L</v>
      </c>
      <c r="J128" s="6" t="str">
        <f t="shared" si="104"/>
        <v>EEI</v>
      </c>
      <c r="K128" s="98">
        <f t="shared" si="105"/>
        <v>3</v>
      </c>
      <c r="L128" s="98">
        <f>IF(NOT(ISERROR(VLOOKUP(B128,Deflatores!G$42:H$64,2,FALSE))),VLOOKUP(B128,Deflatores!G$42:H$64,2,FALSE),IF(OR(ISBLANK(C128),ISBLANK(B128)),"",VLOOKUP(C128,Deflatores!G$4:H$38,2,FALSE)*H128+VLOOKUP(C128,Deflatores!G$4:I$38,3,FALSE)))</f>
        <v>3</v>
      </c>
      <c r="M128" s="7"/>
      <c r="N128" s="7"/>
      <c r="O128" s="100"/>
      <c r="P128" s="5"/>
    </row>
    <row r="129" spans="1:16" x14ac:dyDescent="0.25">
      <c r="A129" s="113" t="s">
        <v>279</v>
      </c>
      <c r="B129" s="4" t="s">
        <v>41</v>
      </c>
      <c r="C129" s="4" t="s">
        <v>39</v>
      </c>
      <c r="D129" s="6">
        <v>10</v>
      </c>
      <c r="E129" s="6">
        <v>2</v>
      </c>
      <c r="F129" s="97" t="str">
        <f t="shared" si="100"/>
        <v>Média</v>
      </c>
      <c r="G129" s="6" t="str">
        <f t="shared" si="101"/>
        <v>CEA</v>
      </c>
      <c r="H129" s="6">
        <f t="shared" si="102"/>
        <v>4</v>
      </c>
      <c r="I129" s="97" t="str">
        <f t="shared" si="103"/>
        <v>A</v>
      </c>
      <c r="J129" s="6" t="str">
        <f t="shared" si="104"/>
        <v>CEI</v>
      </c>
      <c r="K129" s="98">
        <f t="shared" si="105"/>
        <v>4</v>
      </c>
      <c r="L129" s="98">
        <f>IF(NOT(ISERROR(VLOOKUP(B129,Deflatores!G$42:H$64,2,FALSE))),VLOOKUP(B129,Deflatores!G$42:H$64,2,FALSE),IF(OR(ISBLANK(C129),ISBLANK(B129)),"",VLOOKUP(C129,Deflatores!G$4:H$38,2,FALSE)*H129+VLOOKUP(C129,Deflatores!G$4:I$38,3,FALSE)))</f>
        <v>4</v>
      </c>
      <c r="M129" s="7"/>
      <c r="N129" s="7"/>
      <c r="O129" s="100"/>
      <c r="P129" s="5"/>
    </row>
    <row r="130" spans="1:16" x14ac:dyDescent="0.25">
      <c r="A130" s="113" t="s">
        <v>280</v>
      </c>
      <c r="B130" s="4" t="s">
        <v>41</v>
      </c>
      <c r="C130" s="4" t="s">
        <v>39</v>
      </c>
      <c r="D130" s="6">
        <v>14</v>
      </c>
      <c r="E130" s="6">
        <v>2</v>
      </c>
      <c r="F130" s="97" t="str">
        <f t="shared" si="100"/>
        <v>Média</v>
      </c>
      <c r="G130" s="6" t="str">
        <f t="shared" si="101"/>
        <v>CEA</v>
      </c>
      <c r="H130" s="6">
        <f t="shared" si="102"/>
        <v>4</v>
      </c>
      <c r="I130" s="97" t="str">
        <f t="shared" si="103"/>
        <v>A</v>
      </c>
      <c r="J130" s="6" t="str">
        <f t="shared" si="104"/>
        <v>CEI</v>
      </c>
      <c r="K130" s="98">
        <f t="shared" si="105"/>
        <v>4</v>
      </c>
      <c r="L130" s="98">
        <f>IF(NOT(ISERROR(VLOOKUP(B130,Deflatores!G$42:H$64,2,FALSE))),VLOOKUP(B130,Deflatores!G$42:H$64,2,FALSE),IF(OR(ISBLANK(C130),ISBLANK(B130)),"",VLOOKUP(C130,Deflatores!G$4:H$38,2,FALSE)*H130+VLOOKUP(C130,Deflatores!G$4:I$38,3,FALSE)))</f>
        <v>4</v>
      </c>
      <c r="M130" s="7"/>
      <c r="N130" s="7"/>
      <c r="O130" s="100"/>
      <c r="P130" s="5"/>
    </row>
    <row r="131" spans="1:16" x14ac:dyDescent="0.25">
      <c r="A131" s="113" t="s">
        <v>281</v>
      </c>
      <c r="B131" s="4" t="s">
        <v>41</v>
      </c>
      <c r="C131" s="4" t="s">
        <v>39</v>
      </c>
      <c r="D131" s="6">
        <v>12</v>
      </c>
      <c r="E131" s="6">
        <v>1</v>
      </c>
      <c r="F131" s="97" t="str">
        <f t="shared" si="100"/>
        <v>Baixa</v>
      </c>
      <c r="G131" s="6" t="str">
        <f t="shared" si="101"/>
        <v>CEL</v>
      </c>
      <c r="H131" s="6">
        <f t="shared" si="102"/>
        <v>3</v>
      </c>
      <c r="I131" s="97" t="str">
        <f t="shared" si="103"/>
        <v>L</v>
      </c>
      <c r="J131" s="6" t="str">
        <f t="shared" si="104"/>
        <v>CEI</v>
      </c>
      <c r="K131" s="98">
        <f t="shared" si="105"/>
        <v>3</v>
      </c>
      <c r="L131" s="98">
        <f>IF(NOT(ISERROR(VLOOKUP(B131,Deflatores!G$42:H$64,2,FALSE))),VLOOKUP(B131,Deflatores!G$42:H$64,2,FALSE),IF(OR(ISBLANK(C131),ISBLANK(B131)),"",VLOOKUP(C131,Deflatores!G$4:H$38,2,FALSE)*H131+VLOOKUP(C131,Deflatores!G$4:I$38,3,FALSE)))</f>
        <v>3</v>
      </c>
      <c r="M131" s="7"/>
      <c r="N131" s="7"/>
      <c r="O131" s="100"/>
      <c r="P131" s="5"/>
    </row>
    <row r="132" spans="1:16" x14ac:dyDescent="0.25">
      <c r="A132" s="110"/>
      <c r="B132" s="4"/>
      <c r="C132" s="4"/>
      <c r="D132" s="6"/>
      <c r="E132" s="6"/>
      <c r="F132" s="97" t="str">
        <f t="shared" si="82"/>
        <v/>
      </c>
      <c r="G132" s="6" t="str">
        <f t="shared" si="83"/>
        <v/>
      </c>
      <c r="H132" s="6" t="str">
        <f t="shared" si="84"/>
        <v/>
      </c>
      <c r="I132" s="97" t="str">
        <f t="shared" si="85"/>
        <v/>
      </c>
      <c r="J132" s="6" t="str">
        <f t="shared" si="86"/>
        <v/>
      </c>
      <c r="K132" s="98" t="str">
        <f t="shared" si="87"/>
        <v/>
      </c>
      <c r="L132" s="98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7"/>
      <c r="N132" s="7"/>
      <c r="O132" s="100"/>
      <c r="P132" s="5"/>
    </row>
    <row r="133" spans="1:16" x14ac:dyDescent="0.25">
      <c r="A133" s="110" t="s">
        <v>195</v>
      </c>
      <c r="B133" s="4"/>
      <c r="C133" s="4"/>
      <c r="D133" s="6"/>
      <c r="E133" s="6"/>
      <c r="F133" s="97" t="str">
        <f t="shared" si="82"/>
        <v/>
      </c>
      <c r="G133" s="6" t="str">
        <f t="shared" si="83"/>
        <v/>
      </c>
      <c r="H133" s="6" t="str">
        <f t="shared" si="84"/>
        <v/>
      </c>
      <c r="I133" s="97" t="str">
        <f t="shared" si="85"/>
        <v/>
      </c>
      <c r="J133" s="6" t="str">
        <f t="shared" si="86"/>
        <v/>
      </c>
      <c r="K133" s="98" t="str">
        <f t="shared" si="87"/>
        <v/>
      </c>
      <c r="L133" s="98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7"/>
      <c r="N133" s="7"/>
      <c r="O133" s="100"/>
      <c r="P133" s="5"/>
    </row>
    <row r="134" spans="1:16" x14ac:dyDescent="0.25">
      <c r="A134" s="109" t="s">
        <v>282</v>
      </c>
      <c r="B134" s="4" t="s">
        <v>43</v>
      </c>
      <c r="C134" s="4" t="s">
        <v>39</v>
      </c>
      <c r="D134" s="6">
        <v>19</v>
      </c>
      <c r="E134" s="6">
        <v>2</v>
      </c>
      <c r="F134" s="97" t="str">
        <f t="shared" si="82"/>
        <v>Alta</v>
      </c>
      <c r="G134" s="6" t="str">
        <f t="shared" si="83"/>
        <v>EEH</v>
      </c>
      <c r="H134" s="6">
        <f t="shared" si="84"/>
        <v>6</v>
      </c>
      <c r="I134" s="97" t="str">
        <f t="shared" si="85"/>
        <v>H</v>
      </c>
      <c r="J134" s="6" t="str">
        <f t="shared" si="86"/>
        <v>EEI</v>
      </c>
      <c r="K134" s="98">
        <f t="shared" si="87"/>
        <v>6</v>
      </c>
      <c r="L134" s="98">
        <f>IF(NOT(ISERROR(VLOOKUP(B134,Deflatores!G$42:H$64,2,FALSE))),VLOOKUP(B134,Deflatores!G$42:H$64,2,FALSE),IF(OR(ISBLANK(C134),ISBLANK(B134)),"",VLOOKUP(C134,Deflatores!G$4:H$38,2,FALSE)*H134+VLOOKUP(C134,Deflatores!G$4:I$38,3,FALSE)))</f>
        <v>6</v>
      </c>
      <c r="M134" s="7"/>
      <c r="N134" s="7"/>
      <c r="O134" s="100"/>
      <c r="P134" s="5"/>
    </row>
    <row r="135" spans="1:16" x14ac:dyDescent="0.25">
      <c r="A135" s="109" t="s">
        <v>283</v>
      </c>
      <c r="B135" s="4" t="s">
        <v>41</v>
      </c>
      <c r="C135" s="4" t="s">
        <v>39</v>
      </c>
      <c r="D135" s="6">
        <v>12</v>
      </c>
      <c r="E135" s="6">
        <v>1</v>
      </c>
      <c r="F135" s="97" t="str">
        <f t="shared" si="82"/>
        <v>Baixa</v>
      </c>
      <c r="G135" s="6" t="str">
        <f t="shared" si="83"/>
        <v>CEL</v>
      </c>
      <c r="H135" s="6">
        <f t="shared" si="84"/>
        <v>3</v>
      </c>
      <c r="I135" s="97" t="str">
        <f t="shared" si="85"/>
        <v>L</v>
      </c>
      <c r="J135" s="6" t="str">
        <f t="shared" si="86"/>
        <v>CEI</v>
      </c>
      <c r="K135" s="98">
        <f t="shared" si="87"/>
        <v>3</v>
      </c>
      <c r="L135" s="98">
        <f>IF(NOT(ISERROR(VLOOKUP(B135,Deflatores!G$42:H$64,2,FALSE))),VLOOKUP(B135,Deflatores!G$42:H$64,2,FALSE),IF(OR(ISBLANK(C135),ISBLANK(B135)),"",VLOOKUP(C135,Deflatores!G$4:H$38,2,FALSE)*H135+VLOOKUP(C135,Deflatores!G$4:I$38,3,FALSE)))</f>
        <v>3</v>
      </c>
      <c r="M135" s="7"/>
      <c r="N135" s="7"/>
      <c r="O135" s="100"/>
      <c r="P135" s="5"/>
    </row>
    <row r="136" spans="1:16" x14ac:dyDescent="0.25">
      <c r="A136" s="114" t="s">
        <v>178</v>
      </c>
      <c r="B136" s="4" t="s">
        <v>41</v>
      </c>
      <c r="C136" s="4" t="s">
        <v>39</v>
      </c>
      <c r="D136" s="6">
        <v>3</v>
      </c>
      <c r="E136" s="6">
        <v>1</v>
      </c>
      <c r="F136" s="97" t="str">
        <f t="shared" si="82"/>
        <v>Baixa</v>
      </c>
      <c r="G136" s="6" t="str">
        <f t="shared" si="83"/>
        <v>CEL</v>
      </c>
      <c r="H136" s="6">
        <f t="shared" si="84"/>
        <v>3</v>
      </c>
      <c r="I136" s="97" t="str">
        <f t="shared" si="85"/>
        <v>L</v>
      </c>
      <c r="J136" s="6" t="str">
        <f t="shared" si="86"/>
        <v>CEI</v>
      </c>
      <c r="K136" s="98">
        <f t="shared" si="87"/>
        <v>3</v>
      </c>
      <c r="L136" s="98">
        <f>IF(NOT(ISERROR(VLOOKUP(B136,Deflatores!G$42:H$64,2,FALSE))),VLOOKUP(B136,Deflatores!G$42:H$64,2,FALSE),IF(OR(ISBLANK(C136),ISBLANK(B136)),"",VLOOKUP(C136,Deflatores!G$4:H$38,2,FALSE)*H136+VLOOKUP(C136,Deflatores!G$4:I$38,3,FALSE)))</f>
        <v>3</v>
      </c>
      <c r="M136" s="7"/>
      <c r="N136" s="7"/>
      <c r="O136" s="100"/>
      <c r="P136" s="5"/>
    </row>
    <row r="137" spans="1:16" x14ac:dyDescent="0.25">
      <c r="A137" s="110"/>
      <c r="B137" s="4"/>
      <c r="C137" s="4"/>
      <c r="D137" s="6"/>
      <c r="E137" s="6"/>
      <c r="F137" s="97" t="str">
        <f t="shared" si="82"/>
        <v/>
      </c>
      <c r="G137" s="6" t="str">
        <f t="shared" si="83"/>
        <v/>
      </c>
      <c r="H137" s="6" t="str">
        <f t="shared" si="84"/>
        <v/>
      </c>
      <c r="I137" s="97" t="str">
        <f t="shared" si="85"/>
        <v/>
      </c>
      <c r="J137" s="6" t="str">
        <f t="shared" si="86"/>
        <v/>
      </c>
      <c r="K137" s="98" t="str">
        <f t="shared" si="87"/>
        <v/>
      </c>
      <c r="L137" s="98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7"/>
      <c r="N137" s="7"/>
      <c r="O137" s="100"/>
      <c r="P137" s="5"/>
    </row>
    <row r="138" spans="1:16" x14ac:dyDescent="0.25">
      <c r="A138" s="110" t="s">
        <v>196</v>
      </c>
      <c r="B138" s="4"/>
      <c r="C138" s="4"/>
      <c r="D138" s="6"/>
      <c r="E138" s="6"/>
      <c r="F138" s="97" t="str">
        <f t="shared" si="82"/>
        <v/>
      </c>
      <c r="G138" s="6" t="str">
        <f t="shared" si="83"/>
        <v/>
      </c>
      <c r="H138" s="6" t="str">
        <f t="shared" si="84"/>
        <v/>
      </c>
      <c r="I138" s="97" t="str">
        <f t="shared" si="85"/>
        <v/>
      </c>
      <c r="J138" s="6" t="str">
        <f t="shared" si="86"/>
        <v/>
      </c>
      <c r="K138" s="98" t="str">
        <f t="shared" si="87"/>
        <v/>
      </c>
      <c r="L138" s="98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7"/>
      <c r="N138" s="7"/>
      <c r="O138" s="100"/>
      <c r="P138" s="5"/>
    </row>
    <row r="139" spans="1:16" x14ac:dyDescent="0.25">
      <c r="A139" s="109" t="s">
        <v>284</v>
      </c>
      <c r="B139" s="4" t="s">
        <v>41</v>
      </c>
      <c r="C139" s="4" t="s">
        <v>39</v>
      </c>
      <c r="D139" s="6">
        <v>2</v>
      </c>
      <c r="E139" s="6">
        <v>2</v>
      </c>
      <c r="F139" s="97" t="str">
        <f t="shared" si="82"/>
        <v>Baixa</v>
      </c>
      <c r="G139" s="6" t="str">
        <f t="shared" si="83"/>
        <v>CEL</v>
      </c>
      <c r="H139" s="6">
        <f t="shared" si="84"/>
        <v>3</v>
      </c>
      <c r="I139" s="97" t="str">
        <f t="shared" si="85"/>
        <v>L</v>
      </c>
      <c r="J139" s="6" t="str">
        <f t="shared" si="86"/>
        <v>CEI</v>
      </c>
      <c r="K139" s="98">
        <f t="shared" si="87"/>
        <v>3</v>
      </c>
      <c r="L139" s="98">
        <f>IF(NOT(ISERROR(VLOOKUP(B139,Deflatores!G$42:H$64,2,FALSE))),VLOOKUP(B139,Deflatores!G$42:H$64,2,FALSE),IF(OR(ISBLANK(C139),ISBLANK(B139)),"",VLOOKUP(C139,Deflatores!G$4:H$38,2,FALSE)*H139+VLOOKUP(C139,Deflatores!G$4:I$38,3,FALSE)))</f>
        <v>3</v>
      </c>
      <c r="M139" s="7"/>
      <c r="N139" s="7"/>
      <c r="O139" s="100"/>
      <c r="P139" s="5"/>
    </row>
    <row r="140" spans="1:16" x14ac:dyDescent="0.25">
      <c r="A140" s="109" t="s">
        <v>285</v>
      </c>
      <c r="B140" s="4" t="s">
        <v>40</v>
      </c>
      <c r="C140" s="4" t="s">
        <v>39</v>
      </c>
      <c r="D140" s="6">
        <v>10</v>
      </c>
      <c r="E140" s="6">
        <v>2</v>
      </c>
      <c r="F140" s="97" t="str">
        <f t="shared" si="82"/>
        <v>Média</v>
      </c>
      <c r="G140" s="6" t="str">
        <f t="shared" si="83"/>
        <v>SEA</v>
      </c>
      <c r="H140" s="6">
        <f t="shared" si="84"/>
        <v>5</v>
      </c>
      <c r="I140" s="97" t="str">
        <f t="shared" si="85"/>
        <v>A</v>
      </c>
      <c r="J140" s="6" t="str">
        <f t="shared" si="86"/>
        <v>SEI</v>
      </c>
      <c r="K140" s="98">
        <f t="shared" si="87"/>
        <v>5</v>
      </c>
      <c r="L140" s="98">
        <f>IF(NOT(ISERROR(VLOOKUP(B140,Deflatores!G$42:H$64,2,FALSE))),VLOOKUP(B140,Deflatores!G$42:H$64,2,FALSE),IF(OR(ISBLANK(C140),ISBLANK(B140)),"",VLOOKUP(C140,Deflatores!G$4:H$38,2,FALSE)*H140+VLOOKUP(C140,Deflatores!G$4:I$38,3,FALSE)))</f>
        <v>5</v>
      </c>
      <c r="M140" s="7"/>
      <c r="N140" s="7"/>
      <c r="O140" s="100"/>
      <c r="P140" s="5"/>
    </row>
    <row r="141" spans="1:16" x14ac:dyDescent="0.25">
      <c r="A141" s="109" t="s">
        <v>286</v>
      </c>
      <c r="B141" s="4" t="s">
        <v>41</v>
      </c>
      <c r="C141" s="4" t="s">
        <v>39</v>
      </c>
      <c r="D141" s="6">
        <v>10</v>
      </c>
      <c r="E141" s="6">
        <v>2</v>
      </c>
      <c r="F141" s="97" t="str">
        <f t="shared" si="82"/>
        <v>Média</v>
      </c>
      <c r="G141" s="6" t="str">
        <f t="shared" si="83"/>
        <v>CEA</v>
      </c>
      <c r="H141" s="6">
        <f t="shared" si="84"/>
        <v>4</v>
      </c>
      <c r="I141" s="97" t="str">
        <f t="shared" si="85"/>
        <v>A</v>
      </c>
      <c r="J141" s="6" t="str">
        <f t="shared" si="86"/>
        <v>CEI</v>
      </c>
      <c r="K141" s="98">
        <f t="shared" si="87"/>
        <v>4</v>
      </c>
      <c r="L141" s="98">
        <f>IF(NOT(ISERROR(VLOOKUP(B141,Deflatores!G$42:H$64,2,FALSE))),VLOOKUP(B141,Deflatores!G$42:H$64,2,FALSE),IF(OR(ISBLANK(C141),ISBLANK(B141)),"",VLOOKUP(C141,Deflatores!G$4:H$38,2,FALSE)*H141+VLOOKUP(C141,Deflatores!G$4:I$38,3,FALSE)))</f>
        <v>4</v>
      </c>
      <c r="M141" s="7"/>
      <c r="N141" s="7"/>
      <c r="O141" s="100"/>
      <c r="P141" s="5"/>
    </row>
    <row r="142" spans="1:16" x14ac:dyDescent="0.25">
      <c r="A142" s="109" t="s">
        <v>287</v>
      </c>
      <c r="B142" s="4" t="s">
        <v>41</v>
      </c>
      <c r="C142" s="4" t="s">
        <v>39</v>
      </c>
      <c r="D142" s="6">
        <v>10</v>
      </c>
      <c r="E142" s="6">
        <v>2</v>
      </c>
      <c r="F142" s="97" t="str">
        <f t="shared" si="82"/>
        <v>Média</v>
      </c>
      <c r="G142" s="6" t="str">
        <f t="shared" si="83"/>
        <v>CEA</v>
      </c>
      <c r="H142" s="6">
        <f t="shared" si="84"/>
        <v>4</v>
      </c>
      <c r="I142" s="97" t="str">
        <f t="shared" si="85"/>
        <v>A</v>
      </c>
      <c r="J142" s="6" t="str">
        <f t="shared" si="86"/>
        <v>CEI</v>
      </c>
      <c r="K142" s="98">
        <f t="shared" si="87"/>
        <v>4</v>
      </c>
      <c r="L142" s="98">
        <f>IF(NOT(ISERROR(VLOOKUP(B142,Deflatores!G$42:H$64,2,FALSE))),VLOOKUP(B142,Deflatores!G$42:H$64,2,FALSE),IF(OR(ISBLANK(C142),ISBLANK(B142)),"",VLOOKUP(C142,Deflatores!G$4:H$38,2,FALSE)*H142+VLOOKUP(C142,Deflatores!G$4:I$38,3,FALSE)))</f>
        <v>4</v>
      </c>
      <c r="M142" s="7"/>
      <c r="N142" s="7"/>
      <c r="O142" s="100"/>
      <c r="P142" s="5"/>
    </row>
    <row r="143" spans="1:16" x14ac:dyDescent="0.25">
      <c r="A143" s="110"/>
      <c r="B143" s="4"/>
      <c r="C143" s="4"/>
      <c r="D143" s="6"/>
      <c r="E143" s="6"/>
      <c r="F143" s="97" t="str">
        <f t="shared" si="82"/>
        <v/>
      </c>
      <c r="G143" s="6" t="str">
        <f t="shared" si="83"/>
        <v/>
      </c>
      <c r="H143" s="6" t="str">
        <f t="shared" si="84"/>
        <v/>
      </c>
      <c r="I143" s="97" t="str">
        <f t="shared" si="85"/>
        <v/>
      </c>
      <c r="J143" s="6" t="str">
        <f t="shared" si="86"/>
        <v/>
      </c>
      <c r="K143" s="98" t="str">
        <f t="shared" si="87"/>
        <v/>
      </c>
      <c r="L143" s="98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7"/>
      <c r="N143" s="7"/>
      <c r="O143" s="100"/>
      <c r="P143" s="5"/>
    </row>
    <row r="144" spans="1:16" x14ac:dyDescent="0.25">
      <c r="A144" s="110" t="s">
        <v>197</v>
      </c>
      <c r="B144" s="4"/>
      <c r="C144" s="4"/>
      <c r="D144" s="6"/>
      <c r="E144" s="6"/>
      <c r="F144" s="97" t="str">
        <f t="shared" si="82"/>
        <v/>
      </c>
      <c r="G144" s="6" t="str">
        <f t="shared" si="83"/>
        <v/>
      </c>
      <c r="H144" s="6" t="str">
        <f t="shared" si="84"/>
        <v/>
      </c>
      <c r="I144" s="97" t="str">
        <f t="shared" si="85"/>
        <v/>
      </c>
      <c r="J144" s="6" t="str">
        <f t="shared" si="86"/>
        <v/>
      </c>
      <c r="K144" s="98" t="str">
        <f t="shared" si="87"/>
        <v/>
      </c>
      <c r="L144" s="98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7"/>
      <c r="N144" s="7"/>
      <c r="O144" s="100"/>
      <c r="P144" s="5"/>
    </row>
    <row r="145" spans="1:16" x14ac:dyDescent="0.25">
      <c r="A145" s="113" t="s">
        <v>289</v>
      </c>
      <c r="B145" s="4" t="s">
        <v>43</v>
      </c>
      <c r="C145" s="4" t="s">
        <v>39</v>
      </c>
      <c r="D145" s="6">
        <v>7</v>
      </c>
      <c r="E145" s="6">
        <v>3</v>
      </c>
      <c r="F145" s="97" t="str">
        <f t="shared" si="82"/>
        <v>Alta</v>
      </c>
      <c r="G145" s="6" t="str">
        <f t="shared" si="83"/>
        <v>EEH</v>
      </c>
      <c r="H145" s="6">
        <f t="shared" si="84"/>
        <v>6</v>
      </c>
      <c r="I145" s="97" t="str">
        <f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>H</v>
      </c>
      <c r="J145" s="6" t="str">
        <f t="shared" si="86"/>
        <v>EEI</v>
      </c>
      <c r="K145" s="98">
        <f t="shared" si="87"/>
        <v>6</v>
      </c>
      <c r="L145" s="98">
        <f>IF(NOT(ISERROR(VLOOKUP(B145,Deflatores!G$42:H$64,2,FALSE))),VLOOKUP(B145,Deflatores!G$42:H$64,2,FALSE),IF(OR(ISBLANK(C145),ISBLANK(B145)),"",VLOOKUP(C145,Deflatores!G$4:H$38,2,FALSE)*H145+VLOOKUP(C145,Deflatores!G$4:I$38,3,FALSE)))</f>
        <v>6</v>
      </c>
      <c r="M145" s="7"/>
      <c r="N145" s="7"/>
      <c r="O145" s="100"/>
      <c r="P145" s="5"/>
    </row>
    <row r="146" spans="1:16" x14ac:dyDescent="0.25">
      <c r="A146" s="114" t="s">
        <v>288</v>
      </c>
      <c r="B146" s="4" t="s">
        <v>41</v>
      </c>
      <c r="C146" s="4" t="s">
        <v>39</v>
      </c>
      <c r="D146" s="6">
        <v>2</v>
      </c>
      <c r="E146" s="6">
        <v>1</v>
      </c>
      <c r="F146" s="97" t="str">
        <f t="shared" si="82"/>
        <v>Baixa</v>
      </c>
      <c r="G146" s="6" t="str">
        <f t="shared" si="83"/>
        <v>CEL</v>
      </c>
      <c r="H146" s="6">
        <f t="shared" si="84"/>
        <v>3</v>
      </c>
      <c r="I146" s="97" t="str">
        <f>IF(OR(ISBLANK(D146),ISBLANK(E146)),IF(OR(B146="ALI",B146="AIE"),"L",IF(OR(B146="EE",B146="SE",B146="CE"),"A","")),IF(B146="EE",IF(E146&gt;=3,IF(D146&gt;=5,"H","A"),IF(E146&gt;=2,IF(D146&gt;=16,"H",IF(D146&lt;=4,"L","A")),IF(D146&lt;=15,"L","A"))),IF(OR(B146="SE",B146="CE"),IF(E146&gt;=4,IF(D146&gt;=6,"H","A"),IF(E146&gt;=2,IF(D146&gt;=20,"H",IF(D146&lt;=5,"L","A")),IF(D146&lt;=19,"L","A"))),IF(OR(B146="ALI",B146="AIE"),IF(E146&gt;=6,IF(D146&gt;=20,"H","A"),IF(E146&gt;=2,IF(D146&gt;=51,"H",IF(D146&lt;=19,"L","A")),IF(D146&lt;=50,"L","A"))),""))))</f>
        <v>L</v>
      </c>
      <c r="J146" s="6" t="str">
        <f t="shared" si="86"/>
        <v>CEI</v>
      </c>
      <c r="K146" s="98">
        <f t="shared" si="87"/>
        <v>3</v>
      </c>
      <c r="L146" s="98">
        <f>IF(NOT(ISERROR(VLOOKUP(B146,Deflatores!G$42:H$64,2,FALSE))),VLOOKUP(B146,Deflatores!G$42:H$64,2,FALSE),IF(OR(ISBLANK(C146),ISBLANK(B146)),"",VLOOKUP(C146,Deflatores!G$4:H$38,2,FALSE)*H146+VLOOKUP(C146,Deflatores!G$4:I$38,3,FALSE)))</f>
        <v>3</v>
      </c>
      <c r="M146" s="7"/>
      <c r="N146" s="7"/>
      <c r="O146" s="100"/>
      <c r="P146" s="5"/>
    </row>
    <row r="147" spans="1:16" x14ac:dyDescent="0.25">
      <c r="A147" s="113" t="s">
        <v>290</v>
      </c>
      <c r="B147" s="4" t="s">
        <v>43</v>
      </c>
      <c r="C147" s="4" t="s">
        <v>39</v>
      </c>
      <c r="D147" s="6">
        <v>10</v>
      </c>
      <c r="E147" s="6">
        <v>1</v>
      </c>
      <c r="F147" s="97" t="str">
        <f t="shared" si="82"/>
        <v>Baixa</v>
      </c>
      <c r="G147" s="6" t="str">
        <f t="shared" si="83"/>
        <v>EEL</v>
      </c>
      <c r="H147" s="6">
        <f t="shared" ref="H147" si="106">IF(ISBLANK(B147),"",IF(B147="ALI",IF(I147="L",7,IF(I147="A",10,15)),IF(B147="AIE",IF(I147="L",5,IF(I147="A",7,10)),IF(B147="SE",IF(I147="L",4,IF(I147="A",5,7)),IF(OR(B147="EE",B147="CE"),IF(I147="L",3,IF(I147="A",4,6)),0)))))</f>
        <v>3</v>
      </c>
      <c r="I147" s="97" t="str">
        <f>IF(OR(ISBLANK(D147),ISBLANK(E147)),IF(OR(B147="ALI",B147="AIE"),"L",IF(OR(B147="EE",B147="SE",B147="CE"),"A","")),IF(B147="EE",IF(E147&gt;=3,IF(D147&gt;=5,"H","A"),IF(E147&gt;=2,IF(D147&gt;=16,"H",IF(D147&lt;=4,"L","A")),IF(D147&lt;=15,"L","A"))),IF(OR(B147="SE",B147="CE"),IF(E147&gt;=4,IF(D147&gt;=6,"H","A"),IF(E147&gt;=2,IF(D147&gt;=20,"H",IF(D147&lt;=5,"L","A")),IF(D147&lt;=19,"L","A"))),IF(OR(B147="ALI",B147="AIE"),IF(E147&gt;=6,IF(D147&gt;=20,"H","A"),IF(E147&gt;=2,IF(D147&gt;=51,"H",IF(D147&lt;=19,"L","A")),IF(D147&lt;=50,"L","A"))),""))))</f>
        <v>L</v>
      </c>
      <c r="J147" s="6" t="str">
        <f t="shared" ref="J147" si="107">CONCATENATE(B147,C147)</f>
        <v>EEI</v>
      </c>
      <c r="K147" s="98">
        <f t="shared" ref="K147" si="108">IF(OR(H147="",H147=0),L147,H147)</f>
        <v>3</v>
      </c>
      <c r="L147" s="98">
        <f>IF(NOT(ISERROR(VLOOKUP(B147,Deflatores!G$42:H$64,2,FALSE))),VLOOKUP(B147,Deflatores!G$42:H$64,2,FALSE),IF(OR(ISBLANK(C147),ISBLANK(B147)),"",VLOOKUP(C147,Deflatores!G$4:H$38,2,FALSE)*H147+VLOOKUP(C147,Deflatores!G$4:I$38,3,FALSE)))</f>
        <v>3</v>
      </c>
      <c r="M147" s="7"/>
      <c r="N147" s="7"/>
      <c r="O147" s="100"/>
      <c r="P147" s="5"/>
    </row>
    <row r="148" spans="1:16" x14ac:dyDescent="0.25">
      <c r="A148" s="110"/>
      <c r="B148" s="4"/>
      <c r="C148" s="4"/>
      <c r="D148" s="6"/>
      <c r="E148" s="6"/>
      <c r="F148" s="97" t="str">
        <f t="shared" si="82"/>
        <v/>
      </c>
      <c r="G148" s="6" t="str">
        <f t="shared" si="83"/>
        <v/>
      </c>
      <c r="H148" s="6" t="str">
        <f t="shared" si="84"/>
        <v/>
      </c>
      <c r="I148" s="97" t="str">
        <f t="shared" si="85"/>
        <v/>
      </c>
      <c r="J148" s="6" t="str">
        <f t="shared" si="86"/>
        <v/>
      </c>
      <c r="K148" s="98" t="str">
        <f t="shared" si="87"/>
        <v/>
      </c>
      <c r="L148" s="98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7"/>
      <c r="N148" s="7"/>
      <c r="O148" s="100"/>
      <c r="P148" s="5"/>
    </row>
    <row r="149" spans="1:16" x14ac:dyDescent="0.25">
      <c r="A149" s="110" t="s">
        <v>198</v>
      </c>
      <c r="B149" s="4"/>
      <c r="C149" s="4"/>
      <c r="D149" s="6"/>
      <c r="E149" s="6"/>
      <c r="F149" s="97" t="str">
        <f t="shared" si="82"/>
        <v/>
      </c>
      <c r="G149" s="6" t="str">
        <f t="shared" si="83"/>
        <v/>
      </c>
      <c r="H149" s="6" t="str">
        <f t="shared" si="84"/>
        <v/>
      </c>
      <c r="I149" s="97" t="str">
        <f t="shared" si="85"/>
        <v/>
      </c>
      <c r="J149" s="6" t="str">
        <f t="shared" si="86"/>
        <v/>
      </c>
      <c r="K149" s="98" t="str">
        <f t="shared" si="87"/>
        <v/>
      </c>
      <c r="L149" s="98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7"/>
      <c r="N149" s="7"/>
      <c r="O149" s="100"/>
      <c r="P149" s="5"/>
    </row>
    <row r="150" spans="1:16" x14ac:dyDescent="0.25">
      <c r="A150" s="109" t="s">
        <v>291</v>
      </c>
      <c r="B150" s="4" t="s">
        <v>40</v>
      </c>
      <c r="C150" s="4" t="s">
        <v>39</v>
      </c>
      <c r="D150" s="6">
        <v>9</v>
      </c>
      <c r="E150" s="6">
        <v>2</v>
      </c>
      <c r="F150" s="97" t="str">
        <f t="shared" si="82"/>
        <v>Média</v>
      </c>
      <c r="G150" s="6" t="str">
        <f t="shared" si="83"/>
        <v>SEA</v>
      </c>
      <c r="H150" s="6">
        <f t="shared" si="84"/>
        <v>5</v>
      </c>
      <c r="I150" s="97" t="str">
        <f t="shared" si="85"/>
        <v>A</v>
      </c>
      <c r="J150" s="6" t="str">
        <f t="shared" si="86"/>
        <v>SEI</v>
      </c>
      <c r="K150" s="98">
        <f t="shared" si="87"/>
        <v>5</v>
      </c>
      <c r="L150" s="98">
        <f>IF(NOT(ISERROR(VLOOKUP(B150,Deflatores!G$42:H$64,2,FALSE))),VLOOKUP(B150,Deflatores!G$42:H$64,2,FALSE),IF(OR(ISBLANK(C150),ISBLANK(B150)),"",VLOOKUP(C150,Deflatores!G$4:H$38,2,FALSE)*H150+VLOOKUP(C150,Deflatores!G$4:I$38,3,FALSE)))</f>
        <v>5</v>
      </c>
      <c r="M150" s="7"/>
      <c r="N150" s="7"/>
      <c r="O150" s="100"/>
      <c r="P150" s="5"/>
    </row>
    <row r="151" spans="1:16" x14ac:dyDescent="0.25">
      <c r="A151" s="109" t="s">
        <v>292</v>
      </c>
      <c r="B151" s="4" t="s">
        <v>40</v>
      </c>
      <c r="C151" s="4" t="s">
        <v>39</v>
      </c>
      <c r="D151" s="6">
        <v>9</v>
      </c>
      <c r="E151" s="6">
        <v>2</v>
      </c>
      <c r="F151" s="97" t="str">
        <f t="shared" si="82"/>
        <v>Média</v>
      </c>
      <c r="G151" s="6" t="str">
        <f t="shared" si="83"/>
        <v>SEA</v>
      </c>
      <c r="H151" s="6">
        <f t="shared" si="84"/>
        <v>5</v>
      </c>
      <c r="I151" s="97" t="str">
        <f t="shared" si="85"/>
        <v>A</v>
      </c>
      <c r="J151" s="6" t="str">
        <f t="shared" si="86"/>
        <v>SEI</v>
      </c>
      <c r="K151" s="98">
        <f t="shared" si="87"/>
        <v>5</v>
      </c>
      <c r="L151" s="98">
        <f>IF(NOT(ISERROR(VLOOKUP(B151,Deflatores!G$42:H$64,2,FALSE))),VLOOKUP(B151,Deflatores!G$42:H$64,2,FALSE),IF(OR(ISBLANK(C151),ISBLANK(B151)),"",VLOOKUP(C151,Deflatores!G$4:H$38,2,FALSE)*H151+VLOOKUP(C151,Deflatores!G$4:I$38,3,FALSE)))</f>
        <v>5</v>
      </c>
      <c r="M151" s="7"/>
      <c r="N151" s="7"/>
      <c r="O151" s="100"/>
      <c r="P151" s="5"/>
    </row>
    <row r="152" spans="1:16" x14ac:dyDescent="0.25">
      <c r="A152" s="109" t="s">
        <v>293</v>
      </c>
      <c r="B152" s="4" t="s">
        <v>40</v>
      </c>
      <c r="C152" s="4" t="s">
        <v>39</v>
      </c>
      <c r="D152" s="6">
        <v>9</v>
      </c>
      <c r="E152" s="6">
        <v>2</v>
      </c>
      <c r="F152" s="97" t="str">
        <f t="shared" ref="F152:F155" si="109">IF(ISBLANK(B152),"",IF(I152="L","Baixa",IF(I152="A","Média",IF(I152="","","Alta"))))</f>
        <v>Média</v>
      </c>
      <c r="G152" s="6" t="str">
        <f t="shared" ref="G152:G155" si="110">CONCATENATE(B152,I152)</f>
        <v>SEA</v>
      </c>
      <c r="H152" s="6">
        <f t="shared" ref="H152:H155" si="111">IF(ISBLANK(B152),"",IF(B152="ALI",IF(I152="L",7,IF(I152="A",10,15)),IF(B152="AIE",IF(I152="L",5,IF(I152="A",7,10)),IF(B152="SE",IF(I152="L",4,IF(I152="A",5,7)),IF(OR(B152="EE",B152="CE"),IF(I152="L",3,IF(I152="A",4,6)),0)))))</f>
        <v>5</v>
      </c>
      <c r="I152" s="97" t="str">
        <f t="shared" ref="I152:I155" si="112"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  <v>A</v>
      </c>
      <c r="J152" s="6" t="str">
        <f t="shared" ref="J152:J155" si="113">CONCATENATE(B152,C152)</f>
        <v>SEI</v>
      </c>
      <c r="K152" s="98">
        <f t="shared" ref="K152:K155" si="114">IF(OR(H152="",H152=0),L152,H152)</f>
        <v>5</v>
      </c>
      <c r="L152" s="98">
        <f>IF(NOT(ISERROR(VLOOKUP(B152,Deflatores!G$42:H$64,2,FALSE))),VLOOKUP(B152,Deflatores!G$42:H$64,2,FALSE),IF(OR(ISBLANK(C152),ISBLANK(B152)),"",VLOOKUP(C152,Deflatores!G$4:H$38,2,FALSE)*H152+VLOOKUP(C152,Deflatores!G$4:I$38,3,FALSE)))</f>
        <v>5</v>
      </c>
      <c r="M152" s="7"/>
      <c r="N152" s="7"/>
      <c r="O152" s="100"/>
      <c r="P152" s="5"/>
    </row>
    <row r="153" spans="1:16" x14ac:dyDescent="0.25">
      <c r="A153" s="109" t="s">
        <v>294</v>
      </c>
      <c r="B153" s="4" t="s">
        <v>40</v>
      </c>
      <c r="C153" s="4" t="s">
        <v>39</v>
      </c>
      <c r="D153" s="6">
        <v>8</v>
      </c>
      <c r="E153" s="6">
        <v>2</v>
      </c>
      <c r="F153" s="97" t="str">
        <f t="shared" si="109"/>
        <v>Média</v>
      </c>
      <c r="G153" s="6" t="str">
        <f t="shared" si="110"/>
        <v>SEA</v>
      </c>
      <c r="H153" s="6">
        <f t="shared" si="111"/>
        <v>5</v>
      </c>
      <c r="I153" s="97" t="str">
        <f t="shared" si="112"/>
        <v>A</v>
      </c>
      <c r="J153" s="6" t="str">
        <f t="shared" si="113"/>
        <v>SEI</v>
      </c>
      <c r="K153" s="98">
        <f t="shared" si="114"/>
        <v>5</v>
      </c>
      <c r="L153" s="98">
        <f>IF(NOT(ISERROR(VLOOKUP(B153,Deflatores!G$42:H$64,2,FALSE))),VLOOKUP(B153,Deflatores!G$42:H$64,2,FALSE),IF(OR(ISBLANK(C153),ISBLANK(B153)),"",VLOOKUP(C153,Deflatores!G$4:H$38,2,FALSE)*H153+VLOOKUP(C153,Deflatores!G$4:I$38,3,FALSE)))</f>
        <v>5</v>
      </c>
      <c r="M153" s="7"/>
      <c r="N153" s="7"/>
      <c r="O153" s="100"/>
      <c r="P153" s="5"/>
    </row>
    <row r="154" spans="1:16" x14ac:dyDescent="0.25">
      <c r="A154" s="109" t="s">
        <v>295</v>
      </c>
      <c r="B154" s="4" t="s">
        <v>40</v>
      </c>
      <c r="C154" s="4" t="s">
        <v>39</v>
      </c>
      <c r="D154" s="6">
        <v>5</v>
      </c>
      <c r="E154" s="6">
        <v>2</v>
      </c>
      <c r="F154" s="97" t="str">
        <f t="shared" si="109"/>
        <v>Baixa</v>
      </c>
      <c r="G154" s="6" t="str">
        <f t="shared" si="110"/>
        <v>SEL</v>
      </c>
      <c r="H154" s="6">
        <f t="shared" si="111"/>
        <v>4</v>
      </c>
      <c r="I154" s="97" t="str">
        <f t="shared" si="112"/>
        <v>L</v>
      </c>
      <c r="J154" s="6" t="str">
        <f t="shared" si="113"/>
        <v>SEI</v>
      </c>
      <c r="K154" s="98">
        <f t="shared" si="114"/>
        <v>4</v>
      </c>
      <c r="L154" s="98">
        <f>IF(NOT(ISERROR(VLOOKUP(B154,Deflatores!G$42:H$64,2,FALSE))),VLOOKUP(B154,Deflatores!G$42:H$64,2,FALSE),IF(OR(ISBLANK(C154),ISBLANK(B154)),"",VLOOKUP(C154,Deflatores!G$4:H$38,2,FALSE)*H154+VLOOKUP(C154,Deflatores!G$4:I$38,3,FALSE)))</f>
        <v>4</v>
      </c>
      <c r="M154" s="7"/>
      <c r="N154" s="7"/>
      <c r="O154" s="100"/>
      <c r="P154" s="5"/>
    </row>
    <row r="155" spans="1:16" x14ac:dyDescent="0.25">
      <c r="A155" s="109" t="s">
        <v>296</v>
      </c>
      <c r="B155" s="4" t="s">
        <v>40</v>
      </c>
      <c r="C155" s="4" t="s">
        <v>39</v>
      </c>
      <c r="D155" s="6">
        <v>5</v>
      </c>
      <c r="E155" s="6">
        <v>2</v>
      </c>
      <c r="F155" s="97" t="str">
        <f t="shared" si="109"/>
        <v>Baixa</v>
      </c>
      <c r="G155" s="6" t="str">
        <f t="shared" si="110"/>
        <v>SEL</v>
      </c>
      <c r="H155" s="6">
        <f t="shared" si="111"/>
        <v>4</v>
      </c>
      <c r="I155" s="97" t="str">
        <f t="shared" si="112"/>
        <v>L</v>
      </c>
      <c r="J155" s="6" t="str">
        <f t="shared" si="113"/>
        <v>SEI</v>
      </c>
      <c r="K155" s="98">
        <f t="shared" si="114"/>
        <v>4</v>
      </c>
      <c r="L155" s="98">
        <f>IF(NOT(ISERROR(VLOOKUP(B155,Deflatores!G$42:H$64,2,FALSE))),VLOOKUP(B155,Deflatores!G$42:H$64,2,FALSE),IF(OR(ISBLANK(C155),ISBLANK(B155)),"",VLOOKUP(C155,Deflatores!G$4:H$38,2,FALSE)*H155+VLOOKUP(C155,Deflatores!G$4:I$38,3,FALSE)))</f>
        <v>4</v>
      </c>
      <c r="M155" s="7"/>
      <c r="N155" s="7"/>
      <c r="O155" s="100"/>
      <c r="P155" s="5"/>
    </row>
    <row r="156" spans="1:16" x14ac:dyDescent="0.25">
      <c r="A156" s="110"/>
      <c r="B156" s="4"/>
      <c r="C156" s="4"/>
      <c r="D156" s="6"/>
      <c r="E156" s="6"/>
      <c r="F156" s="97" t="str">
        <f t="shared" si="82"/>
        <v/>
      </c>
      <c r="G156" s="6" t="str">
        <f t="shared" si="83"/>
        <v/>
      </c>
      <c r="H156" s="6" t="str">
        <f t="shared" si="84"/>
        <v/>
      </c>
      <c r="I156" s="97" t="str">
        <f t="shared" si="85"/>
        <v/>
      </c>
      <c r="J156" s="6" t="str">
        <f t="shared" si="86"/>
        <v/>
      </c>
      <c r="K156" s="98" t="str">
        <f t="shared" si="87"/>
        <v/>
      </c>
      <c r="L156" s="98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7"/>
      <c r="N156" s="7"/>
      <c r="O156" s="100"/>
      <c r="P156" s="5"/>
    </row>
    <row r="157" spans="1:16" ht="21.6" x14ac:dyDescent="0.25">
      <c r="A157" s="110" t="s">
        <v>199</v>
      </c>
      <c r="B157" s="4"/>
      <c r="C157" s="4"/>
      <c r="D157" s="6"/>
      <c r="E157" s="6"/>
      <c r="F157" s="97" t="str">
        <f t="shared" si="82"/>
        <v/>
      </c>
      <c r="G157" s="6" t="str">
        <f t="shared" si="83"/>
        <v/>
      </c>
      <c r="H157" s="6" t="str">
        <f t="shared" si="84"/>
        <v/>
      </c>
      <c r="I157" s="97" t="str">
        <f t="shared" si="85"/>
        <v/>
      </c>
      <c r="J157" s="6" t="str">
        <f t="shared" si="86"/>
        <v/>
      </c>
      <c r="K157" s="98" t="str">
        <f t="shared" si="87"/>
        <v/>
      </c>
      <c r="L157" s="98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7"/>
      <c r="N157" s="7"/>
      <c r="O157" s="100"/>
      <c r="P157" s="5"/>
    </row>
    <row r="158" spans="1:16" x14ac:dyDescent="0.25">
      <c r="A158" s="109" t="s">
        <v>297</v>
      </c>
      <c r="B158" s="4" t="s">
        <v>43</v>
      </c>
      <c r="C158" s="4" t="s">
        <v>39</v>
      </c>
      <c r="D158" s="6">
        <v>15</v>
      </c>
      <c r="E158" s="6">
        <v>3</v>
      </c>
      <c r="F158" s="97" t="str">
        <f t="shared" si="82"/>
        <v>Alta</v>
      </c>
      <c r="G158" s="6" t="str">
        <f t="shared" si="83"/>
        <v>EEH</v>
      </c>
      <c r="H158" s="6">
        <f t="shared" si="84"/>
        <v>6</v>
      </c>
      <c r="I158" s="97" t="str">
        <f t="shared" si="85"/>
        <v>H</v>
      </c>
      <c r="J158" s="6" t="str">
        <f t="shared" si="86"/>
        <v>EEI</v>
      </c>
      <c r="K158" s="98">
        <f t="shared" si="87"/>
        <v>6</v>
      </c>
      <c r="L158" s="98">
        <f>IF(NOT(ISERROR(VLOOKUP(B158,Deflatores!G$42:H$64,2,FALSE))),VLOOKUP(B158,Deflatores!G$42:H$64,2,FALSE),IF(OR(ISBLANK(C158),ISBLANK(B158)),"",VLOOKUP(C158,Deflatores!G$4:H$38,2,FALSE)*H158+VLOOKUP(C158,Deflatores!G$4:I$38,3,FALSE)))</f>
        <v>6</v>
      </c>
      <c r="M158" s="7"/>
      <c r="N158" s="7"/>
      <c r="O158" s="100"/>
      <c r="P158" s="5"/>
    </row>
    <row r="159" spans="1:16" x14ac:dyDescent="0.25">
      <c r="A159" s="110"/>
      <c r="B159" s="4"/>
      <c r="C159" s="4"/>
      <c r="D159" s="6"/>
      <c r="E159" s="6"/>
      <c r="F159" s="97" t="str">
        <f t="shared" ref="F159:F161" si="115">IF(ISBLANK(B159),"",IF(I159="L","Baixa",IF(I159="A","Média",IF(I159="","","Alta"))))</f>
        <v/>
      </c>
      <c r="G159" s="6" t="str">
        <f t="shared" ref="G159:G161" si="116">CONCATENATE(B159,I159)</f>
        <v/>
      </c>
      <c r="H159" s="6" t="str">
        <f t="shared" ref="H159:H161" si="117">IF(ISBLANK(B159),"",IF(B159="ALI",IF(I159="L",7,IF(I159="A",10,15)),IF(B159="AIE",IF(I159="L",5,IF(I159="A",7,10)),IF(B159="SE",IF(I159="L",4,IF(I159="A",5,7)),IF(OR(B159="EE",B159="CE"),IF(I159="L",3,IF(I159="A",4,6)),0)))))</f>
        <v/>
      </c>
      <c r="I159" s="97" t="str">
        <f t="shared" ref="I159:I161" si="118">IF(OR(ISBLANK(D159),ISBLANK(E159)),IF(OR(B159="ALI",B159="AIE"),"L",IF(OR(B159="EE",B159="SE",B159="CE"),"A","")),IF(B159="EE",IF(E159&gt;=3,IF(D159&gt;=5,"H","A"),IF(E159&gt;=2,IF(D159&gt;=16,"H",IF(D159&lt;=4,"L","A")),IF(D159&lt;=15,"L","A"))),IF(OR(B159="SE",B159="CE"),IF(E159&gt;=4,IF(D159&gt;=6,"H","A"),IF(E159&gt;=2,IF(D159&gt;=20,"H",IF(D159&lt;=5,"L","A")),IF(D159&lt;=19,"L","A"))),IF(OR(B159="ALI",B159="AIE"),IF(E159&gt;=6,IF(D159&gt;=20,"H","A"),IF(E159&gt;=2,IF(D159&gt;=51,"H",IF(D159&lt;=19,"L","A")),IF(D159&lt;=50,"L","A"))),""))))</f>
        <v/>
      </c>
      <c r="J159" s="6" t="str">
        <f t="shared" ref="J159:J161" si="119">CONCATENATE(B159,C159)</f>
        <v/>
      </c>
      <c r="K159" s="98" t="str">
        <f t="shared" ref="K159:K161" si="120">IF(OR(H159="",H159=0),L159,H159)</f>
        <v/>
      </c>
      <c r="L159" s="98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7"/>
      <c r="N159" s="7"/>
      <c r="O159" s="100"/>
      <c r="P159" s="5"/>
    </row>
    <row r="160" spans="1:16" ht="21.6" x14ac:dyDescent="0.25">
      <c r="A160" s="110" t="s">
        <v>200</v>
      </c>
      <c r="B160" s="4"/>
      <c r="C160" s="4"/>
      <c r="D160" s="6"/>
      <c r="E160" s="6"/>
      <c r="F160" s="97" t="str">
        <f t="shared" si="115"/>
        <v/>
      </c>
      <c r="G160" s="6" t="str">
        <f t="shared" si="116"/>
        <v/>
      </c>
      <c r="H160" s="6" t="str">
        <f t="shared" si="117"/>
        <v/>
      </c>
      <c r="I160" s="97" t="str">
        <f t="shared" si="118"/>
        <v/>
      </c>
      <c r="J160" s="6" t="str">
        <f t="shared" si="119"/>
        <v/>
      </c>
      <c r="K160" s="98" t="str">
        <f t="shared" si="120"/>
        <v/>
      </c>
      <c r="L160" s="98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7"/>
      <c r="N160" s="7"/>
      <c r="O160" s="100"/>
      <c r="P160" s="5"/>
    </row>
    <row r="161" spans="1:16" x14ac:dyDescent="0.25">
      <c r="A161" s="109" t="s">
        <v>298</v>
      </c>
      <c r="B161" s="4" t="s">
        <v>43</v>
      </c>
      <c r="C161" s="4" t="s">
        <v>39</v>
      </c>
      <c r="D161" s="6">
        <v>16</v>
      </c>
      <c r="E161" s="6">
        <v>3</v>
      </c>
      <c r="F161" s="97" t="str">
        <f t="shared" si="115"/>
        <v>Alta</v>
      </c>
      <c r="G161" s="6" t="str">
        <f t="shared" si="116"/>
        <v>EEH</v>
      </c>
      <c r="H161" s="6">
        <f t="shared" si="117"/>
        <v>6</v>
      </c>
      <c r="I161" s="97" t="str">
        <f t="shared" si="118"/>
        <v>H</v>
      </c>
      <c r="J161" s="6" t="str">
        <f t="shared" si="119"/>
        <v>EEI</v>
      </c>
      <c r="K161" s="98">
        <f t="shared" si="120"/>
        <v>6</v>
      </c>
      <c r="L161" s="98">
        <f>IF(NOT(ISERROR(VLOOKUP(B161,Deflatores!G$42:H$64,2,FALSE))),VLOOKUP(B161,Deflatores!G$42:H$64,2,FALSE),IF(OR(ISBLANK(C161),ISBLANK(B161)),"",VLOOKUP(C161,Deflatores!G$4:H$38,2,FALSE)*H161+VLOOKUP(C161,Deflatores!G$4:I$38,3,FALSE)))</f>
        <v>6</v>
      </c>
      <c r="M161" s="7"/>
      <c r="N161" s="7"/>
      <c r="O161" s="100"/>
      <c r="P161" s="5"/>
    </row>
    <row r="162" spans="1:16" x14ac:dyDescent="0.25">
      <c r="A162" s="110"/>
      <c r="B162" s="4"/>
      <c r="C162" s="4"/>
      <c r="D162" s="6"/>
      <c r="E162" s="6"/>
      <c r="F162" s="97" t="str">
        <f t="shared" ref="F162:F213" si="121">IF(ISBLANK(B162),"",IF(I162="L","Baixa",IF(I162="A","Média",IF(I162="","","Alta"))))</f>
        <v/>
      </c>
      <c r="G162" s="6" t="str">
        <f t="shared" ref="G162:G213" si="122">CONCATENATE(B162,I162)</f>
        <v/>
      </c>
      <c r="H162" s="6" t="str">
        <f t="shared" ref="H162:H213" si="123">IF(ISBLANK(B162),"",IF(B162="ALI",IF(I162="L",7,IF(I162="A",10,15)),IF(B162="AIE",IF(I162="L",5,IF(I162="A",7,10)),IF(B162="SE",IF(I162="L",4,IF(I162="A",5,7)),IF(OR(B162="EE",B162="CE"),IF(I162="L",3,IF(I162="A",4,6)),0)))))</f>
        <v/>
      </c>
      <c r="I162" s="97" t="str">
        <f t="shared" ref="I162:I213" si="124">IF(OR(ISBLANK(D162),ISBLANK(E162)),IF(OR(B162="ALI",B162="AIE"),"L",IF(OR(B162="EE",B162="SE",B162="CE"),"A","")),IF(B162="EE",IF(E162&gt;=3,IF(D162&gt;=5,"H","A"),IF(E162&gt;=2,IF(D162&gt;=16,"H",IF(D162&lt;=4,"L","A")),IF(D162&lt;=15,"L","A"))),IF(OR(B162="SE",B162="CE"),IF(E162&gt;=4,IF(D162&gt;=6,"H","A"),IF(E162&gt;=2,IF(D162&gt;=20,"H",IF(D162&lt;=5,"L","A")),IF(D162&lt;=19,"L","A"))),IF(OR(B162="ALI",B162="AIE"),IF(E162&gt;=6,IF(D162&gt;=20,"H","A"),IF(E162&gt;=2,IF(D162&gt;=51,"H",IF(D162&lt;=19,"L","A")),IF(D162&lt;=50,"L","A"))),""))))</f>
        <v/>
      </c>
      <c r="J162" s="6" t="str">
        <f t="shared" ref="J162:J213" si="125">CONCATENATE(B162,C162)</f>
        <v/>
      </c>
      <c r="K162" s="98" t="str">
        <f t="shared" ref="K162:K213" si="126">IF(OR(H162="",H162=0),L162,H162)</f>
        <v/>
      </c>
      <c r="L162" s="98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7"/>
      <c r="N162" s="7"/>
      <c r="O162" s="100"/>
      <c r="P162" s="5"/>
    </row>
    <row r="163" spans="1:16" ht="21.6" x14ac:dyDescent="0.25">
      <c r="A163" s="111" t="s">
        <v>306</v>
      </c>
      <c r="B163" s="4"/>
      <c r="C163" s="4"/>
      <c r="D163" s="6"/>
      <c r="E163" s="6"/>
      <c r="F163" s="97" t="str">
        <f t="shared" si="121"/>
        <v/>
      </c>
      <c r="G163" s="6" t="str">
        <f t="shared" si="122"/>
        <v/>
      </c>
      <c r="H163" s="6" t="str">
        <f t="shared" si="123"/>
        <v/>
      </c>
      <c r="I163" s="97" t="str">
        <f t="shared" si="124"/>
        <v/>
      </c>
      <c r="J163" s="6" t="str">
        <f t="shared" si="125"/>
        <v/>
      </c>
      <c r="K163" s="98" t="str">
        <f t="shared" si="126"/>
        <v/>
      </c>
      <c r="L163" s="98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7"/>
      <c r="N163" s="7"/>
      <c r="O163" s="100"/>
      <c r="P163" s="5"/>
    </row>
    <row r="164" spans="1:16" x14ac:dyDescent="0.25">
      <c r="A164" s="109" t="s">
        <v>307</v>
      </c>
      <c r="B164" s="4" t="s">
        <v>40</v>
      </c>
      <c r="C164" s="4" t="s">
        <v>39</v>
      </c>
      <c r="D164" s="6">
        <v>10</v>
      </c>
      <c r="E164" s="6">
        <v>2</v>
      </c>
      <c r="F164" s="97" t="str">
        <f t="shared" si="121"/>
        <v>Média</v>
      </c>
      <c r="G164" s="6" t="str">
        <f t="shared" si="122"/>
        <v>SEA</v>
      </c>
      <c r="H164" s="6">
        <f t="shared" si="123"/>
        <v>5</v>
      </c>
      <c r="I164" s="97" t="str">
        <f t="shared" si="124"/>
        <v>A</v>
      </c>
      <c r="J164" s="6" t="str">
        <f t="shared" si="125"/>
        <v>SEI</v>
      </c>
      <c r="K164" s="98">
        <f t="shared" si="126"/>
        <v>5</v>
      </c>
      <c r="L164" s="98">
        <f>IF(NOT(ISERROR(VLOOKUP(B164,Deflatores!G$42:H$64,2,FALSE))),VLOOKUP(B164,Deflatores!G$42:H$64,2,FALSE),IF(OR(ISBLANK(C164),ISBLANK(B164)),"",VLOOKUP(C164,Deflatores!G$4:H$38,2,FALSE)*H164+VLOOKUP(C164,Deflatores!G$4:I$38,3,FALSE)))</f>
        <v>5</v>
      </c>
      <c r="M164" s="7"/>
      <c r="N164" s="7"/>
      <c r="O164" s="100"/>
      <c r="P164" s="5"/>
    </row>
    <row r="165" spans="1:16" x14ac:dyDescent="0.25">
      <c r="A165" s="109" t="s">
        <v>308</v>
      </c>
      <c r="B165" s="4" t="s">
        <v>40</v>
      </c>
      <c r="C165" s="4" t="s">
        <v>39</v>
      </c>
      <c r="D165" s="6">
        <v>1</v>
      </c>
      <c r="E165" s="6">
        <v>3</v>
      </c>
      <c r="F165" s="97" t="str">
        <f t="shared" si="121"/>
        <v>Baixa</v>
      </c>
      <c r="G165" s="6" t="str">
        <f t="shared" si="122"/>
        <v>SEL</v>
      </c>
      <c r="H165" s="6">
        <f t="shared" si="123"/>
        <v>4</v>
      </c>
      <c r="I165" s="97" t="str">
        <f t="shared" si="124"/>
        <v>L</v>
      </c>
      <c r="J165" s="6" t="str">
        <f t="shared" si="125"/>
        <v>SEI</v>
      </c>
      <c r="K165" s="98">
        <f t="shared" si="126"/>
        <v>4</v>
      </c>
      <c r="L165" s="98">
        <f>IF(NOT(ISERROR(VLOOKUP(B165,Deflatores!G$42:H$64,2,FALSE))),VLOOKUP(B165,Deflatores!G$42:H$64,2,FALSE),IF(OR(ISBLANK(C165),ISBLANK(B165)),"",VLOOKUP(C165,Deflatores!G$4:H$38,2,FALSE)*H165+VLOOKUP(C165,Deflatores!G$4:I$38,3,FALSE)))</f>
        <v>4</v>
      </c>
      <c r="M165" s="7"/>
      <c r="N165" s="7"/>
      <c r="O165" s="100"/>
      <c r="P165" s="5"/>
    </row>
    <row r="166" spans="1:16" x14ac:dyDescent="0.25">
      <c r="A166" s="109" t="s">
        <v>309</v>
      </c>
      <c r="B166" s="4" t="s">
        <v>41</v>
      </c>
      <c r="C166" s="4" t="s">
        <v>39</v>
      </c>
      <c r="D166" s="6">
        <v>2</v>
      </c>
      <c r="E166" s="6">
        <v>1</v>
      </c>
      <c r="F166" s="97" t="str">
        <f t="shared" si="121"/>
        <v>Baixa</v>
      </c>
      <c r="G166" s="6" t="str">
        <f t="shared" si="122"/>
        <v>CEL</v>
      </c>
      <c r="H166" s="6">
        <f t="shared" si="123"/>
        <v>3</v>
      </c>
      <c r="I166" s="97" t="str">
        <f t="shared" si="124"/>
        <v>L</v>
      </c>
      <c r="J166" s="6" t="str">
        <f t="shared" si="125"/>
        <v>CEI</v>
      </c>
      <c r="K166" s="98">
        <f t="shared" si="126"/>
        <v>3</v>
      </c>
      <c r="L166" s="98">
        <f>IF(NOT(ISERROR(VLOOKUP(B166,Deflatores!G$42:H$64,2,FALSE))),VLOOKUP(B166,Deflatores!G$42:H$64,2,FALSE),IF(OR(ISBLANK(C166),ISBLANK(B166)),"",VLOOKUP(C166,Deflatores!G$4:H$38,2,FALSE)*H166+VLOOKUP(C166,Deflatores!G$4:I$38,3,FALSE)))</f>
        <v>3</v>
      </c>
      <c r="M166" s="7"/>
      <c r="N166" s="7"/>
      <c r="O166" s="100"/>
      <c r="P166" s="5"/>
    </row>
    <row r="167" spans="1:16" x14ac:dyDescent="0.25">
      <c r="A167" s="109"/>
      <c r="B167" s="4"/>
      <c r="C167" s="4"/>
      <c r="D167" s="6"/>
      <c r="E167" s="6"/>
      <c r="F167" s="97" t="str">
        <f t="shared" si="121"/>
        <v/>
      </c>
      <c r="G167" s="6" t="str">
        <f t="shared" si="122"/>
        <v/>
      </c>
      <c r="H167" s="6" t="str">
        <f t="shared" si="123"/>
        <v/>
      </c>
      <c r="I167" s="97" t="str">
        <f t="shared" si="124"/>
        <v/>
      </c>
      <c r="J167" s="6" t="str">
        <f t="shared" si="125"/>
        <v/>
      </c>
      <c r="K167" s="98" t="str">
        <f t="shared" si="126"/>
        <v/>
      </c>
      <c r="L167" s="98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7"/>
      <c r="N167" s="7"/>
      <c r="O167" s="100"/>
      <c r="P167" s="5"/>
    </row>
    <row r="168" spans="1:16" x14ac:dyDescent="0.25">
      <c r="A168" s="111" t="s">
        <v>310</v>
      </c>
      <c r="B168" s="4"/>
      <c r="C168" s="4"/>
      <c r="D168" s="6"/>
      <c r="E168" s="6"/>
      <c r="F168" s="97" t="str">
        <f t="shared" si="121"/>
        <v/>
      </c>
      <c r="G168" s="6" t="str">
        <f t="shared" si="122"/>
        <v/>
      </c>
      <c r="H168" s="6" t="str">
        <f t="shared" si="123"/>
        <v/>
      </c>
      <c r="I168" s="97" t="str">
        <f t="shared" si="124"/>
        <v/>
      </c>
      <c r="J168" s="6" t="str">
        <f t="shared" si="125"/>
        <v/>
      </c>
      <c r="K168" s="98" t="str">
        <f t="shared" si="126"/>
        <v/>
      </c>
      <c r="L168" s="98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7"/>
      <c r="N168" s="7"/>
      <c r="O168" s="100"/>
      <c r="P168" s="5"/>
    </row>
    <row r="169" spans="1:16" x14ac:dyDescent="0.25">
      <c r="A169" s="109" t="s">
        <v>311</v>
      </c>
      <c r="B169" s="4" t="s">
        <v>40</v>
      </c>
      <c r="C169" s="4" t="s">
        <v>39</v>
      </c>
      <c r="D169" s="6">
        <v>6</v>
      </c>
      <c r="E169" s="6">
        <v>2</v>
      </c>
      <c r="F169" s="97" t="str">
        <f t="shared" si="121"/>
        <v>Média</v>
      </c>
      <c r="G169" s="6" t="str">
        <f t="shared" si="122"/>
        <v>SEA</v>
      </c>
      <c r="H169" s="6">
        <f t="shared" si="123"/>
        <v>5</v>
      </c>
      <c r="I169" s="97" t="str">
        <f t="shared" si="124"/>
        <v>A</v>
      </c>
      <c r="J169" s="6" t="str">
        <f t="shared" si="125"/>
        <v>SEI</v>
      </c>
      <c r="K169" s="98">
        <f t="shared" si="126"/>
        <v>5</v>
      </c>
      <c r="L169" s="98">
        <f>IF(NOT(ISERROR(VLOOKUP(B169,Deflatores!G$42:H$64,2,FALSE))),VLOOKUP(B169,Deflatores!G$42:H$64,2,FALSE),IF(OR(ISBLANK(C169),ISBLANK(B169)),"",VLOOKUP(C169,Deflatores!G$4:H$38,2,FALSE)*H169+VLOOKUP(C169,Deflatores!G$4:I$38,3,FALSE)))</f>
        <v>5</v>
      </c>
      <c r="M169" s="7"/>
      <c r="N169" s="7"/>
      <c r="O169" s="100"/>
      <c r="P169" s="5"/>
    </row>
    <row r="170" spans="1:16" x14ac:dyDescent="0.25">
      <c r="A170" s="109" t="s">
        <v>312</v>
      </c>
      <c r="B170" s="4" t="s">
        <v>40</v>
      </c>
      <c r="C170" s="4" t="s">
        <v>39</v>
      </c>
      <c r="D170" s="6">
        <v>1</v>
      </c>
      <c r="E170" s="6">
        <v>3</v>
      </c>
      <c r="F170" s="97" t="str">
        <f t="shared" si="121"/>
        <v>Baixa</v>
      </c>
      <c r="G170" s="6" t="str">
        <f t="shared" si="122"/>
        <v>SEL</v>
      </c>
      <c r="H170" s="6">
        <f t="shared" si="123"/>
        <v>4</v>
      </c>
      <c r="I170" s="97" t="str">
        <f t="shared" si="124"/>
        <v>L</v>
      </c>
      <c r="J170" s="6" t="str">
        <f t="shared" si="125"/>
        <v>SEI</v>
      </c>
      <c r="K170" s="98">
        <f t="shared" si="126"/>
        <v>4</v>
      </c>
      <c r="L170" s="98">
        <f>IF(NOT(ISERROR(VLOOKUP(B170,Deflatores!G$42:H$64,2,FALSE))),VLOOKUP(B170,Deflatores!G$42:H$64,2,FALSE),IF(OR(ISBLANK(C170),ISBLANK(B170)),"",VLOOKUP(C170,Deflatores!G$4:H$38,2,FALSE)*H170+VLOOKUP(C170,Deflatores!G$4:I$38,3,FALSE)))</f>
        <v>4</v>
      </c>
      <c r="M170" s="7"/>
      <c r="N170" s="7"/>
      <c r="O170" s="100"/>
      <c r="P170" s="5"/>
    </row>
    <row r="171" spans="1:16" x14ac:dyDescent="0.25">
      <c r="A171" s="109" t="s">
        <v>313</v>
      </c>
      <c r="B171" s="4" t="s">
        <v>40</v>
      </c>
      <c r="C171" s="4" t="s">
        <v>39</v>
      </c>
      <c r="D171" s="6">
        <v>3</v>
      </c>
      <c r="E171" s="6">
        <v>2</v>
      </c>
      <c r="F171" s="97" t="str">
        <f t="shared" si="121"/>
        <v>Baixa</v>
      </c>
      <c r="G171" s="6" t="str">
        <f t="shared" si="122"/>
        <v>SEL</v>
      </c>
      <c r="H171" s="6">
        <f t="shared" si="123"/>
        <v>4</v>
      </c>
      <c r="I171" s="97" t="str">
        <f t="shared" si="124"/>
        <v>L</v>
      </c>
      <c r="J171" s="6" t="str">
        <f t="shared" si="125"/>
        <v>SEI</v>
      </c>
      <c r="K171" s="98">
        <f t="shared" si="126"/>
        <v>4</v>
      </c>
      <c r="L171" s="98">
        <f>IF(NOT(ISERROR(VLOOKUP(B171,Deflatores!G$42:H$64,2,FALSE))),VLOOKUP(B171,Deflatores!G$42:H$64,2,FALSE),IF(OR(ISBLANK(C171),ISBLANK(B171)),"",VLOOKUP(C171,Deflatores!G$4:H$38,2,FALSE)*H171+VLOOKUP(C171,Deflatores!G$4:I$38,3,FALSE)))</f>
        <v>4</v>
      </c>
      <c r="M171" s="7"/>
      <c r="N171" s="7"/>
      <c r="O171" s="100"/>
      <c r="P171" s="5"/>
    </row>
    <row r="172" spans="1:16" x14ac:dyDescent="0.25">
      <c r="A172" s="109" t="s">
        <v>314</v>
      </c>
      <c r="B172" s="4" t="s">
        <v>40</v>
      </c>
      <c r="C172" s="4" t="s">
        <v>39</v>
      </c>
      <c r="D172" s="6">
        <v>4</v>
      </c>
      <c r="E172" s="6">
        <v>3</v>
      </c>
      <c r="F172" s="97" t="str">
        <f t="shared" si="121"/>
        <v>Baixa</v>
      </c>
      <c r="G172" s="6" t="str">
        <f t="shared" si="122"/>
        <v>SEL</v>
      </c>
      <c r="H172" s="6">
        <f t="shared" si="123"/>
        <v>4</v>
      </c>
      <c r="I172" s="97" t="str">
        <f t="shared" si="124"/>
        <v>L</v>
      </c>
      <c r="J172" s="6" t="str">
        <f t="shared" si="125"/>
        <v>SEI</v>
      </c>
      <c r="K172" s="98">
        <f t="shared" si="126"/>
        <v>4</v>
      </c>
      <c r="L172" s="98">
        <f>IF(NOT(ISERROR(VLOOKUP(B172,Deflatores!G$42:H$64,2,FALSE))),VLOOKUP(B172,Deflatores!G$42:H$64,2,FALSE),IF(OR(ISBLANK(C172),ISBLANK(B172)),"",VLOOKUP(C172,Deflatores!G$4:H$38,2,FALSE)*H172+VLOOKUP(C172,Deflatores!G$4:I$38,3,FALSE)))</f>
        <v>4</v>
      </c>
      <c r="M172" s="7"/>
      <c r="N172" s="7"/>
      <c r="O172" s="100"/>
      <c r="P172" s="5"/>
    </row>
    <row r="173" spans="1:16" x14ac:dyDescent="0.25">
      <c r="A173" s="109"/>
      <c r="B173" s="4"/>
      <c r="C173" s="4"/>
      <c r="D173" s="6"/>
      <c r="E173" s="6"/>
      <c r="F173" s="97" t="str">
        <f t="shared" si="121"/>
        <v/>
      </c>
      <c r="G173" s="6" t="str">
        <f t="shared" si="122"/>
        <v/>
      </c>
      <c r="H173" s="6" t="str">
        <f t="shared" si="123"/>
        <v/>
      </c>
      <c r="I173" s="97" t="str">
        <f t="shared" si="124"/>
        <v/>
      </c>
      <c r="J173" s="6" t="str">
        <f t="shared" si="125"/>
        <v/>
      </c>
      <c r="K173" s="98" t="str">
        <f t="shared" si="126"/>
        <v/>
      </c>
      <c r="L173" s="98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7"/>
      <c r="N173" s="7"/>
      <c r="O173" s="100"/>
      <c r="P173" s="5"/>
    </row>
    <row r="174" spans="1:16" x14ac:dyDescent="0.25">
      <c r="A174" s="111" t="s">
        <v>315</v>
      </c>
      <c r="B174" s="4"/>
      <c r="C174" s="4"/>
      <c r="D174" s="6"/>
      <c r="E174" s="6"/>
      <c r="F174" s="97" t="str">
        <f t="shared" si="121"/>
        <v/>
      </c>
      <c r="G174" s="6" t="str">
        <f t="shared" si="122"/>
        <v/>
      </c>
      <c r="H174" s="6" t="str">
        <f t="shared" si="123"/>
        <v/>
      </c>
      <c r="I174" s="97" t="str">
        <f t="shared" si="124"/>
        <v/>
      </c>
      <c r="J174" s="6" t="str">
        <f t="shared" si="125"/>
        <v/>
      </c>
      <c r="K174" s="98" t="str">
        <f t="shared" si="126"/>
        <v/>
      </c>
      <c r="L174" s="98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7"/>
      <c r="N174" s="7"/>
      <c r="O174" s="100"/>
      <c r="P174" s="5"/>
    </row>
    <row r="175" spans="1:16" x14ac:dyDescent="0.25">
      <c r="A175" s="109" t="s">
        <v>316</v>
      </c>
      <c r="B175" s="4" t="s">
        <v>40</v>
      </c>
      <c r="C175" s="4" t="s">
        <v>39</v>
      </c>
      <c r="D175" s="6">
        <v>7</v>
      </c>
      <c r="E175" s="6">
        <v>3</v>
      </c>
      <c r="F175" s="97" t="str">
        <f t="shared" si="121"/>
        <v>Média</v>
      </c>
      <c r="G175" s="6" t="str">
        <f t="shared" si="122"/>
        <v>SEA</v>
      </c>
      <c r="H175" s="6">
        <f t="shared" si="123"/>
        <v>5</v>
      </c>
      <c r="I175" s="97" t="str">
        <f t="shared" si="124"/>
        <v>A</v>
      </c>
      <c r="J175" s="6" t="str">
        <f t="shared" si="125"/>
        <v>SEI</v>
      </c>
      <c r="K175" s="98">
        <f t="shared" si="126"/>
        <v>5</v>
      </c>
      <c r="L175" s="98">
        <f>IF(NOT(ISERROR(VLOOKUP(B175,Deflatores!G$42:H$64,2,FALSE))),VLOOKUP(B175,Deflatores!G$42:H$64,2,FALSE),IF(OR(ISBLANK(C175),ISBLANK(B175)),"",VLOOKUP(C175,Deflatores!G$4:H$38,2,FALSE)*H175+VLOOKUP(C175,Deflatores!G$4:I$38,3,FALSE)))</f>
        <v>5</v>
      </c>
      <c r="M175" s="7"/>
      <c r="N175" s="7"/>
      <c r="O175" s="100"/>
      <c r="P175" s="5"/>
    </row>
    <row r="176" spans="1:16" x14ac:dyDescent="0.25">
      <c r="A176" s="109" t="s">
        <v>317</v>
      </c>
      <c r="B176" s="4" t="s">
        <v>40</v>
      </c>
      <c r="C176" s="4" t="s">
        <v>39</v>
      </c>
      <c r="D176" s="6">
        <v>3</v>
      </c>
      <c r="E176" s="6">
        <v>3</v>
      </c>
      <c r="F176" s="97" t="str">
        <f t="shared" si="121"/>
        <v>Baixa</v>
      </c>
      <c r="G176" s="6" t="str">
        <f t="shared" si="122"/>
        <v>SEL</v>
      </c>
      <c r="H176" s="6">
        <f t="shared" si="123"/>
        <v>4</v>
      </c>
      <c r="I176" s="97" t="str">
        <f t="shared" si="124"/>
        <v>L</v>
      </c>
      <c r="J176" s="6" t="str">
        <f t="shared" si="125"/>
        <v>SEI</v>
      </c>
      <c r="K176" s="98">
        <f t="shared" si="126"/>
        <v>4</v>
      </c>
      <c r="L176" s="98">
        <f>IF(NOT(ISERROR(VLOOKUP(B176,Deflatores!G$42:H$64,2,FALSE))),VLOOKUP(B176,Deflatores!G$42:H$64,2,FALSE),IF(OR(ISBLANK(C176),ISBLANK(B176)),"",VLOOKUP(C176,Deflatores!G$4:H$38,2,FALSE)*H176+VLOOKUP(C176,Deflatores!G$4:I$38,3,FALSE)))</f>
        <v>4</v>
      </c>
      <c r="M176" s="7"/>
      <c r="N176" s="7"/>
      <c r="O176" s="100"/>
      <c r="P176" s="5"/>
    </row>
    <row r="177" spans="1:16" x14ac:dyDescent="0.25">
      <c r="A177" s="109" t="s">
        <v>318</v>
      </c>
      <c r="B177" s="4" t="s">
        <v>40</v>
      </c>
      <c r="C177" s="4" t="s">
        <v>39</v>
      </c>
      <c r="D177" s="6">
        <v>5</v>
      </c>
      <c r="E177" s="6">
        <v>3</v>
      </c>
      <c r="F177" s="97" t="str">
        <f t="shared" si="121"/>
        <v>Baixa</v>
      </c>
      <c r="G177" s="6" t="str">
        <f t="shared" si="122"/>
        <v>SEL</v>
      </c>
      <c r="H177" s="6">
        <f t="shared" si="123"/>
        <v>4</v>
      </c>
      <c r="I177" s="97" t="str">
        <f t="shared" si="124"/>
        <v>L</v>
      </c>
      <c r="J177" s="6" t="str">
        <f t="shared" si="125"/>
        <v>SEI</v>
      </c>
      <c r="K177" s="98">
        <f t="shared" si="126"/>
        <v>4</v>
      </c>
      <c r="L177" s="98">
        <f>IF(NOT(ISERROR(VLOOKUP(B177,Deflatores!G$42:H$64,2,FALSE))),VLOOKUP(B177,Deflatores!G$42:H$64,2,FALSE),IF(OR(ISBLANK(C177),ISBLANK(B177)),"",VLOOKUP(C177,Deflatores!G$4:H$38,2,FALSE)*H177+VLOOKUP(C177,Deflatores!G$4:I$38,3,FALSE)))</f>
        <v>4</v>
      </c>
      <c r="M177" s="7"/>
      <c r="N177" s="7"/>
      <c r="O177" s="100"/>
      <c r="P177" s="5"/>
    </row>
    <row r="178" spans="1:16" x14ac:dyDescent="0.25">
      <c r="A178" s="109"/>
      <c r="B178" s="4"/>
      <c r="C178" s="4"/>
      <c r="D178" s="6"/>
      <c r="E178" s="6"/>
      <c r="F178" s="97" t="str">
        <f t="shared" si="121"/>
        <v/>
      </c>
      <c r="G178" s="6" t="str">
        <f t="shared" si="122"/>
        <v/>
      </c>
      <c r="H178" s="6" t="str">
        <f t="shared" si="123"/>
        <v/>
      </c>
      <c r="I178" s="97" t="str">
        <f t="shared" si="124"/>
        <v/>
      </c>
      <c r="J178" s="6" t="str">
        <f t="shared" si="125"/>
        <v/>
      </c>
      <c r="K178" s="98" t="str">
        <f t="shared" si="126"/>
        <v/>
      </c>
      <c r="L178" s="98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7"/>
      <c r="N178" s="7"/>
      <c r="O178" s="100"/>
      <c r="P178" s="5"/>
    </row>
    <row r="179" spans="1:16" x14ac:dyDescent="0.25">
      <c r="A179" s="111" t="s">
        <v>319</v>
      </c>
      <c r="B179" s="4"/>
      <c r="C179" s="4"/>
      <c r="D179" s="6"/>
      <c r="E179" s="6"/>
      <c r="F179" s="97" t="str">
        <f t="shared" si="121"/>
        <v/>
      </c>
      <c r="G179" s="6" t="str">
        <f t="shared" si="122"/>
        <v/>
      </c>
      <c r="H179" s="6" t="str">
        <f t="shared" si="123"/>
        <v/>
      </c>
      <c r="I179" s="97" t="str">
        <f t="shared" si="124"/>
        <v/>
      </c>
      <c r="J179" s="6" t="str">
        <f t="shared" si="125"/>
        <v/>
      </c>
      <c r="K179" s="98" t="str">
        <f t="shared" si="126"/>
        <v/>
      </c>
      <c r="L179" s="98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7"/>
      <c r="N179" s="7"/>
      <c r="O179" s="100"/>
      <c r="P179" s="5"/>
    </row>
    <row r="180" spans="1:16" x14ac:dyDescent="0.25">
      <c r="A180" s="109" t="s">
        <v>320</v>
      </c>
      <c r="B180" s="4" t="s">
        <v>40</v>
      </c>
      <c r="C180" s="4" t="s">
        <v>39</v>
      </c>
      <c r="D180" s="6">
        <v>9</v>
      </c>
      <c r="E180" s="6">
        <v>2</v>
      </c>
      <c r="F180" s="97" t="str">
        <f t="shared" si="121"/>
        <v>Média</v>
      </c>
      <c r="G180" s="6" t="str">
        <f t="shared" si="122"/>
        <v>SEA</v>
      </c>
      <c r="H180" s="6">
        <f t="shared" si="123"/>
        <v>5</v>
      </c>
      <c r="I180" s="97" t="str">
        <f t="shared" si="124"/>
        <v>A</v>
      </c>
      <c r="J180" s="6" t="str">
        <f t="shared" si="125"/>
        <v>SEI</v>
      </c>
      <c r="K180" s="98">
        <f t="shared" si="126"/>
        <v>5</v>
      </c>
      <c r="L180" s="98">
        <f>IF(NOT(ISERROR(VLOOKUP(B180,Deflatores!G$42:H$64,2,FALSE))),VLOOKUP(B180,Deflatores!G$42:H$64,2,FALSE),IF(OR(ISBLANK(C180),ISBLANK(B180)),"",VLOOKUP(C180,Deflatores!G$4:H$38,2,FALSE)*H180+VLOOKUP(C180,Deflatores!G$4:I$38,3,FALSE)))</f>
        <v>5</v>
      </c>
      <c r="M180" s="7"/>
      <c r="N180" s="7"/>
      <c r="O180" s="100"/>
      <c r="P180" s="5"/>
    </row>
    <row r="181" spans="1:16" x14ac:dyDescent="0.25">
      <c r="A181" s="109" t="s">
        <v>321</v>
      </c>
      <c r="B181" s="4" t="s">
        <v>40</v>
      </c>
      <c r="C181" s="4" t="s">
        <v>39</v>
      </c>
      <c r="D181" s="6">
        <v>2</v>
      </c>
      <c r="E181" s="6">
        <v>3</v>
      </c>
      <c r="F181" s="97" t="str">
        <f t="shared" si="121"/>
        <v>Baixa</v>
      </c>
      <c r="G181" s="6" t="str">
        <f t="shared" si="122"/>
        <v>SEL</v>
      </c>
      <c r="H181" s="6">
        <f t="shared" si="123"/>
        <v>4</v>
      </c>
      <c r="I181" s="97" t="str">
        <f t="shared" si="124"/>
        <v>L</v>
      </c>
      <c r="J181" s="6" t="str">
        <f t="shared" si="125"/>
        <v>SEI</v>
      </c>
      <c r="K181" s="98">
        <f t="shared" si="126"/>
        <v>4</v>
      </c>
      <c r="L181" s="98">
        <f>IF(NOT(ISERROR(VLOOKUP(B181,Deflatores!G$42:H$64,2,FALSE))),VLOOKUP(B181,Deflatores!G$42:H$64,2,FALSE),IF(OR(ISBLANK(C181),ISBLANK(B181)),"",VLOOKUP(C181,Deflatores!G$4:H$38,2,FALSE)*H181+VLOOKUP(C181,Deflatores!G$4:I$38,3,FALSE)))</f>
        <v>4</v>
      </c>
      <c r="M181" s="7"/>
      <c r="N181" s="7"/>
      <c r="O181" s="100"/>
      <c r="P181" s="5"/>
    </row>
    <row r="182" spans="1:16" x14ac:dyDescent="0.25">
      <c r="A182" s="109" t="s">
        <v>322</v>
      </c>
      <c r="B182" s="4" t="s">
        <v>41</v>
      </c>
      <c r="C182" s="4" t="s">
        <v>39</v>
      </c>
      <c r="D182" s="6">
        <v>2</v>
      </c>
      <c r="E182" s="6">
        <v>1</v>
      </c>
      <c r="F182" s="97" t="str">
        <f t="shared" si="121"/>
        <v>Baixa</v>
      </c>
      <c r="G182" s="6" t="str">
        <f t="shared" si="122"/>
        <v>CEL</v>
      </c>
      <c r="H182" s="6">
        <f t="shared" si="123"/>
        <v>3</v>
      </c>
      <c r="I182" s="97" t="str">
        <f t="shared" si="124"/>
        <v>L</v>
      </c>
      <c r="J182" s="6" t="str">
        <f t="shared" si="125"/>
        <v>CEI</v>
      </c>
      <c r="K182" s="98">
        <f t="shared" si="126"/>
        <v>3</v>
      </c>
      <c r="L182" s="98">
        <f>IF(NOT(ISERROR(VLOOKUP(B182,Deflatores!G$42:H$64,2,FALSE))),VLOOKUP(B182,Deflatores!G$42:H$64,2,FALSE),IF(OR(ISBLANK(C182),ISBLANK(B182)),"",VLOOKUP(C182,Deflatores!G$4:H$38,2,FALSE)*H182+VLOOKUP(C182,Deflatores!G$4:I$38,3,FALSE)))</f>
        <v>3</v>
      </c>
      <c r="M182" s="7"/>
      <c r="N182" s="7"/>
      <c r="O182" s="100"/>
      <c r="P182" s="5"/>
    </row>
    <row r="183" spans="1:16" x14ac:dyDescent="0.25">
      <c r="A183" s="109"/>
      <c r="B183" s="4"/>
      <c r="C183" s="4"/>
      <c r="D183" s="6"/>
      <c r="E183" s="6"/>
      <c r="F183" s="97" t="str">
        <f t="shared" si="121"/>
        <v/>
      </c>
      <c r="G183" s="6" t="str">
        <f t="shared" si="122"/>
        <v/>
      </c>
      <c r="H183" s="6" t="str">
        <f t="shared" si="123"/>
        <v/>
      </c>
      <c r="I183" s="97" t="str">
        <f t="shared" si="124"/>
        <v/>
      </c>
      <c r="J183" s="6" t="str">
        <f t="shared" si="125"/>
        <v/>
      </c>
      <c r="K183" s="98" t="str">
        <f t="shared" si="126"/>
        <v/>
      </c>
      <c r="L183" s="98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7"/>
      <c r="N183" s="7"/>
      <c r="O183" s="100"/>
      <c r="P183" s="5"/>
    </row>
    <row r="184" spans="1:16" x14ac:dyDescent="0.25">
      <c r="A184" s="111" t="s">
        <v>323</v>
      </c>
      <c r="B184" s="4"/>
      <c r="C184" s="4"/>
      <c r="D184" s="6"/>
      <c r="E184" s="6"/>
      <c r="F184" s="97" t="str">
        <f t="shared" si="121"/>
        <v/>
      </c>
      <c r="G184" s="6" t="str">
        <f t="shared" si="122"/>
        <v/>
      </c>
      <c r="H184" s="6" t="str">
        <f t="shared" si="123"/>
        <v/>
      </c>
      <c r="I184" s="97" t="str">
        <f t="shared" si="124"/>
        <v/>
      </c>
      <c r="J184" s="6" t="str">
        <f t="shared" si="125"/>
        <v/>
      </c>
      <c r="K184" s="98" t="str">
        <f t="shared" si="126"/>
        <v/>
      </c>
      <c r="L184" s="98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7"/>
      <c r="N184" s="7"/>
      <c r="O184" s="100"/>
      <c r="P184" s="5"/>
    </row>
    <row r="185" spans="1:16" x14ac:dyDescent="0.25">
      <c r="A185" s="109" t="s">
        <v>324</v>
      </c>
      <c r="B185" s="4" t="s">
        <v>40</v>
      </c>
      <c r="C185" s="4" t="s">
        <v>39</v>
      </c>
      <c r="D185" s="6">
        <v>7</v>
      </c>
      <c r="E185" s="6">
        <v>4</v>
      </c>
      <c r="F185" s="97" t="str">
        <f t="shared" si="121"/>
        <v>Alta</v>
      </c>
      <c r="G185" s="6" t="str">
        <f t="shared" si="122"/>
        <v>SEH</v>
      </c>
      <c r="H185" s="6">
        <f t="shared" si="123"/>
        <v>7</v>
      </c>
      <c r="I185" s="97" t="str">
        <f t="shared" si="124"/>
        <v>H</v>
      </c>
      <c r="J185" s="6" t="str">
        <f t="shared" si="125"/>
        <v>SEI</v>
      </c>
      <c r="K185" s="98">
        <f t="shared" si="126"/>
        <v>7</v>
      </c>
      <c r="L185" s="98">
        <f>IF(NOT(ISERROR(VLOOKUP(B185,Deflatores!G$42:H$64,2,FALSE))),VLOOKUP(B185,Deflatores!G$42:H$64,2,FALSE),IF(OR(ISBLANK(C185),ISBLANK(B185)),"",VLOOKUP(C185,Deflatores!G$4:H$38,2,FALSE)*H185+VLOOKUP(C185,Deflatores!G$4:I$38,3,FALSE)))</f>
        <v>7</v>
      </c>
      <c r="M185" s="7"/>
      <c r="N185" s="7"/>
      <c r="O185" s="100"/>
      <c r="P185" s="5"/>
    </row>
    <row r="186" spans="1:16" x14ac:dyDescent="0.25">
      <c r="A186" s="109" t="s">
        <v>325</v>
      </c>
      <c r="B186" s="4" t="s">
        <v>40</v>
      </c>
      <c r="C186" s="4" t="s">
        <v>39</v>
      </c>
      <c r="D186" s="6">
        <v>2</v>
      </c>
      <c r="E186" s="6">
        <v>4</v>
      </c>
      <c r="F186" s="97" t="str">
        <f t="shared" si="121"/>
        <v>Média</v>
      </c>
      <c r="G186" s="6" t="str">
        <f t="shared" si="122"/>
        <v>SEA</v>
      </c>
      <c r="H186" s="6">
        <f t="shared" si="123"/>
        <v>5</v>
      </c>
      <c r="I186" s="97" t="str">
        <f t="shared" si="124"/>
        <v>A</v>
      </c>
      <c r="J186" s="6" t="str">
        <f t="shared" si="125"/>
        <v>SEI</v>
      </c>
      <c r="K186" s="98">
        <f t="shared" si="126"/>
        <v>5</v>
      </c>
      <c r="L186" s="98">
        <f>IF(NOT(ISERROR(VLOOKUP(B186,Deflatores!G$42:H$64,2,FALSE))),VLOOKUP(B186,Deflatores!G$42:H$64,2,FALSE),IF(OR(ISBLANK(C186),ISBLANK(B186)),"",VLOOKUP(C186,Deflatores!G$4:H$38,2,FALSE)*H186+VLOOKUP(C186,Deflatores!G$4:I$38,3,FALSE)))</f>
        <v>5</v>
      </c>
      <c r="M186" s="7"/>
    </row>
    <row r="187" spans="1:16" x14ac:dyDescent="0.25">
      <c r="A187" s="109" t="s">
        <v>326</v>
      </c>
      <c r="B187" s="4" t="s">
        <v>40</v>
      </c>
      <c r="C187" s="4" t="s">
        <v>39</v>
      </c>
      <c r="D187" s="6">
        <v>2</v>
      </c>
      <c r="E187" s="6">
        <v>4</v>
      </c>
      <c r="F187" s="97" t="str">
        <f t="shared" si="121"/>
        <v>Média</v>
      </c>
      <c r="G187" s="6" t="str">
        <f t="shared" si="122"/>
        <v>SEA</v>
      </c>
      <c r="H187" s="6">
        <f t="shared" si="123"/>
        <v>5</v>
      </c>
      <c r="I187" s="97" t="str">
        <f t="shared" si="124"/>
        <v>A</v>
      </c>
      <c r="J187" s="6" t="str">
        <f t="shared" si="125"/>
        <v>SEI</v>
      </c>
      <c r="K187" s="98">
        <f t="shared" si="126"/>
        <v>5</v>
      </c>
      <c r="L187" s="98">
        <f>IF(NOT(ISERROR(VLOOKUP(B187,Deflatores!G$42:H$64,2,FALSE))),VLOOKUP(B187,Deflatores!G$42:H$64,2,FALSE),IF(OR(ISBLANK(C187),ISBLANK(B187)),"",VLOOKUP(C187,Deflatores!G$4:H$38,2,FALSE)*H187+VLOOKUP(C187,Deflatores!G$4:I$38,3,FALSE)))</f>
        <v>5</v>
      </c>
      <c r="M187" s="7"/>
    </row>
    <row r="188" spans="1:16" x14ac:dyDescent="0.25">
      <c r="A188" s="109"/>
      <c r="B188" s="4"/>
      <c r="C188" s="4"/>
      <c r="D188" s="6"/>
      <c r="E188" s="6"/>
      <c r="F188" s="97" t="str">
        <f t="shared" si="121"/>
        <v/>
      </c>
      <c r="G188" s="6" t="str">
        <f t="shared" si="122"/>
        <v/>
      </c>
      <c r="H188" s="6" t="str">
        <f t="shared" si="123"/>
        <v/>
      </c>
      <c r="I188" s="97" t="str">
        <f t="shared" si="124"/>
        <v/>
      </c>
      <c r="J188" s="6" t="str">
        <f t="shared" si="125"/>
        <v/>
      </c>
      <c r="K188" s="98" t="str">
        <f t="shared" si="126"/>
        <v/>
      </c>
      <c r="L188" s="98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</row>
    <row r="189" spans="1:16" x14ac:dyDescent="0.25">
      <c r="A189" s="111" t="s">
        <v>327</v>
      </c>
      <c r="B189" s="4"/>
      <c r="C189" s="4"/>
      <c r="D189" s="6"/>
      <c r="E189" s="6"/>
      <c r="F189" s="97" t="str">
        <f t="shared" si="121"/>
        <v/>
      </c>
      <c r="G189" s="6" t="str">
        <f t="shared" si="122"/>
        <v/>
      </c>
      <c r="H189" s="6" t="str">
        <f t="shared" si="123"/>
        <v/>
      </c>
      <c r="I189" s="97" t="str">
        <f t="shared" si="124"/>
        <v/>
      </c>
      <c r="J189" s="6" t="str">
        <f t="shared" si="125"/>
        <v/>
      </c>
      <c r="K189" s="98" t="str">
        <f t="shared" si="126"/>
        <v/>
      </c>
      <c r="L189" s="98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</row>
    <row r="190" spans="1:16" x14ac:dyDescent="0.25">
      <c r="A190" s="109" t="s">
        <v>311</v>
      </c>
      <c r="B190" s="4" t="s">
        <v>40</v>
      </c>
      <c r="C190" s="4" t="s">
        <v>39</v>
      </c>
      <c r="D190" s="6">
        <v>12</v>
      </c>
      <c r="E190" s="6">
        <v>4</v>
      </c>
      <c r="F190" s="97" t="str">
        <f t="shared" si="121"/>
        <v>Alta</v>
      </c>
      <c r="G190" s="6" t="str">
        <f t="shared" si="122"/>
        <v>SEH</v>
      </c>
      <c r="H190" s="6">
        <f t="shared" si="123"/>
        <v>7</v>
      </c>
      <c r="I190" s="97" t="str">
        <f t="shared" si="124"/>
        <v>H</v>
      </c>
      <c r="J190" s="6" t="str">
        <f t="shared" si="125"/>
        <v>SEI</v>
      </c>
      <c r="K190" s="98">
        <f t="shared" si="126"/>
        <v>7</v>
      </c>
      <c r="L190" s="98">
        <f>IF(NOT(ISERROR(VLOOKUP(B190,Deflatores!G$42:H$64,2,FALSE))),VLOOKUP(B190,Deflatores!G$42:H$64,2,FALSE),IF(OR(ISBLANK(C190),ISBLANK(B190)),"",VLOOKUP(C190,Deflatores!G$4:H$38,2,FALSE)*H190+VLOOKUP(C190,Deflatores!G$4:I$38,3,FALSE)))</f>
        <v>7</v>
      </c>
    </row>
    <row r="191" spans="1:16" x14ac:dyDescent="0.25">
      <c r="A191" s="109" t="s">
        <v>316</v>
      </c>
      <c r="B191" s="4" t="s">
        <v>40</v>
      </c>
      <c r="C191" s="4" t="s">
        <v>39</v>
      </c>
      <c r="D191" s="6">
        <v>1</v>
      </c>
      <c r="E191" s="6">
        <v>4</v>
      </c>
      <c r="F191" s="97" t="str">
        <f t="shared" si="121"/>
        <v>Média</v>
      </c>
      <c r="G191" s="6" t="str">
        <f t="shared" si="122"/>
        <v>SEA</v>
      </c>
      <c r="H191" s="6">
        <f t="shared" si="123"/>
        <v>5</v>
      </c>
      <c r="I191" s="97" t="str">
        <f t="shared" si="124"/>
        <v>A</v>
      </c>
      <c r="J191" s="6" t="str">
        <f t="shared" si="125"/>
        <v>SEI</v>
      </c>
      <c r="K191" s="98">
        <f t="shared" si="126"/>
        <v>5</v>
      </c>
      <c r="L191" s="98">
        <f>IF(NOT(ISERROR(VLOOKUP(B191,Deflatores!G$42:H$64,2,FALSE))),VLOOKUP(B191,Deflatores!G$42:H$64,2,FALSE),IF(OR(ISBLANK(C191),ISBLANK(B191)),"",VLOOKUP(C191,Deflatores!G$4:H$38,2,FALSE)*H191+VLOOKUP(C191,Deflatores!G$4:I$38,3,FALSE)))</f>
        <v>5</v>
      </c>
    </row>
    <row r="192" spans="1:16" x14ac:dyDescent="0.25">
      <c r="A192" s="109" t="s">
        <v>328</v>
      </c>
      <c r="B192" s="4" t="s">
        <v>41</v>
      </c>
      <c r="C192" s="4" t="s">
        <v>39</v>
      </c>
      <c r="D192" s="6">
        <v>11</v>
      </c>
      <c r="E192" s="6">
        <v>4</v>
      </c>
      <c r="F192" s="97" t="str">
        <f t="shared" si="121"/>
        <v>Alta</v>
      </c>
      <c r="G192" s="6" t="str">
        <f t="shared" si="122"/>
        <v>CEH</v>
      </c>
      <c r="H192" s="6">
        <f t="shared" si="123"/>
        <v>6</v>
      </c>
      <c r="I192" s="97" t="str">
        <f t="shared" si="124"/>
        <v>H</v>
      </c>
      <c r="J192" s="6" t="str">
        <f t="shared" si="125"/>
        <v>CEI</v>
      </c>
      <c r="K192" s="98">
        <f t="shared" si="126"/>
        <v>6</v>
      </c>
      <c r="L192" s="98">
        <f>IF(NOT(ISERROR(VLOOKUP(B192,Deflatores!G$42:H$64,2,FALSE))),VLOOKUP(B192,Deflatores!G$42:H$64,2,FALSE),IF(OR(ISBLANK(C192),ISBLANK(B192)),"",VLOOKUP(C192,Deflatores!G$4:H$38,2,FALSE)*H192+VLOOKUP(C192,Deflatores!G$4:I$38,3,FALSE)))</f>
        <v>6</v>
      </c>
    </row>
    <row r="193" spans="1:12" x14ac:dyDescent="0.25">
      <c r="A193" s="109"/>
      <c r="B193" s="4"/>
      <c r="C193" s="4"/>
      <c r="D193" s="6"/>
      <c r="E193" s="6"/>
      <c r="F193" s="97" t="str">
        <f t="shared" si="121"/>
        <v/>
      </c>
      <c r="G193" s="6" t="str">
        <f t="shared" si="122"/>
        <v/>
      </c>
      <c r="H193" s="6" t="str">
        <f t="shared" si="123"/>
        <v/>
      </c>
      <c r="I193" s="97" t="str">
        <f t="shared" si="124"/>
        <v/>
      </c>
      <c r="J193" s="6" t="str">
        <f t="shared" si="125"/>
        <v/>
      </c>
      <c r="K193" s="98" t="str">
        <f t="shared" si="126"/>
        <v/>
      </c>
      <c r="L193" s="98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</row>
    <row r="194" spans="1:12" ht="21.6" x14ac:dyDescent="0.25">
      <c r="A194" s="111" t="s">
        <v>329</v>
      </c>
      <c r="B194" s="4"/>
      <c r="C194" s="4"/>
      <c r="D194" s="6"/>
      <c r="E194" s="6"/>
      <c r="F194" s="97" t="str">
        <f t="shared" si="121"/>
        <v/>
      </c>
      <c r="G194" s="6" t="str">
        <f t="shared" si="122"/>
        <v/>
      </c>
      <c r="H194" s="6" t="str">
        <f t="shared" si="123"/>
        <v/>
      </c>
      <c r="I194" s="97" t="str">
        <f t="shared" si="124"/>
        <v/>
      </c>
      <c r="J194" s="6" t="str">
        <f t="shared" si="125"/>
        <v/>
      </c>
      <c r="K194" s="98" t="str">
        <f t="shared" si="126"/>
        <v/>
      </c>
      <c r="L194" s="98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</row>
    <row r="195" spans="1:12" x14ac:dyDescent="0.25">
      <c r="A195" s="109" t="s">
        <v>330</v>
      </c>
      <c r="B195" s="4" t="s">
        <v>40</v>
      </c>
      <c r="C195" s="4" t="s">
        <v>39</v>
      </c>
      <c r="D195" s="6">
        <v>7</v>
      </c>
      <c r="E195" s="6">
        <v>2</v>
      </c>
      <c r="F195" s="97" t="str">
        <f t="shared" si="121"/>
        <v>Média</v>
      </c>
      <c r="G195" s="6" t="str">
        <f t="shared" si="122"/>
        <v>SEA</v>
      </c>
      <c r="H195" s="6">
        <f t="shared" si="123"/>
        <v>5</v>
      </c>
      <c r="I195" s="97" t="str">
        <f t="shared" si="124"/>
        <v>A</v>
      </c>
      <c r="J195" s="6" t="str">
        <f t="shared" si="125"/>
        <v>SEI</v>
      </c>
      <c r="K195" s="98">
        <f t="shared" si="126"/>
        <v>5</v>
      </c>
      <c r="L195" s="98">
        <f>IF(NOT(ISERROR(VLOOKUP(B195,Deflatores!G$42:H$64,2,FALSE))),VLOOKUP(B195,Deflatores!G$42:H$64,2,FALSE),IF(OR(ISBLANK(C195),ISBLANK(B195)),"",VLOOKUP(C195,Deflatores!G$4:H$38,2,FALSE)*H195+VLOOKUP(C195,Deflatores!G$4:I$38,3,FALSE)))</f>
        <v>5</v>
      </c>
    </row>
    <row r="196" spans="1:12" x14ac:dyDescent="0.25">
      <c r="A196" s="109" t="s">
        <v>331</v>
      </c>
      <c r="B196" s="4" t="s">
        <v>40</v>
      </c>
      <c r="C196" s="4" t="s">
        <v>39</v>
      </c>
      <c r="D196" s="6">
        <v>2</v>
      </c>
      <c r="E196" s="6">
        <v>2</v>
      </c>
      <c r="F196" s="97" t="str">
        <f t="shared" si="121"/>
        <v>Baixa</v>
      </c>
      <c r="G196" s="6" t="str">
        <f t="shared" si="122"/>
        <v>SEL</v>
      </c>
      <c r="H196" s="6">
        <f t="shared" si="123"/>
        <v>4</v>
      </c>
      <c r="I196" s="97" t="str">
        <f t="shared" si="124"/>
        <v>L</v>
      </c>
      <c r="J196" s="6" t="str">
        <f t="shared" si="125"/>
        <v>SEI</v>
      </c>
      <c r="K196" s="98">
        <f t="shared" si="126"/>
        <v>4</v>
      </c>
      <c r="L196" s="98">
        <f>IF(NOT(ISERROR(VLOOKUP(B196,Deflatores!G$42:H$64,2,FALSE))),VLOOKUP(B196,Deflatores!G$42:H$64,2,FALSE),IF(OR(ISBLANK(C196),ISBLANK(B196)),"",VLOOKUP(C196,Deflatores!G$4:H$38,2,FALSE)*H196+VLOOKUP(C196,Deflatores!G$4:I$38,3,FALSE)))</f>
        <v>4</v>
      </c>
    </row>
    <row r="197" spans="1:12" x14ac:dyDescent="0.25">
      <c r="A197" s="109" t="s">
        <v>332</v>
      </c>
      <c r="B197" s="4" t="s">
        <v>40</v>
      </c>
      <c r="C197" s="4" t="s">
        <v>39</v>
      </c>
      <c r="D197" s="6">
        <v>2</v>
      </c>
      <c r="E197" s="6">
        <v>2</v>
      </c>
      <c r="F197" s="97" t="str">
        <f t="shared" si="121"/>
        <v>Baixa</v>
      </c>
      <c r="G197" s="6" t="str">
        <f t="shared" si="122"/>
        <v>SEL</v>
      </c>
      <c r="H197" s="6">
        <f t="shared" si="123"/>
        <v>4</v>
      </c>
      <c r="I197" s="97" t="str">
        <f t="shared" si="124"/>
        <v>L</v>
      </c>
      <c r="J197" s="6" t="str">
        <f t="shared" si="125"/>
        <v>SEI</v>
      </c>
      <c r="K197" s="98">
        <f t="shared" si="126"/>
        <v>4</v>
      </c>
      <c r="L197" s="98">
        <f>IF(NOT(ISERROR(VLOOKUP(B197,Deflatores!G$42:H$64,2,FALSE))),VLOOKUP(B197,Deflatores!G$42:H$64,2,FALSE),IF(OR(ISBLANK(C197),ISBLANK(B197)),"",VLOOKUP(C197,Deflatores!G$4:H$38,2,FALSE)*H197+VLOOKUP(C197,Deflatores!G$4:I$38,3,FALSE)))</f>
        <v>4</v>
      </c>
    </row>
    <row r="198" spans="1:12" x14ac:dyDescent="0.25">
      <c r="A198" s="109"/>
      <c r="B198" s="4"/>
      <c r="C198" s="4"/>
      <c r="D198" s="6"/>
      <c r="E198" s="6"/>
      <c r="F198" s="97" t="str">
        <f t="shared" si="121"/>
        <v/>
      </c>
      <c r="G198" s="6" t="str">
        <f t="shared" si="122"/>
        <v/>
      </c>
      <c r="H198" s="6" t="str">
        <f t="shared" si="123"/>
        <v/>
      </c>
      <c r="I198" s="97" t="str">
        <f t="shared" si="124"/>
        <v/>
      </c>
      <c r="J198" s="6" t="str">
        <f t="shared" si="125"/>
        <v/>
      </c>
      <c r="K198" s="98" t="str">
        <f t="shared" si="126"/>
        <v/>
      </c>
      <c r="L198" s="98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</row>
    <row r="199" spans="1:12" x14ac:dyDescent="0.25">
      <c r="A199" s="111" t="s">
        <v>333</v>
      </c>
      <c r="B199" s="4"/>
      <c r="C199" s="4"/>
      <c r="D199" s="6"/>
      <c r="E199" s="6"/>
      <c r="F199" s="97" t="str">
        <f t="shared" si="121"/>
        <v/>
      </c>
      <c r="G199" s="6" t="str">
        <f t="shared" si="122"/>
        <v/>
      </c>
      <c r="H199" s="6" t="str">
        <f t="shared" si="123"/>
        <v/>
      </c>
      <c r="I199" s="97" t="str">
        <f t="shared" si="124"/>
        <v/>
      </c>
      <c r="J199" s="6" t="str">
        <f t="shared" si="125"/>
        <v/>
      </c>
      <c r="K199" s="98" t="str">
        <f t="shared" si="126"/>
        <v/>
      </c>
      <c r="L199" s="98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</row>
    <row r="200" spans="1:12" x14ac:dyDescent="0.25">
      <c r="A200" s="109" t="s">
        <v>334</v>
      </c>
      <c r="B200" s="4" t="s">
        <v>40</v>
      </c>
      <c r="C200" s="4" t="s">
        <v>39</v>
      </c>
      <c r="D200" s="6">
        <v>6</v>
      </c>
      <c r="E200" s="6">
        <v>2</v>
      </c>
      <c r="F200" s="97" t="str">
        <f t="shared" si="121"/>
        <v>Média</v>
      </c>
      <c r="G200" s="6" t="str">
        <f t="shared" si="122"/>
        <v>SEA</v>
      </c>
      <c r="H200" s="6">
        <f t="shared" si="123"/>
        <v>5</v>
      </c>
      <c r="I200" s="97" t="str">
        <f t="shared" si="124"/>
        <v>A</v>
      </c>
      <c r="J200" s="6" t="str">
        <f t="shared" si="125"/>
        <v>SEI</v>
      </c>
      <c r="K200" s="98">
        <f t="shared" si="126"/>
        <v>5</v>
      </c>
      <c r="L200" s="98">
        <f>IF(NOT(ISERROR(VLOOKUP(B200,Deflatores!G$42:H$64,2,FALSE))),VLOOKUP(B200,Deflatores!G$42:H$64,2,FALSE),IF(OR(ISBLANK(C200),ISBLANK(B200)),"",VLOOKUP(C200,Deflatores!G$4:H$38,2,FALSE)*H200+VLOOKUP(C200,Deflatores!G$4:I$38,3,FALSE)))</f>
        <v>5</v>
      </c>
    </row>
    <row r="201" spans="1:12" x14ac:dyDescent="0.25">
      <c r="A201" s="109" t="s">
        <v>335</v>
      </c>
      <c r="B201" s="4" t="s">
        <v>40</v>
      </c>
      <c r="C201" s="4" t="s">
        <v>39</v>
      </c>
      <c r="D201" s="6">
        <v>2</v>
      </c>
      <c r="E201" s="6">
        <v>2</v>
      </c>
      <c r="F201" s="97" t="str">
        <f t="shared" si="121"/>
        <v>Baixa</v>
      </c>
      <c r="G201" s="6" t="str">
        <f t="shared" si="122"/>
        <v>SEL</v>
      </c>
      <c r="H201" s="6">
        <f t="shared" si="123"/>
        <v>4</v>
      </c>
      <c r="I201" s="97" t="str">
        <f t="shared" si="124"/>
        <v>L</v>
      </c>
      <c r="J201" s="6" t="str">
        <f t="shared" si="125"/>
        <v>SEI</v>
      </c>
      <c r="K201" s="98">
        <f t="shared" si="126"/>
        <v>4</v>
      </c>
      <c r="L201" s="98">
        <f>IF(NOT(ISERROR(VLOOKUP(B201,Deflatores!G$42:H$64,2,FALSE))),VLOOKUP(B201,Deflatores!G$42:H$64,2,FALSE),IF(OR(ISBLANK(C201),ISBLANK(B201)),"",VLOOKUP(C201,Deflatores!G$4:H$38,2,FALSE)*H201+VLOOKUP(C201,Deflatores!G$4:I$38,3,FALSE)))</f>
        <v>4</v>
      </c>
    </row>
    <row r="202" spans="1:12" x14ac:dyDescent="0.25">
      <c r="A202" s="109" t="s">
        <v>336</v>
      </c>
      <c r="B202" s="4" t="s">
        <v>40</v>
      </c>
      <c r="C202" s="4" t="s">
        <v>39</v>
      </c>
      <c r="D202" s="6">
        <v>2</v>
      </c>
      <c r="E202" s="6">
        <v>2</v>
      </c>
      <c r="F202" s="97" t="str">
        <f t="shared" si="121"/>
        <v>Baixa</v>
      </c>
      <c r="G202" s="6" t="str">
        <f t="shared" si="122"/>
        <v>SEL</v>
      </c>
      <c r="H202" s="6">
        <f t="shared" si="123"/>
        <v>4</v>
      </c>
      <c r="I202" s="97" t="str">
        <f t="shared" si="124"/>
        <v>L</v>
      </c>
      <c r="J202" s="6" t="str">
        <f t="shared" si="125"/>
        <v>SEI</v>
      </c>
      <c r="K202" s="98">
        <f t="shared" si="126"/>
        <v>4</v>
      </c>
      <c r="L202" s="98">
        <f>IF(NOT(ISERROR(VLOOKUP(B202,Deflatores!G$42:H$64,2,FALSE))),VLOOKUP(B202,Deflatores!G$42:H$64,2,FALSE),IF(OR(ISBLANK(C202),ISBLANK(B202)),"",VLOOKUP(C202,Deflatores!G$4:H$38,2,FALSE)*H202+VLOOKUP(C202,Deflatores!G$4:I$38,3,FALSE)))</f>
        <v>4</v>
      </c>
    </row>
    <row r="203" spans="1:12" x14ac:dyDescent="0.25">
      <c r="A203" s="109"/>
      <c r="B203" s="4"/>
      <c r="C203" s="4"/>
      <c r="D203" s="6"/>
      <c r="E203" s="6"/>
      <c r="F203" s="97" t="str">
        <f t="shared" si="121"/>
        <v/>
      </c>
      <c r="G203" s="6" t="str">
        <f t="shared" si="122"/>
        <v/>
      </c>
      <c r="H203" s="6" t="str">
        <f t="shared" si="123"/>
        <v/>
      </c>
      <c r="I203" s="97" t="str">
        <f t="shared" si="124"/>
        <v/>
      </c>
      <c r="J203" s="6" t="str">
        <f t="shared" si="125"/>
        <v/>
      </c>
      <c r="K203" s="98" t="str">
        <f t="shared" si="126"/>
        <v/>
      </c>
      <c r="L203" s="98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</row>
    <row r="204" spans="1:12" x14ac:dyDescent="0.25">
      <c r="A204" s="111" t="s">
        <v>337</v>
      </c>
      <c r="B204" s="4"/>
      <c r="C204" s="4"/>
      <c r="D204" s="6"/>
      <c r="E204" s="6"/>
      <c r="F204" s="97" t="str">
        <f t="shared" si="121"/>
        <v/>
      </c>
      <c r="G204" s="6" t="str">
        <f t="shared" si="122"/>
        <v/>
      </c>
      <c r="H204" s="6" t="str">
        <f t="shared" si="123"/>
        <v/>
      </c>
      <c r="I204" s="97" t="str">
        <f t="shared" si="124"/>
        <v/>
      </c>
      <c r="J204" s="6" t="str">
        <f t="shared" si="125"/>
        <v/>
      </c>
      <c r="K204" s="98" t="str">
        <f t="shared" si="126"/>
        <v/>
      </c>
      <c r="L204" s="98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</row>
    <row r="205" spans="1:12" x14ac:dyDescent="0.25">
      <c r="A205" s="109" t="s">
        <v>311</v>
      </c>
      <c r="B205" s="4" t="s">
        <v>40</v>
      </c>
      <c r="C205" s="4" t="s">
        <v>39</v>
      </c>
      <c r="D205" s="6">
        <v>7</v>
      </c>
      <c r="E205" s="6">
        <v>2</v>
      </c>
      <c r="F205" s="97" t="str">
        <f t="shared" si="121"/>
        <v>Média</v>
      </c>
      <c r="G205" s="6" t="str">
        <f t="shared" si="122"/>
        <v>SEA</v>
      </c>
      <c r="H205" s="6">
        <f t="shared" si="123"/>
        <v>5</v>
      </c>
      <c r="I205" s="97" t="str">
        <f t="shared" si="124"/>
        <v>A</v>
      </c>
      <c r="J205" s="6" t="str">
        <f t="shared" si="125"/>
        <v>SEI</v>
      </c>
      <c r="K205" s="98">
        <f t="shared" si="126"/>
        <v>5</v>
      </c>
      <c r="L205" s="98">
        <f>IF(NOT(ISERROR(VLOOKUP(B205,Deflatores!G$42:H$64,2,FALSE))),VLOOKUP(B205,Deflatores!G$42:H$64,2,FALSE),IF(OR(ISBLANK(C205),ISBLANK(B205)),"",VLOOKUP(C205,Deflatores!G$4:H$38,2,FALSE)*H205+VLOOKUP(C205,Deflatores!G$4:I$38,3,FALSE)))</f>
        <v>5</v>
      </c>
    </row>
    <row r="206" spans="1:12" x14ac:dyDescent="0.25">
      <c r="A206" s="109" t="s">
        <v>338</v>
      </c>
      <c r="B206" s="4" t="s">
        <v>40</v>
      </c>
      <c r="C206" s="4" t="s">
        <v>39</v>
      </c>
      <c r="D206" s="6">
        <v>1</v>
      </c>
      <c r="E206" s="6">
        <v>2</v>
      </c>
      <c r="F206" s="97" t="str">
        <f t="shared" si="121"/>
        <v>Baixa</v>
      </c>
      <c r="G206" s="6" t="str">
        <f t="shared" si="122"/>
        <v>SEL</v>
      </c>
      <c r="H206" s="6">
        <f t="shared" si="123"/>
        <v>4</v>
      </c>
      <c r="I206" s="97" t="str">
        <f t="shared" si="124"/>
        <v>L</v>
      </c>
      <c r="J206" s="6" t="str">
        <f t="shared" si="125"/>
        <v>SEI</v>
      </c>
      <c r="K206" s="98">
        <f t="shared" si="126"/>
        <v>4</v>
      </c>
      <c r="L206" s="98">
        <f>IF(NOT(ISERROR(VLOOKUP(B206,Deflatores!G$42:H$64,2,FALSE))),VLOOKUP(B206,Deflatores!G$42:H$64,2,FALSE),IF(OR(ISBLANK(C206),ISBLANK(B206)),"",VLOOKUP(C206,Deflatores!G$4:H$38,2,FALSE)*H206+VLOOKUP(C206,Deflatores!G$4:I$38,3,FALSE)))</f>
        <v>4</v>
      </c>
    </row>
    <row r="207" spans="1:12" x14ac:dyDescent="0.25">
      <c r="A207" s="109" t="s">
        <v>339</v>
      </c>
      <c r="B207" s="4" t="s">
        <v>40</v>
      </c>
      <c r="C207" s="4" t="s">
        <v>39</v>
      </c>
      <c r="D207" s="6">
        <v>2</v>
      </c>
      <c r="E207" s="6">
        <v>2</v>
      </c>
      <c r="F207" s="97" t="str">
        <f t="shared" si="121"/>
        <v>Baixa</v>
      </c>
      <c r="G207" s="6" t="str">
        <f t="shared" si="122"/>
        <v>SEL</v>
      </c>
      <c r="H207" s="6">
        <f t="shared" si="123"/>
        <v>4</v>
      </c>
      <c r="I207" s="97" t="str">
        <f t="shared" si="124"/>
        <v>L</v>
      </c>
      <c r="J207" s="6" t="str">
        <f t="shared" si="125"/>
        <v>SEI</v>
      </c>
      <c r="K207" s="98">
        <f t="shared" si="126"/>
        <v>4</v>
      </c>
      <c r="L207" s="98">
        <f>IF(NOT(ISERROR(VLOOKUP(B207,Deflatores!G$42:H$64,2,FALSE))),VLOOKUP(B207,Deflatores!G$42:H$64,2,FALSE),IF(OR(ISBLANK(C207),ISBLANK(B207)),"",VLOOKUP(C207,Deflatores!G$4:H$38,2,FALSE)*H207+VLOOKUP(C207,Deflatores!G$4:I$38,3,FALSE)))</f>
        <v>4</v>
      </c>
    </row>
    <row r="208" spans="1:12" x14ac:dyDescent="0.25">
      <c r="A208" s="109" t="s">
        <v>340</v>
      </c>
      <c r="B208" s="4" t="s">
        <v>40</v>
      </c>
      <c r="C208" s="4" t="s">
        <v>39</v>
      </c>
      <c r="D208" s="6">
        <v>2</v>
      </c>
      <c r="E208" s="6">
        <v>2</v>
      </c>
      <c r="F208" s="97" t="str">
        <f t="shared" si="121"/>
        <v>Baixa</v>
      </c>
      <c r="G208" s="6" t="str">
        <f t="shared" si="122"/>
        <v>SEL</v>
      </c>
      <c r="H208" s="6">
        <f t="shared" si="123"/>
        <v>4</v>
      </c>
      <c r="I208" s="97" t="str">
        <f t="shared" si="124"/>
        <v>L</v>
      </c>
      <c r="J208" s="6" t="str">
        <f t="shared" si="125"/>
        <v>SEI</v>
      </c>
      <c r="K208" s="98">
        <f t="shared" si="126"/>
        <v>4</v>
      </c>
      <c r="L208" s="98">
        <f>IF(NOT(ISERROR(VLOOKUP(B208,Deflatores!G$42:H$64,2,FALSE))),VLOOKUP(B208,Deflatores!G$42:H$64,2,FALSE),IF(OR(ISBLANK(C208),ISBLANK(B208)),"",VLOOKUP(C208,Deflatores!G$4:H$38,2,FALSE)*H208+VLOOKUP(C208,Deflatores!G$4:I$38,3,FALSE)))</f>
        <v>4</v>
      </c>
    </row>
    <row r="209" spans="1:12" x14ac:dyDescent="0.25">
      <c r="A209" s="109" t="s">
        <v>341</v>
      </c>
      <c r="B209" s="4" t="s">
        <v>40</v>
      </c>
      <c r="C209" s="4" t="s">
        <v>39</v>
      </c>
      <c r="D209" s="6">
        <v>2</v>
      </c>
      <c r="E209" s="6">
        <v>2</v>
      </c>
      <c r="F209" s="97" t="str">
        <f t="shared" si="121"/>
        <v>Baixa</v>
      </c>
      <c r="G209" s="6" t="str">
        <f t="shared" si="122"/>
        <v>SEL</v>
      </c>
      <c r="H209" s="6">
        <f t="shared" si="123"/>
        <v>4</v>
      </c>
      <c r="I209" s="97" t="str">
        <f t="shared" si="124"/>
        <v>L</v>
      </c>
      <c r="J209" s="6" t="str">
        <f t="shared" si="125"/>
        <v>SEI</v>
      </c>
      <c r="K209" s="98">
        <f t="shared" si="126"/>
        <v>4</v>
      </c>
      <c r="L209" s="98">
        <f>IF(NOT(ISERROR(VLOOKUP(B209,Deflatores!G$42:H$64,2,FALSE))),VLOOKUP(B209,Deflatores!G$42:H$64,2,FALSE),IF(OR(ISBLANK(C209),ISBLANK(B209)),"",VLOOKUP(C209,Deflatores!G$4:H$38,2,FALSE)*H209+VLOOKUP(C209,Deflatores!G$4:I$38,3,FALSE)))</f>
        <v>4</v>
      </c>
    </row>
    <row r="210" spans="1:12" x14ac:dyDescent="0.25">
      <c r="A210" s="109"/>
      <c r="B210" s="4"/>
      <c r="C210" s="4"/>
      <c r="D210" s="6"/>
      <c r="E210" s="6"/>
      <c r="F210" s="97" t="str">
        <f t="shared" si="121"/>
        <v/>
      </c>
      <c r="G210" s="6" t="str">
        <f t="shared" si="122"/>
        <v/>
      </c>
      <c r="H210" s="6" t="str">
        <f t="shared" si="123"/>
        <v/>
      </c>
      <c r="I210" s="97" t="str">
        <f t="shared" si="124"/>
        <v/>
      </c>
      <c r="J210" s="6" t="str">
        <f t="shared" si="125"/>
        <v/>
      </c>
      <c r="K210" s="98" t="str">
        <f t="shared" si="126"/>
        <v/>
      </c>
      <c r="L210" s="98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</row>
    <row r="211" spans="1:12" x14ac:dyDescent="0.25">
      <c r="A211" s="110" t="s">
        <v>342</v>
      </c>
      <c r="B211" s="4"/>
      <c r="C211" s="4"/>
      <c r="D211" s="6"/>
      <c r="E211" s="6"/>
      <c r="F211" s="97" t="str">
        <f t="shared" si="121"/>
        <v/>
      </c>
      <c r="G211" s="6" t="str">
        <f t="shared" si="122"/>
        <v/>
      </c>
      <c r="H211" s="6" t="str">
        <f t="shared" si="123"/>
        <v/>
      </c>
      <c r="I211" s="97" t="str">
        <f t="shared" si="124"/>
        <v/>
      </c>
      <c r="J211" s="6" t="str">
        <f t="shared" si="125"/>
        <v/>
      </c>
      <c r="K211" s="98" t="str">
        <f t="shared" si="126"/>
        <v/>
      </c>
      <c r="L211" s="98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</row>
    <row r="212" spans="1:12" x14ac:dyDescent="0.25">
      <c r="A212" s="109" t="s">
        <v>343</v>
      </c>
      <c r="B212" s="4" t="s">
        <v>40</v>
      </c>
      <c r="C212" s="4" t="s">
        <v>39</v>
      </c>
      <c r="D212" s="6">
        <v>30</v>
      </c>
      <c r="E212" s="6">
        <v>3</v>
      </c>
      <c r="F212" s="97" t="str">
        <f t="shared" si="121"/>
        <v>Alta</v>
      </c>
      <c r="G212" s="6" t="str">
        <f t="shared" si="122"/>
        <v>SEH</v>
      </c>
      <c r="H212" s="6">
        <f t="shared" si="123"/>
        <v>7</v>
      </c>
      <c r="I212" s="97" t="str">
        <f t="shared" si="124"/>
        <v>H</v>
      </c>
      <c r="J212" s="6" t="str">
        <f t="shared" si="125"/>
        <v>SEI</v>
      </c>
      <c r="K212" s="98">
        <f t="shared" si="126"/>
        <v>7</v>
      </c>
      <c r="L212" s="98">
        <f>IF(NOT(ISERROR(VLOOKUP(B212,Deflatores!G$42:H$64,2,FALSE))),VLOOKUP(B212,Deflatores!G$42:H$64,2,FALSE),IF(OR(ISBLANK(C212),ISBLANK(B212)),"",VLOOKUP(C212,Deflatores!G$4:H$38,2,FALSE)*H212+VLOOKUP(C212,Deflatores!G$4:I$38,3,FALSE)))</f>
        <v>7</v>
      </c>
    </row>
    <row r="213" spans="1:12" x14ac:dyDescent="0.25">
      <c r="A213" s="109" t="s">
        <v>344</v>
      </c>
      <c r="B213" s="4" t="s">
        <v>40</v>
      </c>
      <c r="C213" s="4" t="s">
        <v>39</v>
      </c>
      <c r="D213" s="6">
        <v>30</v>
      </c>
      <c r="E213" s="6">
        <v>3</v>
      </c>
      <c r="F213" s="97" t="str">
        <f t="shared" si="121"/>
        <v>Alta</v>
      </c>
      <c r="G213" s="6" t="str">
        <f t="shared" si="122"/>
        <v>SEH</v>
      </c>
      <c r="H213" s="6">
        <f t="shared" si="123"/>
        <v>7</v>
      </c>
      <c r="I213" s="97" t="str">
        <f t="shared" si="124"/>
        <v>H</v>
      </c>
      <c r="J213" s="6" t="str">
        <f t="shared" si="125"/>
        <v>SEI</v>
      </c>
      <c r="K213" s="98">
        <f t="shared" si="126"/>
        <v>7</v>
      </c>
      <c r="L213" s="98">
        <f>IF(NOT(ISERROR(VLOOKUP(B213,Deflatores!G$42:H$64,2,FALSE))),VLOOKUP(B213,Deflatores!G$42:H$64,2,FALSE),IF(OR(ISBLANK(C213),ISBLANK(B213)),"",VLOOKUP(C213,Deflatores!G$4:H$38,2,FALSE)*H213+VLOOKUP(C213,Deflatores!G$4:I$38,3,FALSE)))</f>
        <v>7</v>
      </c>
    </row>
  </sheetData>
  <sheetProtection selectLockedCells="1" selectUnlockedCells="1"/>
  <mergeCells count="7">
    <mergeCell ref="B6:J6"/>
    <mergeCell ref="M6:P6"/>
    <mergeCell ref="A1:P3"/>
    <mergeCell ref="M4:P4"/>
    <mergeCell ref="M5:P5"/>
    <mergeCell ref="B4:J4"/>
    <mergeCell ref="B5:J5"/>
  </mergeCells>
  <conditionalFormatting sqref="C8:C42">
    <cfRule type="cellIs" dxfId="11" priority="64" stopIfTrue="1" operator="equal">
      <formula>"I"</formula>
    </cfRule>
    <cfRule type="cellIs" dxfId="10" priority="65" stopIfTrue="1" operator="equal">
      <formula>"A"</formula>
    </cfRule>
    <cfRule type="cellIs" dxfId="9" priority="66" stopIfTrue="1" operator="equal">
      <formula>"E"</formula>
    </cfRule>
  </conditionalFormatting>
  <conditionalFormatting sqref="C43:C57">
    <cfRule type="cellIs" dxfId="8" priority="397" stopIfTrue="1" operator="equal">
      <formula>"I"</formula>
    </cfRule>
    <cfRule type="cellIs" dxfId="7" priority="398" stopIfTrue="1" operator="equal">
      <formula>"A"</formula>
    </cfRule>
    <cfRule type="cellIs" dxfId="6" priority="399" stopIfTrue="1" operator="equal">
      <formula>"E"</formula>
    </cfRule>
  </conditionalFormatting>
  <conditionalFormatting sqref="C50">
    <cfRule type="cellIs" dxfId="5" priority="212" stopIfTrue="1" operator="equal">
      <formula>"I"</formula>
    </cfRule>
    <cfRule type="cellIs" dxfId="4" priority="213" stopIfTrue="1" operator="equal">
      <formula>"A"</formula>
    </cfRule>
    <cfRule type="cellIs" dxfId="3" priority="214" stopIfTrue="1" operator="equal">
      <formula>"E"</formula>
    </cfRule>
  </conditionalFormatting>
  <conditionalFormatting sqref="C58:C213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xWindow="762" yWindow="445" count="2">
    <dataValidation type="list" operator="equal" allowBlank="1" showInputMessage="1" showErrorMessage="1" promptTitle="Tipo da Função" prompt="ALI, AIE, EE, SE, CE_x000a_ou_x000a_Itens não mensuráveis" sqref="B118:B213 B8:B116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118:C213 C8:C116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4" activePane="bottomLeft" state="frozen"/>
      <selection activeCell="B11" sqref="B11"/>
      <selection pane="bottomLeft" activeCell="B21" sqref="B21:F21"/>
    </sheetView>
  </sheetViews>
  <sheetFormatPr defaultColWidth="11.5546875" defaultRowHeight="13.2" x14ac:dyDescent="0.25"/>
  <cols>
    <col min="4" max="4" width="10.77734375" customWidth="1"/>
    <col min="5" max="5" width="23.21875" customWidth="1"/>
    <col min="6" max="6" width="53.21875" customWidth="1"/>
    <col min="7" max="7" width="7.77734375" style="8" customWidth="1"/>
    <col min="8" max="8" width="13.21875" style="9" customWidth="1"/>
    <col min="9" max="9" width="9.77734375" style="9" customWidth="1"/>
    <col min="10" max="11" width="10.5546875" customWidth="1"/>
    <col min="12" max="12" width="0" style="8" hidden="1" customWidth="1"/>
  </cols>
  <sheetData>
    <row r="1" spans="1:12" ht="36.6" customHeight="1" x14ac:dyDescent="0.3">
      <c r="A1" s="120" t="s">
        <v>44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0"/>
    </row>
    <row r="2" spans="1:12" ht="14.85" customHeight="1" x14ac:dyDescent="0.25">
      <c r="A2" s="140" t="s">
        <v>45</v>
      </c>
      <c r="B2" s="140"/>
      <c r="C2" s="140"/>
      <c r="D2" s="140"/>
      <c r="E2" s="140"/>
      <c r="F2" s="140"/>
      <c r="G2" s="141" t="s">
        <v>46</v>
      </c>
      <c r="H2" s="141" t="s">
        <v>47</v>
      </c>
      <c r="I2" s="141"/>
      <c r="J2" s="141" t="s">
        <v>3</v>
      </c>
      <c r="K2" s="142" t="s">
        <v>48</v>
      </c>
    </row>
    <row r="3" spans="1:12" ht="14.85" customHeight="1" x14ac:dyDescent="0.25">
      <c r="A3" s="11" t="s">
        <v>49</v>
      </c>
      <c r="B3" s="141" t="s">
        <v>50</v>
      </c>
      <c r="C3" s="141"/>
      <c r="D3" s="141"/>
      <c r="E3" s="141"/>
      <c r="F3" s="12" t="s">
        <v>51</v>
      </c>
      <c r="G3" s="141"/>
      <c r="H3" s="12" t="s">
        <v>52</v>
      </c>
      <c r="I3" s="12" t="s">
        <v>53</v>
      </c>
      <c r="J3" s="141"/>
      <c r="K3" s="142"/>
    </row>
    <row r="4" spans="1:12" x14ac:dyDescent="0.25">
      <c r="A4" s="3" t="s">
        <v>54</v>
      </c>
      <c r="B4" s="118" t="s">
        <v>55</v>
      </c>
      <c r="C4" s="118"/>
      <c r="D4" s="118"/>
      <c r="E4" s="118"/>
      <c r="F4" s="2"/>
      <c r="G4" s="13" t="s">
        <v>39</v>
      </c>
      <c r="H4" s="80">
        <v>1</v>
      </c>
      <c r="I4" s="81"/>
      <c r="J4" s="82">
        <f>SUMIF(Funções!$C$8:$C$49,Deflatores!G4,Funções!$H$8:$H$49)</f>
        <v>202</v>
      </c>
      <c r="K4" s="83">
        <f>IF(H4="",COUNTIF(Funções!C$8:C$49,G4)*I4,H4*J4)</f>
        <v>202</v>
      </c>
    </row>
    <row r="5" spans="1:12" x14ac:dyDescent="0.25">
      <c r="A5" s="3" t="s">
        <v>56</v>
      </c>
      <c r="B5" s="118" t="s">
        <v>57</v>
      </c>
      <c r="C5" s="118"/>
      <c r="D5" s="118"/>
      <c r="E5" s="118"/>
      <c r="F5" s="2" t="s">
        <v>58</v>
      </c>
      <c r="G5" s="13" t="s">
        <v>59</v>
      </c>
      <c r="H5" s="80">
        <v>0.5</v>
      </c>
      <c r="I5" s="81"/>
      <c r="J5" s="82">
        <f>SUMIF(Funções!$C$8:$C$49,Deflatores!G5,Funções!$H$8:$H$49)</f>
        <v>0</v>
      </c>
      <c r="K5" s="83">
        <f>IF(H5="",COUNTIF(Funções!C$8:C$49,G5)*I5,H5*J5)</f>
        <v>0</v>
      </c>
    </row>
    <row r="6" spans="1:12" x14ac:dyDescent="0.25">
      <c r="A6" s="3" t="s">
        <v>60</v>
      </c>
      <c r="B6" s="118" t="s">
        <v>61</v>
      </c>
      <c r="C6" s="118"/>
      <c r="D6" s="118"/>
      <c r="E6" s="118"/>
      <c r="F6" s="2" t="s">
        <v>58</v>
      </c>
      <c r="G6" s="13" t="s">
        <v>62</v>
      </c>
      <c r="H6" s="80">
        <v>0.4</v>
      </c>
      <c r="I6" s="81"/>
      <c r="J6" s="82">
        <f>SUMIF(Funções!$C$8:$C$49,Deflatores!G6,Funções!$H$8:$H$49)</f>
        <v>0</v>
      </c>
      <c r="K6" s="83">
        <f>IF(H6="",COUNTIF(Funções!C$8:C$49,G6)*I6,H6*J6)</f>
        <v>0</v>
      </c>
    </row>
    <row r="7" spans="1:12" x14ac:dyDescent="0.25">
      <c r="A7" s="3"/>
      <c r="B7" s="118" t="s">
        <v>63</v>
      </c>
      <c r="C7" s="118"/>
      <c r="D7" s="118"/>
      <c r="E7" s="118"/>
      <c r="F7" s="2" t="s">
        <v>58</v>
      </c>
      <c r="G7" s="13" t="s">
        <v>64</v>
      </c>
      <c r="H7" s="80">
        <v>0.5</v>
      </c>
      <c r="I7" s="81"/>
      <c r="J7" s="82">
        <f>SUMIF(Funções!$C$8:$C$49,Deflatores!G7,Funções!$H$8:$H$49)</f>
        <v>0</v>
      </c>
      <c r="K7" s="83">
        <f>IF(H7="",COUNTIF(Funções!C$8:C$49,G7)*I7,H7*J7)</f>
        <v>0</v>
      </c>
    </row>
    <row r="8" spans="1:12" x14ac:dyDescent="0.25">
      <c r="A8" s="3"/>
      <c r="B8" s="118" t="s">
        <v>65</v>
      </c>
      <c r="C8" s="118"/>
      <c r="D8" s="118"/>
      <c r="E8" s="118"/>
      <c r="F8" s="2" t="s">
        <v>58</v>
      </c>
      <c r="G8" s="13" t="s">
        <v>66</v>
      </c>
      <c r="H8" s="80">
        <v>0.75</v>
      </c>
      <c r="I8" s="81"/>
      <c r="J8" s="82">
        <f>SUMIF(Funções!$C$8:$C$49,Deflatores!G8,Funções!$H$8:$H$49)</f>
        <v>0</v>
      </c>
      <c r="K8" s="83">
        <f>IF(H8="",COUNTIF(Funções!C$8:C$49,G8)*I8,H8*J8)</f>
        <v>0</v>
      </c>
    </row>
    <row r="9" spans="1:12" x14ac:dyDescent="0.25">
      <c r="A9" s="3"/>
      <c r="B9" s="118" t="s">
        <v>67</v>
      </c>
      <c r="C9" s="118"/>
      <c r="D9" s="118"/>
      <c r="E9" s="118"/>
      <c r="F9" s="2" t="s">
        <v>58</v>
      </c>
      <c r="G9" s="13" t="s">
        <v>68</v>
      </c>
      <c r="H9" s="80">
        <v>0.9</v>
      </c>
      <c r="I9" s="81"/>
      <c r="J9" s="82">
        <f>SUMIF(Funções!$C$8:$C$49,Deflatores!G9,Funções!$H$8:$H$49)</f>
        <v>0</v>
      </c>
      <c r="K9" s="83">
        <f>IF(H9="",COUNTIF(Funções!C$8:C$49,G9)*I9,H9*J9)</f>
        <v>0</v>
      </c>
    </row>
    <row r="10" spans="1:12" x14ac:dyDescent="0.25">
      <c r="A10" s="3"/>
      <c r="B10" s="118" t="s">
        <v>69</v>
      </c>
      <c r="C10" s="118"/>
      <c r="D10" s="118"/>
      <c r="E10" s="118"/>
      <c r="F10" s="2" t="s">
        <v>70</v>
      </c>
      <c r="G10" s="13" t="s">
        <v>71</v>
      </c>
      <c r="H10" s="80">
        <v>1</v>
      </c>
      <c r="I10" s="81"/>
      <c r="J10" s="82">
        <f>SUMIF(Funções!$C$8:$C$49,Deflatores!G10,Funções!$H$8:$H$49)</f>
        <v>0</v>
      </c>
      <c r="K10" s="83">
        <f>IF(H10="",COUNTIF(Funções!C$8:C$49,G10)*I10,H10*J10)</f>
        <v>0</v>
      </c>
    </row>
    <row r="11" spans="1:12" x14ac:dyDescent="0.25">
      <c r="A11" s="3"/>
      <c r="B11" s="118" t="s">
        <v>72</v>
      </c>
      <c r="C11" s="118"/>
      <c r="D11" s="118"/>
      <c r="E11" s="118"/>
      <c r="F11" s="2" t="s">
        <v>73</v>
      </c>
      <c r="G11" s="13" t="s">
        <v>74</v>
      </c>
      <c r="H11" s="80">
        <v>0.5</v>
      </c>
      <c r="I11" s="81"/>
      <c r="J11" s="82">
        <f>SUMIF(Funções!$C$8:$C$49,Deflatores!G11,Funções!$H$8:$H$49)</f>
        <v>0</v>
      </c>
      <c r="K11" s="83">
        <f>IF(H11="",COUNTIF(Funções!C$8:C$49,G11)*I11,H11*J11)</f>
        <v>0</v>
      </c>
    </row>
    <row r="12" spans="1:12" ht="13.5" customHeight="1" x14ac:dyDescent="0.25">
      <c r="A12" s="3"/>
      <c r="B12" s="118" t="s">
        <v>75</v>
      </c>
      <c r="C12" s="118"/>
      <c r="D12" s="118"/>
      <c r="E12" s="118"/>
      <c r="F12" s="2" t="s">
        <v>73</v>
      </c>
      <c r="G12" s="13" t="s">
        <v>76</v>
      </c>
      <c r="H12" s="80">
        <v>0.5</v>
      </c>
      <c r="I12" s="81"/>
      <c r="J12" s="82">
        <f>SUMIF(Funções!$C$8:$C$49,Deflatores!G12,Funções!$H$8:$H$49)</f>
        <v>0</v>
      </c>
      <c r="K12" s="83">
        <f>IF(H12="",COUNTIF(Funções!C$8:C$49,G12)*I12,H12*J12)</f>
        <v>0</v>
      </c>
    </row>
    <row r="13" spans="1:12" ht="13.5" customHeight="1" x14ac:dyDescent="0.25">
      <c r="A13" s="3"/>
      <c r="B13" s="118" t="s">
        <v>77</v>
      </c>
      <c r="C13" s="118"/>
      <c r="D13" s="118"/>
      <c r="E13" s="118"/>
      <c r="F13" s="2" t="s">
        <v>73</v>
      </c>
      <c r="G13" s="13" t="s">
        <v>78</v>
      </c>
      <c r="H13" s="80">
        <v>0.75</v>
      </c>
      <c r="I13" s="81"/>
      <c r="J13" s="82">
        <f>SUMIF(Funções!$C$8:$C$49,Deflatores!G13,Funções!$H$8:$H$49)</f>
        <v>0</v>
      </c>
      <c r="K13" s="83">
        <f>IF(H13="",COUNTIF(Funções!C$8:C$49,G13)*I13,H13*J13)</f>
        <v>0</v>
      </c>
    </row>
    <row r="14" spans="1:12" ht="13.5" customHeight="1" x14ac:dyDescent="0.25">
      <c r="A14" s="3"/>
      <c r="B14" s="118" t="s">
        <v>79</v>
      </c>
      <c r="C14" s="118"/>
      <c r="D14" s="118"/>
      <c r="E14" s="118"/>
      <c r="F14" s="2" t="s">
        <v>73</v>
      </c>
      <c r="G14" s="13" t="s">
        <v>80</v>
      </c>
      <c r="H14" s="80">
        <v>0.9</v>
      </c>
      <c r="I14" s="81"/>
      <c r="J14" s="82">
        <f>SUMIF(Funções!$C$8:$C$49,Deflatores!G14,Funções!$H$8:$H$49)</f>
        <v>0</v>
      </c>
      <c r="K14" s="83">
        <f>IF(H14="",COUNTIF(Funções!C$8:C$49,G14)*I14,H14*J14)</f>
        <v>0</v>
      </c>
    </row>
    <row r="15" spans="1:12" ht="13.5" customHeight="1" x14ac:dyDescent="0.25">
      <c r="A15" s="3"/>
      <c r="B15" s="118" t="s">
        <v>81</v>
      </c>
      <c r="C15" s="118"/>
      <c r="D15" s="118"/>
      <c r="E15" s="118"/>
      <c r="F15" s="2" t="s">
        <v>73</v>
      </c>
      <c r="G15" s="13" t="s">
        <v>82</v>
      </c>
      <c r="H15" s="80">
        <v>0</v>
      </c>
      <c r="I15" s="81"/>
      <c r="J15" s="82">
        <f>SUMIF(Funções!$C$8:$C$49,Deflatores!G15,Funções!$H$8:$H$49)</f>
        <v>0</v>
      </c>
      <c r="K15" s="83">
        <f>IF(H15="",COUNTIF(Funções!C$8:C$49,G15)*I15,H15*J15)</f>
        <v>0</v>
      </c>
    </row>
    <row r="16" spans="1:12" ht="13.5" customHeight="1" x14ac:dyDescent="0.25">
      <c r="A16" s="3"/>
      <c r="B16" s="118" t="s">
        <v>83</v>
      </c>
      <c r="C16" s="118"/>
      <c r="D16" s="118"/>
      <c r="E16" s="118"/>
      <c r="F16" s="2" t="s">
        <v>84</v>
      </c>
      <c r="G16" s="13" t="s">
        <v>85</v>
      </c>
      <c r="H16" s="80">
        <v>1</v>
      </c>
      <c r="I16" s="81"/>
      <c r="J16" s="82">
        <f>SUMIF(Funções!$C$8:$C$49,Deflatores!G16,Funções!$H$8:$H$49)</f>
        <v>0</v>
      </c>
      <c r="K16" s="83">
        <f>IF(H16="",COUNTIF(Funções!C$8:C$49,G16)*I16,H16*J16)</f>
        <v>0</v>
      </c>
    </row>
    <row r="17" spans="1:11" x14ac:dyDescent="0.25">
      <c r="A17" s="3"/>
      <c r="B17" s="118" t="s">
        <v>86</v>
      </c>
      <c r="C17" s="118"/>
      <c r="D17" s="118"/>
      <c r="E17" s="118"/>
      <c r="F17" s="2" t="s">
        <v>87</v>
      </c>
      <c r="G17" s="13" t="s">
        <v>88</v>
      </c>
      <c r="H17" s="80">
        <v>1</v>
      </c>
      <c r="I17" s="81"/>
      <c r="J17" s="82">
        <f>SUMIF(Funções!$C$8:$C$49,Deflatores!G17,Funções!$H$8:$H$49)</f>
        <v>0</v>
      </c>
      <c r="K17" s="83">
        <f>IF(H17="",COUNTIF(Funções!C$8:C$49,G17)*I17,H17*J17)</f>
        <v>0</v>
      </c>
    </row>
    <row r="18" spans="1:11" ht="13.5" customHeight="1" x14ac:dyDescent="0.25">
      <c r="A18" s="3"/>
      <c r="B18" s="118" t="s">
        <v>89</v>
      </c>
      <c r="C18" s="118"/>
      <c r="D18" s="118"/>
      <c r="E18" s="118"/>
      <c r="F18" s="2" t="s">
        <v>87</v>
      </c>
      <c r="G18" s="13" t="s">
        <v>90</v>
      </c>
      <c r="H18" s="80">
        <v>0.3</v>
      </c>
      <c r="I18" s="81"/>
      <c r="J18" s="82">
        <f>SUMIF(Funções!$C$8:$C$49,Deflatores!G18,Funções!$H$8:$H$49)</f>
        <v>0</v>
      </c>
      <c r="K18" s="83">
        <f>IF(H18="",COUNTIF(Funções!C$8:C$49,G18)*I18,H18*J18)</f>
        <v>0</v>
      </c>
    </row>
    <row r="19" spans="1:11" ht="13.5" customHeight="1" x14ac:dyDescent="0.25">
      <c r="A19" s="3"/>
      <c r="B19" s="118" t="s">
        <v>91</v>
      </c>
      <c r="C19" s="118"/>
      <c r="D19" s="118"/>
      <c r="E19" s="118"/>
      <c r="F19" s="2" t="s">
        <v>92</v>
      </c>
      <c r="G19" s="13" t="s">
        <v>93</v>
      </c>
      <c r="H19" s="80">
        <v>0.3</v>
      </c>
      <c r="I19" s="81"/>
      <c r="J19" s="82">
        <f>SUMIF(Funções!$C$8:$C$49,Deflatores!G19,Funções!$H$8:$H$49)</f>
        <v>0</v>
      </c>
      <c r="K19" s="83">
        <f>IF(H19="",COUNTIF(Funções!C$8:C$49,G19)*I19,H19*J19)</f>
        <v>0</v>
      </c>
    </row>
    <row r="20" spans="1:11" ht="13.5" customHeight="1" x14ac:dyDescent="0.25">
      <c r="A20" s="3"/>
      <c r="B20" s="118" t="s">
        <v>94</v>
      </c>
      <c r="C20" s="118"/>
      <c r="D20" s="118"/>
      <c r="E20" s="118"/>
      <c r="F20" s="2" t="s">
        <v>95</v>
      </c>
      <c r="G20" s="13" t="s">
        <v>96</v>
      </c>
      <c r="H20" s="80">
        <v>0.3</v>
      </c>
      <c r="I20" s="81"/>
      <c r="J20" s="82">
        <f>SUMIF(Funções!$C$8:$C$49,Deflatores!G20,Funções!$H$8:$H$49)</f>
        <v>0</v>
      </c>
      <c r="K20" s="83">
        <f>IF(H20="",COUNTIF(Funções!C$8:C$49,G20)*I20,H20*J20)</f>
        <v>0</v>
      </c>
    </row>
    <row r="21" spans="1:11" ht="13.5" customHeight="1" x14ac:dyDescent="0.25">
      <c r="A21" s="3"/>
      <c r="B21" s="118" t="s">
        <v>97</v>
      </c>
      <c r="C21" s="118"/>
      <c r="D21" s="118"/>
      <c r="E21" s="118"/>
      <c r="F21" s="2" t="s">
        <v>98</v>
      </c>
      <c r="G21" s="13" t="s">
        <v>99</v>
      </c>
      <c r="H21" s="80">
        <v>0.3</v>
      </c>
      <c r="I21" s="81"/>
      <c r="J21" s="82">
        <f>SUMIF(Funções!$C$8:$C$49,Deflatores!G21,Funções!$H$8:$H$49)</f>
        <v>0</v>
      </c>
      <c r="K21" s="83">
        <f>IF(H21="",COUNTIF(Funções!C$8:C$49,G21)*I21,H21*J21)</f>
        <v>0</v>
      </c>
    </row>
    <row r="22" spans="1:11" x14ac:dyDescent="0.25">
      <c r="A22" s="3"/>
      <c r="B22" s="118" t="s">
        <v>100</v>
      </c>
      <c r="C22" s="118"/>
      <c r="D22" s="118"/>
      <c r="E22" s="118"/>
      <c r="F22" s="2" t="s">
        <v>101</v>
      </c>
      <c r="G22" s="13" t="s">
        <v>102</v>
      </c>
      <c r="H22" s="80"/>
      <c r="I22" s="81">
        <v>0.6</v>
      </c>
      <c r="J22" s="82">
        <f>SUMIF(Funções!$C$8:$C$49,Deflatores!G22,Funções!$H$8:$H$49)</f>
        <v>0</v>
      </c>
      <c r="K22" s="83">
        <f>IF(H22="",COUNTIF(Funções!C$8:C$49,G22)*I22,H22*J22)</f>
        <v>0</v>
      </c>
    </row>
    <row r="23" spans="1:11" ht="27" customHeight="1" x14ac:dyDescent="0.25">
      <c r="A23" s="3"/>
      <c r="B23" s="143" t="s">
        <v>103</v>
      </c>
      <c r="C23" s="144"/>
      <c r="D23" s="144"/>
      <c r="E23" s="145"/>
      <c r="F23" s="79" t="s">
        <v>104</v>
      </c>
      <c r="G23" s="13" t="s">
        <v>105</v>
      </c>
      <c r="H23" s="80">
        <v>0.5</v>
      </c>
      <c r="I23" s="81"/>
      <c r="J23" s="82">
        <f>SUMIF(Funções!$C$8:$C$49,Deflatores!G23,Funções!$H$8:$H$49)</f>
        <v>0</v>
      </c>
      <c r="K23" s="83">
        <f>IF(H23="",COUNTIF(Funções!C$8:C$49,G23)*I23,H23*J23)</f>
        <v>0</v>
      </c>
    </row>
    <row r="24" spans="1:11" ht="27" customHeight="1" x14ac:dyDescent="0.25">
      <c r="A24" s="3"/>
      <c r="B24" s="143" t="s">
        <v>106</v>
      </c>
      <c r="C24" s="144"/>
      <c r="D24" s="144"/>
      <c r="E24" s="145"/>
      <c r="F24" s="79" t="s">
        <v>104</v>
      </c>
      <c r="G24" s="13" t="s">
        <v>107</v>
      </c>
      <c r="H24" s="80">
        <v>0.5</v>
      </c>
      <c r="I24" s="81"/>
      <c r="J24" s="82">
        <f>SUMIF(Funções!$C$8:$C$49,Deflatores!G24,Funções!$H$8:$H$49)</f>
        <v>0</v>
      </c>
      <c r="K24" s="83">
        <f>IF(H24="",COUNTIF(Funções!C$8:C$49,G24)*I24,H24*J24)</f>
        <v>0</v>
      </c>
    </row>
    <row r="25" spans="1:11" ht="27" customHeight="1" x14ac:dyDescent="0.25">
      <c r="A25" s="3"/>
      <c r="B25" s="146" t="s">
        <v>108</v>
      </c>
      <c r="C25" s="118"/>
      <c r="D25" s="118"/>
      <c r="E25" s="118"/>
      <c r="F25" s="79" t="s">
        <v>104</v>
      </c>
      <c r="G25" s="13" t="s">
        <v>109</v>
      </c>
      <c r="H25" s="80">
        <v>0.75</v>
      </c>
      <c r="I25" s="81"/>
      <c r="J25" s="82">
        <f>SUMIF(Funções!$C$8:$C$49,Deflatores!G25,Funções!$H$8:$H$49)</f>
        <v>0</v>
      </c>
      <c r="K25" s="83">
        <f>IF(H25="",COUNTIF(Funções!C$8:C$49,G25)*I25,H25*J25)</f>
        <v>0</v>
      </c>
    </row>
    <row r="26" spans="1:11" ht="13.5" customHeight="1" x14ac:dyDescent="0.25">
      <c r="A26" s="3"/>
      <c r="B26" s="118" t="s">
        <v>110</v>
      </c>
      <c r="C26" s="118"/>
      <c r="D26" s="118"/>
      <c r="E26" s="118"/>
      <c r="F26" s="2" t="s">
        <v>111</v>
      </c>
      <c r="G26" s="13" t="s">
        <v>112</v>
      </c>
      <c r="H26" s="80">
        <v>1</v>
      </c>
      <c r="I26" s="81"/>
      <c r="J26" s="82">
        <f>SUMIF(Funções!$C$8:$C$49,Deflatores!G26,Funções!$H$8:$H$49)</f>
        <v>0</v>
      </c>
      <c r="K26" s="83">
        <f>IF(H26="",COUNTIF(Funções!C$8:C$49,G26)*I26,H26*J26)</f>
        <v>0</v>
      </c>
    </row>
    <row r="27" spans="1:11" ht="13.5" customHeight="1" x14ac:dyDescent="0.25">
      <c r="A27" s="3"/>
      <c r="B27" s="118" t="s">
        <v>113</v>
      </c>
      <c r="C27" s="118"/>
      <c r="D27" s="118"/>
      <c r="E27" s="118"/>
      <c r="F27" s="2" t="s">
        <v>111</v>
      </c>
      <c r="G27" s="13" t="s">
        <v>114</v>
      </c>
      <c r="H27" s="80">
        <v>1</v>
      </c>
      <c r="I27" s="81"/>
      <c r="J27" s="82">
        <f>SUMIF(Funções!$C$8:$C$49,Deflatores!G27,Funções!$H$8:$H$49)</f>
        <v>0</v>
      </c>
      <c r="K27" s="83">
        <f>IF(H27="",COUNTIF(Funções!C$8:C$49,G27)*I27,H27*J27)</f>
        <v>0</v>
      </c>
    </row>
    <row r="28" spans="1:11" ht="13.5" customHeight="1" x14ac:dyDescent="0.25">
      <c r="A28" s="3"/>
      <c r="B28" s="118" t="s">
        <v>115</v>
      </c>
      <c r="C28" s="118"/>
      <c r="D28" s="118"/>
      <c r="E28" s="118"/>
      <c r="F28" s="2" t="s">
        <v>111</v>
      </c>
      <c r="G28" s="13" t="s">
        <v>116</v>
      </c>
      <c r="H28" s="80">
        <v>0.6</v>
      </c>
      <c r="I28" s="81"/>
      <c r="J28" s="82">
        <f>SUMIF(Funções!$C$8:$C$49,Deflatores!G28,Funções!$H$8:$H$49)</f>
        <v>0</v>
      </c>
      <c r="K28" s="83">
        <f>IF(H28="",COUNTIF(Funções!C$8:C$49,G28)*I28,H28*J28)</f>
        <v>0</v>
      </c>
    </row>
    <row r="29" spans="1:11" ht="13.5" customHeight="1" x14ac:dyDescent="0.25">
      <c r="A29" s="3"/>
      <c r="B29" s="118" t="s">
        <v>117</v>
      </c>
      <c r="C29" s="118"/>
      <c r="D29" s="118"/>
      <c r="E29" s="118"/>
      <c r="F29" s="2" t="s">
        <v>118</v>
      </c>
      <c r="G29" s="13" t="s">
        <v>119</v>
      </c>
      <c r="H29" s="80">
        <v>1</v>
      </c>
      <c r="I29" s="81"/>
      <c r="J29" s="82">
        <f>SUMIF(Funções!$C$8:$C$49,Deflatores!G29,Funções!$H$8:$H$49)</f>
        <v>0</v>
      </c>
      <c r="K29" s="83">
        <f>IF(H29="",COUNTIF(Funções!C$8:C$49,G29)*I29,H29*J29)</f>
        <v>0</v>
      </c>
    </row>
    <row r="30" spans="1:11" ht="13.5" customHeight="1" x14ac:dyDescent="0.25">
      <c r="A30" s="3"/>
      <c r="B30" s="118" t="s">
        <v>120</v>
      </c>
      <c r="C30" s="118"/>
      <c r="D30" s="118"/>
      <c r="E30" s="118"/>
      <c r="F30" s="2" t="s">
        <v>121</v>
      </c>
      <c r="G30" s="13" t="s">
        <v>122</v>
      </c>
      <c r="H30" s="80">
        <v>0.1</v>
      </c>
      <c r="I30" s="81"/>
      <c r="J30" s="82">
        <f>SUMIF(Funções!$C$8:$C$49,Deflatores!G30,Funções!$H$8:$H$49)</f>
        <v>0</v>
      </c>
      <c r="K30" s="83">
        <f>IF(H30="",COUNTIF(Funções!C$8:C$49,G30)*I30,H30*J30)</f>
        <v>0</v>
      </c>
    </row>
    <row r="31" spans="1:11" ht="13.5" customHeight="1" x14ac:dyDescent="0.25">
      <c r="A31" s="3"/>
      <c r="B31" s="118" t="s">
        <v>123</v>
      </c>
      <c r="C31" s="118"/>
      <c r="D31" s="118"/>
      <c r="E31" s="118"/>
      <c r="F31" s="2" t="s">
        <v>124</v>
      </c>
      <c r="G31" s="13" t="s">
        <v>125</v>
      </c>
      <c r="H31" s="80">
        <v>0.1</v>
      </c>
      <c r="I31" s="81"/>
      <c r="J31" s="82">
        <f>SUMIF(Funções!$C$8:$C$49,Deflatores!G31,Funções!$H$8:$H$49)</f>
        <v>0</v>
      </c>
      <c r="K31" s="83">
        <f>IF(H31="",COUNTIF(Funções!C$8:C$49,G31)*I31,H31*J31)</f>
        <v>0</v>
      </c>
    </row>
    <row r="32" spans="1:11" ht="13.5" customHeight="1" x14ac:dyDescent="0.25">
      <c r="A32" s="3"/>
      <c r="B32" s="93" t="s">
        <v>126</v>
      </c>
      <c r="C32" s="94"/>
      <c r="D32" s="94"/>
      <c r="E32" s="95"/>
      <c r="F32" s="2" t="s">
        <v>127</v>
      </c>
      <c r="G32" s="13" t="s">
        <v>128</v>
      </c>
      <c r="H32" s="80">
        <v>0.25</v>
      </c>
      <c r="I32" s="81"/>
      <c r="J32" s="82">
        <f>SUMIF(Funções!$C$8:$C$49,Deflatores!G32,Funções!$H$8:$H$49)</f>
        <v>0</v>
      </c>
      <c r="K32" s="83">
        <f>IF(H32="",COUNTIF(Funções!C$8:C$49,G32)*I32,H32*J32)</f>
        <v>0</v>
      </c>
    </row>
    <row r="33" spans="1:12" ht="13.5" customHeight="1" x14ac:dyDescent="0.25">
      <c r="A33" s="3"/>
      <c r="B33" s="93" t="s">
        <v>129</v>
      </c>
      <c r="C33" s="94"/>
      <c r="D33" s="94"/>
      <c r="E33" s="95"/>
      <c r="F33" s="2" t="s">
        <v>130</v>
      </c>
      <c r="G33" s="13" t="s">
        <v>131</v>
      </c>
      <c r="H33" s="80">
        <v>0.2</v>
      </c>
      <c r="I33" s="81"/>
      <c r="J33" s="82">
        <f>SUMIF(Funções!$C$8:$C$49,Deflatores!G33,Funções!$H$8:$H$49)</f>
        <v>0</v>
      </c>
      <c r="K33" s="83">
        <f>IF(H33="",COUNTIF(Funções!C$8:C$49,G33)*I33,H33*J33)</f>
        <v>0</v>
      </c>
    </row>
    <row r="34" spans="1:12" ht="13.5" customHeight="1" x14ac:dyDescent="0.25">
      <c r="A34" s="3"/>
      <c r="B34" s="93" t="s">
        <v>132</v>
      </c>
      <c r="C34" s="94"/>
      <c r="D34" s="94"/>
      <c r="E34" s="95"/>
      <c r="F34" s="2" t="s">
        <v>130</v>
      </c>
      <c r="G34" s="13" t="s">
        <v>133</v>
      </c>
      <c r="H34" s="80">
        <v>0.15</v>
      </c>
      <c r="I34" s="81"/>
      <c r="J34" s="82">
        <f>SUMIF(Funções!$C$8:$C$49,Deflatores!G34,Funções!$H$8:$H$49)</f>
        <v>0</v>
      </c>
      <c r="K34" s="83">
        <f>IF(H34="",COUNTIF(Funções!C$8:C$49,G34)*I34,H34*J34)</f>
        <v>0</v>
      </c>
    </row>
    <row r="35" spans="1:12" ht="13.5" customHeight="1" x14ac:dyDescent="0.25">
      <c r="A35" s="3"/>
      <c r="B35" s="93" t="s">
        <v>134</v>
      </c>
      <c r="C35" s="94"/>
      <c r="D35" s="94"/>
      <c r="E35" s="95"/>
      <c r="F35" s="2" t="s">
        <v>135</v>
      </c>
      <c r="G35" s="13" t="s">
        <v>136</v>
      </c>
      <c r="H35" s="80">
        <v>0.15</v>
      </c>
      <c r="I35" s="81"/>
      <c r="J35" s="82">
        <f>SUMIF(Funções!$C$8:$C$49,Deflatores!G35,Funções!$H$8:$H$49)</f>
        <v>0</v>
      </c>
      <c r="K35" s="83">
        <f>IF(H35="",COUNTIF(Funções!C$8:C$49,G35)*I35,H35*J35)</f>
        <v>0</v>
      </c>
    </row>
    <row r="36" spans="1:12" ht="13.5" customHeight="1" x14ac:dyDescent="0.25">
      <c r="A36" s="3"/>
      <c r="B36" s="118" t="s">
        <v>137</v>
      </c>
      <c r="C36" s="118"/>
      <c r="D36" s="118"/>
      <c r="E36" s="118"/>
      <c r="F36" s="2" t="s">
        <v>138</v>
      </c>
      <c r="G36" s="13" t="s">
        <v>139</v>
      </c>
      <c r="H36" s="80">
        <v>1</v>
      </c>
      <c r="I36" s="81"/>
      <c r="J36" s="82">
        <f>SUMIF(Funções!$C$8:$C$49,Deflatores!G36,Funções!$H$8:$H$49)</f>
        <v>0</v>
      </c>
      <c r="K36" s="83">
        <f>IF(H36="",COUNTIF(Funções!C$8:C$49,G36)*I36,H36*J36)</f>
        <v>0</v>
      </c>
    </row>
    <row r="37" spans="1:12" ht="13.5" customHeight="1" x14ac:dyDescent="0.25">
      <c r="A37" s="3"/>
      <c r="B37" s="118"/>
      <c r="C37" s="118"/>
      <c r="D37" s="118"/>
      <c r="E37" s="118"/>
      <c r="F37" s="2"/>
      <c r="G37" s="13" t="s">
        <v>140</v>
      </c>
      <c r="H37" s="80"/>
      <c r="I37" s="81"/>
      <c r="J37" s="82">
        <f>SUMIF(Funções!$C$8:$C$49,Deflatores!G37,Funções!$H$8:$H$49)</f>
        <v>0</v>
      </c>
      <c r="K37" s="83">
        <f>IF(H37="",COUNTIF(Funções!C$8:C$49,G37)*I37,H37*J37)</f>
        <v>0</v>
      </c>
      <c r="L37" s="8" t="s">
        <v>42</v>
      </c>
    </row>
    <row r="38" spans="1:12" ht="13.5" customHeight="1" x14ac:dyDescent="0.25">
      <c r="A38" s="3"/>
      <c r="B38" s="118"/>
      <c r="C38" s="118"/>
      <c r="D38" s="118"/>
      <c r="E38" s="118"/>
      <c r="F38" s="2"/>
      <c r="G38" s="13" t="s">
        <v>140</v>
      </c>
      <c r="H38" s="80"/>
      <c r="I38" s="81"/>
      <c r="J38" s="82">
        <f>SUMIF(Funções!$C$8:$C$49,Deflatores!G38,Funções!$H$8:$H$49)</f>
        <v>0</v>
      </c>
      <c r="K38" s="83">
        <f>IF(H38="",COUNTIF(Funções!C$8:C$49,G38)*I38,H38*J38)</f>
        <v>0</v>
      </c>
      <c r="L38" s="8" t="s">
        <v>38</v>
      </c>
    </row>
    <row r="39" spans="1:12" ht="13.8" x14ac:dyDescent="0.3">
      <c r="A39" s="56"/>
      <c r="B39" s="57"/>
      <c r="C39" s="57"/>
      <c r="D39" s="57"/>
      <c r="E39" s="57"/>
      <c r="F39" s="57"/>
      <c r="G39" s="58"/>
      <c r="H39" s="59"/>
      <c r="I39" s="59"/>
      <c r="J39" s="60"/>
      <c r="K39" s="61"/>
      <c r="L39" s="8" t="s">
        <v>43</v>
      </c>
    </row>
    <row r="40" spans="1:12" ht="14.85" customHeight="1" x14ac:dyDescent="0.25">
      <c r="A40" s="140" t="s">
        <v>44</v>
      </c>
      <c r="B40" s="140"/>
      <c r="C40" s="140"/>
      <c r="D40" s="140"/>
      <c r="E40" s="140"/>
      <c r="F40" s="140"/>
      <c r="G40" s="141" t="s">
        <v>46</v>
      </c>
      <c r="H40" s="141" t="s">
        <v>47</v>
      </c>
      <c r="I40" s="141"/>
      <c r="J40" s="141" t="s">
        <v>141</v>
      </c>
      <c r="K40" s="142" t="s">
        <v>48</v>
      </c>
      <c r="L40" s="8" t="s">
        <v>41</v>
      </c>
    </row>
    <row r="41" spans="1:12" ht="14.85" customHeight="1" x14ac:dyDescent="0.25">
      <c r="A41" s="11" t="s">
        <v>49</v>
      </c>
      <c r="B41" s="141" t="s">
        <v>50</v>
      </c>
      <c r="C41" s="141"/>
      <c r="D41" s="141"/>
      <c r="E41" s="141"/>
      <c r="F41" s="12" t="s">
        <v>51</v>
      </c>
      <c r="G41" s="141"/>
      <c r="H41" s="141"/>
      <c r="I41" s="141"/>
      <c r="J41" s="141"/>
      <c r="K41" s="142"/>
      <c r="L41" s="8" t="s">
        <v>40</v>
      </c>
    </row>
    <row r="42" spans="1:12" ht="13.5" customHeight="1" x14ac:dyDescent="0.3">
      <c r="A42" s="15"/>
      <c r="B42" s="118" t="s">
        <v>142</v>
      </c>
      <c r="C42" s="118"/>
      <c r="D42" s="118"/>
      <c r="E42" s="118"/>
      <c r="F42" s="2" t="s">
        <v>143</v>
      </c>
      <c r="G42" s="13" t="s">
        <v>144</v>
      </c>
      <c r="H42" s="147">
        <v>0.6</v>
      </c>
      <c r="I42" s="147"/>
      <c r="J42" s="16">
        <f>COUNTIF(Funções!B$8:B$49,G42)</f>
        <v>0</v>
      </c>
      <c r="K42" s="14">
        <f>SUMIF(Funções!B$8:B$49,$G42,Funções!K$8:K$49)</f>
        <v>0</v>
      </c>
      <c r="L42" s="8" t="str">
        <f t="shared" ref="L42:L64" si="0">""&amp;G42</f>
        <v>PAG</v>
      </c>
    </row>
    <row r="43" spans="1:12" ht="13.5" customHeight="1" x14ac:dyDescent="0.3">
      <c r="A43" s="15"/>
      <c r="B43" s="118" t="s">
        <v>145</v>
      </c>
      <c r="C43" s="118"/>
      <c r="D43" s="118"/>
      <c r="E43" s="118"/>
      <c r="F43" s="2" t="s">
        <v>101</v>
      </c>
      <c r="G43" s="13" t="s">
        <v>146</v>
      </c>
      <c r="H43" s="147">
        <v>0.6</v>
      </c>
      <c r="I43" s="147"/>
      <c r="J43" s="16">
        <f>COUNTIF(Funções!B$8:B$49,G43)</f>
        <v>0</v>
      </c>
      <c r="K43" s="14">
        <f>SUMIF(Funções!B$8:B$49,$G43,Funções!K$8:K$49)</f>
        <v>0</v>
      </c>
      <c r="L43" s="8" t="str">
        <f t="shared" si="0"/>
        <v>COSNF</v>
      </c>
    </row>
    <row r="44" spans="1:12" ht="13.5" customHeight="1" x14ac:dyDescent="0.3">
      <c r="A44" s="15"/>
      <c r="B44" s="118" t="s">
        <v>147</v>
      </c>
      <c r="C44" s="118"/>
      <c r="D44" s="118"/>
      <c r="E44" s="118"/>
      <c r="F44" s="2"/>
      <c r="G44" s="13" t="s">
        <v>148</v>
      </c>
      <c r="H44" s="147">
        <v>0</v>
      </c>
      <c r="I44" s="147"/>
      <c r="J44" s="16">
        <f>COUNTIF(Funções!B$8:B$49,G44)</f>
        <v>0</v>
      </c>
      <c r="K44" s="14">
        <f>SUMIF(Funções!B$8:B$49,$G44,Funções!K$8:K$49)</f>
        <v>0</v>
      </c>
      <c r="L44" s="8" t="str">
        <f t="shared" si="0"/>
        <v>DC</v>
      </c>
    </row>
    <row r="45" spans="1:12" ht="13.5" customHeight="1" x14ac:dyDescent="0.3">
      <c r="A45" s="15"/>
      <c r="B45" s="118"/>
      <c r="C45" s="118"/>
      <c r="D45" s="118"/>
      <c r="E45" s="118"/>
      <c r="F45" s="2"/>
      <c r="G45" s="13" t="s">
        <v>140</v>
      </c>
      <c r="H45" s="147"/>
      <c r="I45" s="147"/>
      <c r="J45" s="16">
        <f>COUNTIF(Funções!B$8:B$49,G45)</f>
        <v>0</v>
      </c>
      <c r="K45" s="14">
        <f>SUMIF(Funções!B$8:B$49,$G45,Funções!K$8:K$49)</f>
        <v>0</v>
      </c>
      <c r="L45" s="8" t="str">
        <f t="shared" si="0"/>
        <v xml:space="preserve">           .</v>
      </c>
    </row>
    <row r="46" spans="1:12" ht="13.5" customHeight="1" x14ac:dyDescent="0.3">
      <c r="A46" s="15"/>
      <c r="B46" s="118"/>
      <c r="C46" s="118"/>
      <c r="D46" s="118"/>
      <c r="E46" s="118"/>
      <c r="F46" s="2"/>
      <c r="G46" s="13" t="s">
        <v>140</v>
      </c>
      <c r="H46" s="147"/>
      <c r="I46" s="147"/>
      <c r="J46" s="16">
        <f>COUNTIF(Funções!B$8:B$49,G46)</f>
        <v>0</v>
      </c>
      <c r="K46" s="14">
        <f>SUMIF(Funções!B$8:B$49,$G46,Funções!K$8:K$49)</f>
        <v>0</v>
      </c>
      <c r="L46" s="8" t="str">
        <f t="shared" si="0"/>
        <v xml:space="preserve">           .</v>
      </c>
    </row>
    <row r="47" spans="1:12" ht="13.8" x14ac:dyDescent="0.3">
      <c r="A47" s="15"/>
      <c r="B47" s="118"/>
      <c r="C47" s="118"/>
      <c r="D47" s="118"/>
      <c r="E47" s="118"/>
      <c r="F47" s="2"/>
      <c r="G47" s="13" t="s">
        <v>140</v>
      </c>
      <c r="H47" s="147"/>
      <c r="I47" s="147"/>
      <c r="J47" s="16">
        <f>COUNTIF(Funções!B$8:B$49,G47)</f>
        <v>0</v>
      </c>
      <c r="K47" s="14">
        <f>SUMIF(Funções!B$8:B$49,$G47,Funções!K$8:K$49)</f>
        <v>0</v>
      </c>
      <c r="L47" s="8" t="str">
        <f t="shared" si="0"/>
        <v xml:space="preserve">           .</v>
      </c>
    </row>
    <row r="48" spans="1:12" ht="13.8" x14ac:dyDescent="0.3">
      <c r="A48" s="15"/>
      <c r="B48" s="118"/>
      <c r="C48" s="118"/>
      <c r="D48" s="118"/>
      <c r="E48" s="118"/>
      <c r="F48" s="2"/>
      <c r="G48" s="13" t="s">
        <v>140</v>
      </c>
      <c r="H48" s="147"/>
      <c r="I48" s="147"/>
      <c r="J48" s="16">
        <f>COUNTIF(Funções!B$8:B$49,G48)</f>
        <v>0</v>
      </c>
      <c r="K48" s="14">
        <f>SUMIF(Funções!B$8:B$49,$G48,Funções!K$8:K$49)</f>
        <v>0</v>
      </c>
      <c r="L48" s="8" t="str">
        <f t="shared" si="0"/>
        <v xml:space="preserve">           .</v>
      </c>
    </row>
    <row r="49" spans="1:12" ht="13.8" x14ac:dyDescent="0.3">
      <c r="A49" s="15"/>
      <c r="B49" s="118"/>
      <c r="C49" s="118"/>
      <c r="D49" s="118"/>
      <c r="E49" s="118"/>
      <c r="F49" s="2"/>
      <c r="G49" s="13" t="s">
        <v>140</v>
      </c>
      <c r="H49" s="147"/>
      <c r="I49" s="147"/>
      <c r="J49" s="16">
        <f>COUNTIF(Funções!B$8:B$49,G49)</f>
        <v>0</v>
      </c>
      <c r="K49" s="14">
        <f>SUMIF(Funções!B$8:B$49,$G49,Funções!K$8:K$49)</f>
        <v>0</v>
      </c>
      <c r="L49" s="8" t="str">
        <f t="shared" si="0"/>
        <v xml:space="preserve">           .</v>
      </c>
    </row>
    <row r="50" spans="1:12" ht="13.8" x14ac:dyDescent="0.3">
      <c r="A50" s="15"/>
      <c r="B50" s="118"/>
      <c r="C50" s="118"/>
      <c r="D50" s="118"/>
      <c r="E50" s="118"/>
      <c r="F50" s="2"/>
      <c r="G50" s="13" t="s">
        <v>140</v>
      </c>
      <c r="H50" s="147"/>
      <c r="I50" s="147"/>
      <c r="J50" s="16">
        <f>COUNTIF(Funções!B$8:B$49,G50)</f>
        <v>0</v>
      </c>
      <c r="K50" s="14">
        <f>SUMIF(Funções!B$8:B$49,$G50,Funções!K$8:K$49)</f>
        <v>0</v>
      </c>
      <c r="L50" s="8" t="str">
        <f t="shared" si="0"/>
        <v xml:space="preserve">           .</v>
      </c>
    </row>
    <row r="51" spans="1:12" ht="13.8" x14ac:dyDescent="0.3">
      <c r="A51" s="15"/>
      <c r="B51" s="118"/>
      <c r="C51" s="118"/>
      <c r="D51" s="118"/>
      <c r="E51" s="118"/>
      <c r="F51" s="2"/>
      <c r="G51" s="13" t="s">
        <v>140</v>
      </c>
      <c r="H51" s="147"/>
      <c r="I51" s="147"/>
      <c r="J51" s="16">
        <f>COUNTIF(Funções!B$8:B$49,G51)</f>
        <v>0</v>
      </c>
      <c r="K51" s="14">
        <f>SUMIF(Funções!B$8:B$49,$G51,Funções!K$8:K$49)</f>
        <v>0</v>
      </c>
      <c r="L51" s="8" t="str">
        <f t="shared" si="0"/>
        <v xml:space="preserve">           .</v>
      </c>
    </row>
    <row r="52" spans="1:12" ht="13.8" x14ac:dyDescent="0.3">
      <c r="A52" s="15"/>
      <c r="B52" s="118"/>
      <c r="C52" s="118"/>
      <c r="D52" s="118"/>
      <c r="E52" s="118"/>
      <c r="F52" s="2"/>
      <c r="G52" s="13" t="s">
        <v>140</v>
      </c>
      <c r="H52" s="147"/>
      <c r="I52" s="147"/>
      <c r="J52" s="16">
        <f>COUNTIF(Funções!B$8:B$49,G52)</f>
        <v>0</v>
      </c>
      <c r="K52" s="14">
        <f>SUMIF(Funções!B$8:B$49,$G52,Funções!K$8:K$49)</f>
        <v>0</v>
      </c>
      <c r="L52" s="8" t="str">
        <f t="shared" si="0"/>
        <v xml:space="preserve">           .</v>
      </c>
    </row>
    <row r="53" spans="1:12" ht="13.8" x14ac:dyDescent="0.3">
      <c r="A53" s="15"/>
      <c r="B53" s="118"/>
      <c r="C53" s="118"/>
      <c r="D53" s="118"/>
      <c r="E53" s="118"/>
      <c r="F53" s="2"/>
      <c r="G53" s="13" t="s">
        <v>140</v>
      </c>
      <c r="H53" s="147"/>
      <c r="I53" s="147"/>
      <c r="J53" s="16">
        <f>COUNTIF(Funções!B$8:B$49,G53)</f>
        <v>0</v>
      </c>
      <c r="K53" s="14">
        <f>SUMIF(Funções!B$8:B$49,$G53,Funções!K$8:K$49)</f>
        <v>0</v>
      </c>
      <c r="L53" s="8" t="str">
        <f t="shared" si="0"/>
        <v xml:space="preserve">           .</v>
      </c>
    </row>
    <row r="54" spans="1:12" ht="13.8" x14ac:dyDescent="0.3">
      <c r="A54" s="15"/>
      <c r="B54" s="118"/>
      <c r="C54" s="118"/>
      <c r="D54" s="118"/>
      <c r="E54" s="118"/>
      <c r="F54" s="2"/>
      <c r="G54" s="13" t="s">
        <v>140</v>
      </c>
      <c r="H54" s="147"/>
      <c r="I54" s="147"/>
      <c r="J54" s="16">
        <f>COUNTIF(Funções!B$8:B$49,G54)</f>
        <v>0</v>
      </c>
      <c r="K54" s="14">
        <f>SUMIF(Funções!B$8:B$49,$G54,Funções!K$8:K$49)</f>
        <v>0</v>
      </c>
      <c r="L54" s="8" t="str">
        <f t="shared" si="0"/>
        <v xml:space="preserve">           .</v>
      </c>
    </row>
    <row r="55" spans="1:12" ht="13.8" x14ac:dyDescent="0.3">
      <c r="A55" s="15"/>
      <c r="B55" s="118"/>
      <c r="C55" s="118"/>
      <c r="D55" s="118"/>
      <c r="E55" s="118"/>
      <c r="F55" s="2"/>
      <c r="G55" s="13" t="s">
        <v>140</v>
      </c>
      <c r="H55" s="147"/>
      <c r="I55" s="147"/>
      <c r="J55" s="16">
        <f>COUNTIF(Funções!B$8:B$49,G55)</f>
        <v>0</v>
      </c>
      <c r="K55" s="14">
        <f>SUMIF(Funções!B$8:B$49,$G55,Funções!K$8:K$49)</f>
        <v>0</v>
      </c>
      <c r="L55" s="8" t="str">
        <f t="shared" si="0"/>
        <v xml:space="preserve">           .</v>
      </c>
    </row>
    <row r="56" spans="1:12" ht="13.8" x14ac:dyDescent="0.3">
      <c r="A56" s="15"/>
      <c r="B56" s="118"/>
      <c r="C56" s="118"/>
      <c r="D56" s="118"/>
      <c r="E56" s="118"/>
      <c r="F56" s="2"/>
      <c r="G56" s="13" t="s">
        <v>140</v>
      </c>
      <c r="H56" s="147"/>
      <c r="I56" s="147"/>
      <c r="J56" s="16">
        <f>COUNTIF(Funções!B$8:B$49,G56)</f>
        <v>0</v>
      </c>
      <c r="K56" s="14">
        <f>SUMIF(Funções!B$8:B$49,$G56,Funções!K$8:K$49)</f>
        <v>0</v>
      </c>
      <c r="L56" s="8" t="str">
        <f t="shared" si="0"/>
        <v xml:space="preserve">           .</v>
      </c>
    </row>
    <row r="57" spans="1:12" ht="13.8" x14ac:dyDescent="0.3">
      <c r="A57" s="15"/>
      <c r="B57" s="118"/>
      <c r="C57" s="118"/>
      <c r="D57" s="118"/>
      <c r="E57" s="118"/>
      <c r="F57" s="2"/>
      <c r="G57" s="13" t="s">
        <v>140</v>
      </c>
      <c r="H57" s="147"/>
      <c r="I57" s="147"/>
      <c r="J57" s="16">
        <f>COUNTIF(Funções!B$8:B$49,G57)</f>
        <v>0</v>
      </c>
      <c r="K57" s="14">
        <f>SUMIF(Funções!B$8:B$49,$G57,Funções!K$8:K$49)</f>
        <v>0</v>
      </c>
      <c r="L57" s="8" t="str">
        <f t="shared" si="0"/>
        <v xml:space="preserve">           .</v>
      </c>
    </row>
    <row r="58" spans="1:12" ht="13.8" x14ac:dyDescent="0.3">
      <c r="A58" s="15"/>
      <c r="B58" s="118"/>
      <c r="C58" s="118"/>
      <c r="D58" s="118"/>
      <c r="E58" s="118"/>
      <c r="F58" s="2"/>
      <c r="G58" s="13" t="s">
        <v>140</v>
      </c>
      <c r="H58" s="147"/>
      <c r="I58" s="147"/>
      <c r="J58" s="16">
        <f>COUNTIF(Funções!B$8:B$49,G58)</f>
        <v>0</v>
      </c>
      <c r="K58" s="14">
        <f>SUMIF(Funções!B$8:B$49,$G58,Funções!K$8:K$49)</f>
        <v>0</v>
      </c>
      <c r="L58" s="8" t="str">
        <f t="shared" si="0"/>
        <v xml:space="preserve">           .</v>
      </c>
    </row>
    <row r="59" spans="1:12" ht="13.8" x14ac:dyDescent="0.3">
      <c r="A59" s="15"/>
      <c r="B59" s="118"/>
      <c r="C59" s="118"/>
      <c r="D59" s="118"/>
      <c r="E59" s="118"/>
      <c r="F59" s="2"/>
      <c r="G59" s="13" t="s">
        <v>140</v>
      </c>
      <c r="H59" s="147"/>
      <c r="I59" s="147"/>
      <c r="J59" s="16">
        <f>COUNTIF(Funções!B$8:B$49,G59)</f>
        <v>0</v>
      </c>
      <c r="K59" s="14">
        <f>SUMIF(Funções!B$8:B$49,$G59,Funções!K$8:K$49)</f>
        <v>0</v>
      </c>
      <c r="L59" s="8" t="str">
        <f t="shared" si="0"/>
        <v xml:space="preserve">           .</v>
      </c>
    </row>
    <row r="60" spans="1:12" ht="13.8" x14ac:dyDescent="0.3">
      <c r="A60" s="15"/>
      <c r="B60" s="118"/>
      <c r="C60" s="118"/>
      <c r="D60" s="118"/>
      <c r="E60" s="118"/>
      <c r="F60" s="2"/>
      <c r="G60" s="13" t="s">
        <v>140</v>
      </c>
      <c r="H60" s="147"/>
      <c r="I60" s="147"/>
      <c r="J60" s="16">
        <f>COUNTIF(Funções!B$8:B$49,G60)</f>
        <v>0</v>
      </c>
      <c r="K60" s="14">
        <f>SUMIF(Funções!B$8:B$49,$G60,Funções!K$8:K$49)</f>
        <v>0</v>
      </c>
      <c r="L60" s="8" t="str">
        <f t="shared" si="0"/>
        <v xml:space="preserve">           .</v>
      </c>
    </row>
    <row r="61" spans="1:12" ht="13.8" x14ac:dyDescent="0.3">
      <c r="A61" s="15"/>
      <c r="B61" s="118"/>
      <c r="C61" s="118"/>
      <c r="D61" s="118"/>
      <c r="E61" s="118"/>
      <c r="F61" s="2"/>
      <c r="G61" s="13" t="s">
        <v>140</v>
      </c>
      <c r="H61" s="147"/>
      <c r="I61" s="147"/>
      <c r="J61" s="16">
        <f>COUNTIF(Funções!B$8:B$49,G61)</f>
        <v>0</v>
      </c>
      <c r="K61" s="14">
        <f>SUMIF(Funções!B$8:B$49,$G61,Funções!K$8:K$49)</f>
        <v>0</v>
      </c>
      <c r="L61" s="8" t="str">
        <f t="shared" si="0"/>
        <v xml:space="preserve">           .</v>
      </c>
    </row>
    <row r="62" spans="1:12" ht="13.8" x14ac:dyDescent="0.3">
      <c r="A62" s="15"/>
      <c r="B62" s="118"/>
      <c r="C62" s="118"/>
      <c r="D62" s="118"/>
      <c r="E62" s="118"/>
      <c r="F62" s="2"/>
      <c r="G62" s="13" t="s">
        <v>140</v>
      </c>
      <c r="H62" s="147"/>
      <c r="I62" s="147"/>
      <c r="J62" s="16">
        <f>COUNTIF(Funções!B$8:B$49,G62)</f>
        <v>0</v>
      </c>
      <c r="K62" s="14">
        <f>SUMIF(Funções!B$8:B$49,$G62,Funções!K$8:K$49)</f>
        <v>0</v>
      </c>
      <c r="L62" s="8" t="str">
        <f t="shared" si="0"/>
        <v xml:space="preserve">           .</v>
      </c>
    </row>
    <row r="63" spans="1:12" ht="13.8" x14ac:dyDescent="0.3">
      <c r="A63" s="15"/>
      <c r="B63" s="118"/>
      <c r="C63" s="118"/>
      <c r="D63" s="118"/>
      <c r="E63" s="118"/>
      <c r="F63" s="2"/>
      <c r="G63" s="13" t="s">
        <v>140</v>
      </c>
      <c r="H63" s="147"/>
      <c r="I63" s="147"/>
      <c r="J63" s="16">
        <f>COUNTIF(Funções!B$8:B$49,G63)</f>
        <v>0</v>
      </c>
      <c r="K63" s="14">
        <f>SUMIF(Funções!B$8:B$49,$G63,Funções!K$8:K$49)</f>
        <v>0</v>
      </c>
      <c r="L63" s="8" t="str">
        <f t="shared" si="0"/>
        <v xml:space="preserve">           .</v>
      </c>
    </row>
    <row r="64" spans="1:12" ht="13.8" x14ac:dyDescent="0.3">
      <c r="A64" s="17"/>
      <c r="B64" s="148"/>
      <c r="C64" s="148"/>
      <c r="D64" s="148"/>
      <c r="E64" s="148"/>
      <c r="F64" s="18"/>
      <c r="G64" s="19" t="s">
        <v>140</v>
      </c>
      <c r="H64" s="149"/>
      <c r="I64" s="149"/>
      <c r="J64" s="20">
        <f>COUNTIF(Funções!B$8:B$49,G64)</f>
        <v>0</v>
      </c>
      <c r="K64" s="21">
        <f>SUMIF(Funções!B$8:B$49,$G64,Funções!K$8:K$49)</f>
        <v>0</v>
      </c>
      <c r="L64" s="8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3.2" x14ac:dyDescent="0.25"/>
  <cols>
    <col min="1" max="1" width="2.77734375" customWidth="1"/>
    <col min="2" max="2" width="8.21875" customWidth="1"/>
    <col min="3" max="3" width="11.5546875" customWidth="1"/>
    <col min="4" max="4" width="1.21875" customWidth="1"/>
    <col min="5" max="5" width="7.77734375" customWidth="1"/>
    <col min="6" max="6" width="5.77734375" customWidth="1"/>
    <col min="7" max="7" width="13.44140625" customWidth="1"/>
    <col min="8" max="8" width="8.44140625" customWidth="1"/>
    <col min="9" max="9" width="5.77734375" customWidth="1"/>
    <col min="10" max="10" width="11.5546875" customWidth="1"/>
    <col min="11" max="11" width="8.44140625" customWidth="1"/>
    <col min="12" max="12" width="6.5546875" customWidth="1"/>
  </cols>
  <sheetData>
    <row r="1" spans="1:12" x14ac:dyDescent="0.25">
      <c r="A1" s="120" t="s">
        <v>149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</row>
    <row r="4" spans="1:12" x14ac:dyDescent="0.25">
      <c r="A4" s="152" t="str">
        <f>Contagem!A5&amp;" : "&amp;Contagem!F5</f>
        <v xml:space="preserve">Aplicação : </v>
      </c>
      <c r="B4" s="152"/>
      <c r="C4" s="152"/>
      <c r="D4" s="152"/>
      <c r="E4" s="152"/>
      <c r="F4" s="134" t="str">
        <f>Contagem!A8&amp;" : "&amp;Contagem!F8</f>
        <v>Projeto : SST - PSICOSOCIAL</v>
      </c>
      <c r="G4" s="134"/>
      <c r="H4" s="134"/>
      <c r="I4" s="134"/>
      <c r="J4" s="134"/>
      <c r="K4" s="134"/>
      <c r="L4" s="134"/>
    </row>
    <row r="5" spans="1:12" x14ac:dyDescent="0.25">
      <c r="A5" s="152" t="str">
        <f>Contagem!A9&amp;" : "&amp;Contagem!F9</f>
        <v>Responsável : Luana Alves de Araujo Passos Aguiar</v>
      </c>
      <c r="B5" s="152"/>
      <c r="C5" s="152"/>
      <c r="D5" s="152"/>
      <c r="E5" s="152"/>
      <c r="F5" s="134" t="str">
        <f>Contagem!A10&amp;" : "&amp;Contagem!F10</f>
        <v>Revisor : Jonathas Gomes Marques</v>
      </c>
      <c r="G5" s="134"/>
      <c r="H5" s="134"/>
      <c r="I5" s="134"/>
      <c r="J5" s="134"/>
      <c r="K5" s="134"/>
      <c r="L5" s="134"/>
    </row>
    <row r="6" spans="1:12" x14ac:dyDescent="0.25">
      <c r="A6" s="152" t="str">
        <f>Contagem!A4&amp;" : "&amp;Contagem!F4</f>
        <v>Empresa : Secretaria de Estado de Planejamento e Gestão de Mato Grosso</v>
      </c>
      <c r="B6" s="152"/>
      <c r="C6" s="152"/>
      <c r="D6" s="152"/>
      <c r="E6" s="152"/>
      <c r="F6" s="134" t="str">
        <f>"Tipo de Contagem : "&amp;Contagem!F6</f>
        <v>Tipo de Contagem : Projeto de Desenvolvimento</v>
      </c>
      <c r="G6" s="134"/>
      <c r="H6" s="134"/>
      <c r="I6" s="134"/>
      <c r="J6" s="134"/>
      <c r="K6" s="134"/>
      <c r="L6" s="134"/>
    </row>
    <row r="7" spans="1:12" ht="12.75" customHeight="1" x14ac:dyDescent="0.25">
      <c r="A7" s="154" t="s">
        <v>150</v>
      </c>
      <c r="B7" s="154"/>
      <c r="C7" s="155" t="s">
        <v>151</v>
      </c>
      <c r="D7" s="155"/>
      <c r="E7" s="155"/>
      <c r="F7" s="155"/>
      <c r="G7" s="150" t="s">
        <v>152</v>
      </c>
      <c r="H7" s="150" t="s">
        <v>153</v>
      </c>
      <c r="I7" s="54"/>
      <c r="J7" s="150" t="s">
        <v>154</v>
      </c>
      <c r="K7" s="150"/>
      <c r="L7" s="151" t="s">
        <v>153</v>
      </c>
    </row>
    <row r="8" spans="1:12" x14ac:dyDescent="0.25">
      <c r="A8" s="154"/>
      <c r="B8" s="154"/>
      <c r="C8" s="155"/>
      <c r="D8" s="155"/>
      <c r="E8" s="155"/>
      <c r="F8" s="155"/>
      <c r="G8" s="150"/>
      <c r="H8" s="150"/>
      <c r="I8" s="55"/>
      <c r="J8" s="150"/>
      <c r="K8" s="150"/>
      <c r="L8" s="151"/>
    </row>
    <row r="9" spans="1:12" ht="6" customHeight="1" x14ac:dyDescent="0.3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6"/>
    </row>
    <row r="10" spans="1:12" ht="13.8" x14ac:dyDescent="0.3">
      <c r="A10" s="37"/>
      <c r="B10" s="38" t="s">
        <v>43</v>
      </c>
      <c r="C10" s="39">
        <f>COUNTIF(Funções!G8:G49,"EEL")</f>
        <v>1</v>
      </c>
      <c r="D10" s="38"/>
      <c r="E10" s="40" t="s">
        <v>155</v>
      </c>
      <c r="F10" s="40" t="s">
        <v>156</v>
      </c>
      <c r="G10" s="39">
        <f>C10*3</f>
        <v>3</v>
      </c>
      <c r="H10" s="38"/>
      <c r="I10" s="22"/>
      <c r="J10" s="41" t="str">
        <f>Deflatores!$G$4&amp;"="</f>
        <v>I=</v>
      </c>
      <c r="K10" s="42">
        <f>SUMIF(Funções!$J$8:$J$49,"EE"&amp;Deflatores!G4,Funções!$L$8:$L$49)</f>
        <v>43</v>
      </c>
      <c r="L10" s="43"/>
    </row>
    <row r="11" spans="1:12" ht="13.8" x14ac:dyDescent="0.3">
      <c r="A11" s="44"/>
      <c r="B11" s="38"/>
      <c r="C11" s="39">
        <f>COUNTIF(Funções!G8:G49,"EEA")</f>
        <v>1</v>
      </c>
      <c r="D11" s="38"/>
      <c r="E11" s="40" t="s">
        <v>157</v>
      </c>
      <c r="F11" s="40" t="s">
        <v>158</v>
      </c>
      <c r="G11" s="39">
        <f>C11*4</f>
        <v>4</v>
      </c>
      <c r="H11" s="38"/>
      <c r="I11" s="22"/>
      <c r="J11" s="41" t="str">
        <f>Deflatores!$G$5&amp;"="</f>
        <v>A=</v>
      </c>
      <c r="K11" s="42">
        <f>SUMIF(Funções!$J$8:$J$49,"EE"&amp;Deflatores!G5,Funções!$L$8:$L$49)</f>
        <v>0</v>
      </c>
      <c r="L11" s="43"/>
    </row>
    <row r="12" spans="1:12" ht="13.8" x14ac:dyDescent="0.3">
      <c r="A12" s="44"/>
      <c r="B12" s="38"/>
      <c r="C12" s="39">
        <f>COUNTIF(Funções!G8:G49,"EEH")</f>
        <v>6</v>
      </c>
      <c r="D12" s="38"/>
      <c r="E12" s="40" t="s">
        <v>159</v>
      </c>
      <c r="F12" s="40" t="s">
        <v>160</v>
      </c>
      <c r="G12" s="39">
        <f>C12*6</f>
        <v>36</v>
      </c>
      <c r="H12" s="38"/>
      <c r="I12" s="22"/>
      <c r="J12" s="41" t="str">
        <f>Deflatores!$G$6&amp;"="</f>
        <v>E=</v>
      </c>
      <c r="K12" s="42">
        <f>SUMIF(Funções!$J$8:$J$49,"EE"&amp;Deflatores!G6,Funções!$L$8:$L$49)</f>
        <v>0</v>
      </c>
      <c r="L12" s="45"/>
    </row>
    <row r="13" spans="1:12" ht="13.8" x14ac:dyDescent="0.3">
      <c r="A13" s="44"/>
      <c r="B13" s="38"/>
      <c r="C13" s="38"/>
      <c r="D13" s="38"/>
      <c r="E13" s="38"/>
      <c r="F13" s="38"/>
      <c r="G13" s="38"/>
      <c r="H13" s="38"/>
      <c r="I13" s="38"/>
      <c r="J13" s="38"/>
      <c r="K13" s="46"/>
      <c r="L13" s="43"/>
    </row>
    <row r="14" spans="1:12" ht="13.8" x14ac:dyDescent="0.3">
      <c r="A14" s="44"/>
      <c r="B14" s="47" t="s">
        <v>161</v>
      </c>
      <c r="C14" s="39">
        <f>SUM(C10:C12)</f>
        <v>8</v>
      </c>
      <c r="D14" s="38"/>
      <c r="E14" s="38"/>
      <c r="F14" s="47" t="s">
        <v>162</v>
      </c>
      <c r="G14" s="39">
        <f>SUM(G10:G12)</f>
        <v>43</v>
      </c>
      <c r="H14" s="22">
        <f>IF($G$45&lt;&gt;0,G14/$G$45,"")</f>
        <v>0.21287128712871287</v>
      </c>
      <c r="J14" s="41"/>
      <c r="K14" s="42">
        <f>SUM(K10:K13)</f>
        <v>43</v>
      </c>
      <c r="L14" s="23">
        <f>IF('Sumário 2'!L11&lt;&gt;0,K14/'Sumário 2'!L11,"")</f>
        <v>5.8904109589041097E-2</v>
      </c>
    </row>
    <row r="15" spans="1:12" ht="6" customHeight="1" x14ac:dyDescent="0.3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9"/>
    </row>
    <row r="16" spans="1:12" ht="6" customHeight="1" x14ac:dyDescent="0.3">
      <c r="A16" s="44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3"/>
    </row>
    <row r="17" spans="1:12" ht="13.8" x14ac:dyDescent="0.3">
      <c r="A17" s="44"/>
      <c r="B17" s="38" t="s">
        <v>40</v>
      </c>
      <c r="C17" s="41">
        <f>COUNTIF(Funções!G8:G49,"SEL")</f>
        <v>0</v>
      </c>
      <c r="D17" s="38"/>
      <c r="E17" s="40" t="s">
        <v>155</v>
      </c>
      <c r="F17" s="40" t="s">
        <v>158</v>
      </c>
      <c r="G17" s="41">
        <f>C17*4</f>
        <v>0</v>
      </c>
      <c r="H17" s="38"/>
      <c r="I17" s="38"/>
      <c r="J17" s="41" t="str">
        <f>Deflatores!$G$4&amp;"="</f>
        <v>I=</v>
      </c>
      <c r="K17" s="50">
        <f>SUMIF(Funções!$J$8:$J$49,"SE"&amp;Deflatores!$G$4,Funções!$L$8:$L$49)</f>
        <v>7</v>
      </c>
      <c r="L17" s="43"/>
    </row>
    <row r="18" spans="1:12" ht="13.8" x14ac:dyDescent="0.3">
      <c r="A18" s="44"/>
      <c r="B18" s="38"/>
      <c r="C18" s="41">
        <f>COUNTIF(Funções!G8:G49,"SEA")</f>
        <v>0</v>
      </c>
      <c r="D18" s="38"/>
      <c r="E18" s="40" t="s">
        <v>157</v>
      </c>
      <c r="F18" s="40" t="s">
        <v>163</v>
      </c>
      <c r="G18" s="41">
        <f>C18*5</f>
        <v>0</v>
      </c>
      <c r="H18" s="38"/>
      <c r="I18" s="38"/>
      <c r="J18" s="41" t="str">
        <f>Deflatores!$G$5&amp;"="</f>
        <v>A=</v>
      </c>
      <c r="K18" s="50">
        <f>SUMIF(Funções!$J$8:$J$49,"SE"&amp;Deflatores!$G$5,Funções!$L$8:$L$49)</f>
        <v>0</v>
      </c>
      <c r="L18" s="43"/>
    </row>
    <row r="19" spans="1:12" ht="13.8" x14ac:dyDescent="0.3">
      <c r="A19" s="44"/>
      <c r="B19" s="38"/>
      <c r="C19" s="41">
        <f>COUNTIF(Funções!G8:G49,"SEH")</f>
        <v>1</v>
      </c>
      <c r="D19" s="38"/>
      <c r="E19" s="40" t="s">
        <v>159</v>
      </c>
      <c r="F19" s="40" t="s">
        <v>164</v>
      </c>
      <c r="G19" s="41">
        <f>C19*7</f>
        <v>7</v>
      </c>
      <c r="H19" s="38"/>
      <c r="I19" s="38"/>
      <c r="J19" s="41" t="str">
        <f>Deflatores!$G$6&amp;"="</f>
        <v>E=</v>
      </c>
      <c r="K19" s="50">
        <f>SUMIF(Funções!$J$8:$J$49,"SE"&amp;Deflatores!$G$6,Funções!$L$8:$L$49)</f>
        <v>0</v>
      </c>
      <c r="L19" s="45"/>
    </row>
    <row r="20" spans="1:12" ht="13.8" x14ac:dyDescent="0.3">
      <c r="A20" s="44"/>
      <c r="B20" s="38"/>
      <c r="C20" s="38"/>
      <c r="D20" s="38"/>
      <c r="E20" s="38"/>
      <c r="F20" s="38"/>
      <c r="G20" s="38"/>
      <c r="H20" s="38"/>
      <c r="I20" s="38"/>
      <c r="J20" s="38"/>
      <c r="K20" s="46"/>
      <c r="L20" s="43"/>
    </row>
    <row r="21" spans="1:12" ht="13.8" x14ac:dyDescent="0.3">
      <c r="A21" s="44"/>
      <c r="B21" s="47" t="s">
        <v>161</v>
      </c>
      <c r="C21" s="39">
        <f>SUM(C17:C19)</f>
        <v>1</v>
      </c>
      <c r="D21" s="38"/>
      <c r="E21" s="38"/>
      <c r="F21" s="47" t="s">
        <v>162</v>
      </c>
      <c r="G21" s="39">
        <f>SUM(G17:G19)</f>
        <v>7</v>
      </c>
      <c r="H21" s="22">
        <f>IF($G$45&lt;&gt;0,G21/$G$45,"")</f>
        <v>3.4653465346534656E-2</v>
      </c>
      <c r="J21" s="41"/>
      <c r="K21" s="42">
        <f>SUM(K17:K20)</f>
        <v>7</v>
      </c>
      <c r="L21" s="23">
        <f>IF('Sumário 2'!L11&lt;&gt;0,K21/'Sumário 2'!L11,"")</f>
        <v>9.5890410958904115E-3</v>
      </c>
    </row>
    <row r="22" spans="1:12" ht="6" customHeight="1" x14ac:dyDescent="0.3">
      <c r="A22" s="48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9"/>
    </row>
    <row r="23" spans="1:12" ht="6" customHeight="1" x14ac:dyDescent="0.3">
      <c r="A23" s="34"/>
      <c r="B23" s="35"/>
      <c r="C23" s="38"/>
      <c r="D23" s="35"/>
      <c r="E23" s="35"/>
      <c r="F23" s="35"/>
      <c r="G23" s="38"/>
      <c r="H23" s="35"/>
      <c r="I23" s="35"/>
      <c r="J23" s="35"/>
      <c r="K23" s="35"/>
      <c r="L23" s="36"/>
    </row>
    <row r="24" spans="1:12" ht="13.8" x14ac:dyDescent="0.3">
      <c r="A24" s="44"/>
      <c r="B24" s="38" t="s">
        <v>41</v>
      </c>
      <c r="C24" s="39">
        <f>COUNTIF(Funções!G8:G49,"CEL")</f>
        <v>3</v>
      </c>
      <c r="D24" s="38"/>
      <c r="E24" s="40" t="s">
        <v>155</v>
      </c>
      <c r="F24" s="40" t="s">
        <v>156</v>
      </c>
      <c r="G24" s="39">
        <f>C24*3</f>
        <v>9</v>
      </c>
      <c r="H24" s="38"/>
      <c r="I24" s="38"/>
      <c r="J24" s="41" t="str">
        <f>Deflatores!$G$4&amp;"="</f>
        <v>I=</v>
      </c>
      <c r="K24" s="42">
        <f>SUMIF(Funções!$J$8:$J$49,"CE"&amp;Deflatores!$G$4,Funções!$L$8:$L$49)</f>
        <v>67</v>
      </c>
      <c r="L24" s="43"/>
    </row>
    <row r="25" spans="1:12" ht="13.8" x14ac:dyDescent="0.3">
      <c r="A25" s="44"/>
      <c r="B25" s="38"/>
      <c r="C25" s="39">
        <f>COUNTIF(Funções!G8:G49,"CEA")</f>
        <v>1</v>
      </c>
      <c r="D25" s="38"/>
      <c r="E25" s="40" t="s">
        <v>157</v>
      </c>
      <c r="F25" s="40" t="s">
        <v>158</v>
      </c>
      <c r="G25" s="39">
        <f>C25*4</f>
        <v>4</v>
      </c>
      <c r="H25" s="38"/>
      <c r="I25" s="38"/>
      <c r="J25" s="41" t="str">
        <f>Deflatores!$G$5&amp;"="</f>
        <v>A=</v>
      </c>
      <c r="K25" s="42">
        <f>SUMIF(Funções!$J$8:$J$49,"CE"&amp;Deflatores!$G$5,Funções!$L$8:$L$49)</f>
        <v>0</v>
      </c>
      <c r="L25" s="43"/>
    </row>
    <row r="26" spans="1:12" ht="13.8" x14ac:dyDescent="0.3">
      <c r="A26" s="44"/>
      <c r="B26" s="38"/>
      <c r="C26" s="39">
        <f>COUNTIF(Funções!G8:G49,"CEH")</f>
        <v>9</v>
      </c>
      <c r="D26" s="38"/>
      <c r="E26" s="40" t="s">
        <v>159</v>
      </c>
      <c r="F26" s="40" t="s">
        <v>160</v>
      </c>
      <c r="G26" s="39">
        <f>C26*6</f>
        <v>54</v>
      </c>
      <c r="H26" s="38"/>
      <c r="I26" s="38"/>
      <c r="J26" s="41" t="str">
        <f>Deflatores!$G$6&amp;"="</f>
        <v>E=</v>
      </c>
      <c r="K26" s="42">
        <f>SUMIF(Funções!$J$8:$J$49,"CE"&amp;Deflatores!$G$6,Funções!$L$8:$L$49)</f>
        <v>0</v>
      </c>
      <c r="L26" s="45"/>
    </row>
    <row r="27" spans="1:12" ht="13.8" x14ac:dyDescent="0.3">
      <c r="A27" s="44"/>
      <c r="B27" s="38"/>
      <c r="C27" s="38"/>
      <c r="D27" s="38"/>
      <c r="E27" s="38"/>
      <c r="F27" s="38"/>
      <c r="G27" s="38"/>
      <c r="H27" s="38"/>
      <c r="I27" s="38"/>
      <c r="J27" s="38"/>
      <c r="K27" s="46"/>
      <c r="L27" s="43"/>
    </row>
    <row r="28" spans="1:12" ht="13.8" x14ac:dyDescent="0.3">
      <c r="A28" s="44"/>
      <c r="B28" s="47" t="s">
        <v>161</v>
      </c>
      <c r="C28" s="39">
        <f>SUM(C24:C26)</f>
        <v>13</v>
      </c>
      <c r="D28" s="38"/>
      <c r="E28" s="38"/>
      <c r="F28" s="47" t="s">
        <v>162</v>
      </c>
      <c r="G28" s="39">
        <f>SUM(G24:G26)</f>
        <v>67</v>
      </c>
      <c r="H28" s="22">
        <f>IF($G$45&lt;&gt;0,G28/$G$45,"")</f>
        <v>0.3316831683168317</v>
      </c>
      <c r="J28" s="41"/>
      <c r="K28" s="42">
        <f>SUM(K24:K27)</f>
        <v>67</v>
      </c>
      <c r="L28" s="23">
        <f>IF('Sumário 2'!L11&lt;&gt;0,K28/'Sumário 2'!L11,"")</f>
        <v>9.1780821917808217E-2</v>
      </c>
    </row>
    <row r="29" spans="1:12" ht="6" customHeight="1" x14ac:dyDescent="0.3">
      <c r="A29" s="48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9"/>
    </row>
    <row r="30" spans="1:12" ht="6" customHeight="1" x14ac:dyDescent="0.3">
      <c r="A30" s="34"/>
      <c r="B30" s="35"/>
      <c r="C30" s="38"/>
      <c r="D30" s="35"/>
      <c r="E30" s="35"/>
      <c r="F30" s="35"/>
      <c r="G30" s="38"/>
      <c r="H30" s="35"/>
      <c r="I30" s="35"/>
      <c r="J30" s="35"/>
      <c r="K30" s="35"/>
      <c r="L30" s="36"/>
    </row>
    <row r="31" spans="1:12" ht="13.8" x14ac:dyDescent="0.3">
      <c r="A31" s="44"/>
      <c r="B31" s="38" t="s">
        <v>42</v>
      </c>
      <c r="C31" s="39">
        <f>COUNTIF(Funções!G8:G49,"ALIL")</f>
        <v>0</v>
      </c>
      <c r="D31" s="38"/>
      <c r="E31" s="38" t="s">
        <v>155</v>
      </c>
      <c r="F31" s="38" t="s">
        <v>164</v>
      </c>
      <c r="G31" s="39">
        <f>C31*7</f>
        <v>0</v>
      </c>
      <c r="H31" s="38"/>
      <c r="I31" s="38"/>
      <c r="J31" s="41" t="str">
        <f>Deflatores!$G$4&amp;"="</f>
        <v>I=</v>
      </c>
      <c r="K31" s="42">
        <f>SUMIF(Funções!$J$8:$J$49,"ALI"&amp;Deflatores!$G$4,Funções!$L$8:$L$49)</f>
        <v>30</v>
      </c>
      <c r="L31" s="43"/>
    </row>
    <row r="32" spans="1:12" ht="13.8" x14ac:dyDescent="0.3">
      <c r="A32" s="44"/>
      <c r="B32" s="38"/>
      <c r="C32" s="39">
        <f>COUNTIF(Funções!G8:G49,"ALIA")</f>
        <v>0</v>
      </c>
      <c r="D32" s="38"/>
      <c r="E32" s="38" t="s">
        <v>157</v>
      </c>
      <c r="F32" s="38" t="s">
        <v>165</v>
      </c>
      <c r="G32" s="39">
        <f>C32*10</f>
        <v>0</v>
      </c>
      <c r="H32" s="38"/>
      <c r="I32" s="38"/>
      <c r="J32" s="41" t="str">
        <f>Deflatores!$G$5&amp;"="</f>
        <v>A=</v>
      </c>
      <c r="K32" s="42">
        <f>SUMIF(Funções!$J$8:$J$49,"ALI"&amp;Deflatores!$G$5,Funções!$L$8:$L$49)</f>
        <v>0</v>
      </c>
      <c r="L32" s="43"/>
    </row>
    <row r="33" spans="1:12" ht="13.8" x14ac:dyDescent="0.3">
      <c r="A33" s="44"/>
      <c r="B33" s="38"/>
      <c r="C33" s="39">
        <f>COUNTIF(Funções!G8:G49,"ALIH")</f>
        <v>2</v>
      </c>
      <c r="D33" s="38"/>
      <c r="E33" s="38" t="s">
        <v>159</v>
      </c>
      <c r="F33" s="38" t="s">
        <v>166</v>
      </c>
      <c r="G33" s="39">
        <f>C33*15</f>
        <v>30</v>
      </c>
      <c r="H33" s="38"/>
      <c r="I33" s="38"/>
      <c r="J33" s="41" t="str">
        <f>Deflatores!$G$6&amp;"="</f>
        <v>E=</v>
      </c>
      <c r="K33" s="42">
        <f>SUMIF(Funções!$J$8:$J$49,"ALI"&amp;Deflatores!$G$6,Funções!$L$8:$L$49)</f>
        <v>0</v>
      </c>
      <c r="L33" s="45"/>
    </row>
    <row r="34" spans="1:12" ht="13.8" x14ac:dyDescent="0.3">
      <c r="A34" s="44"/>
      <c r="B34" s="38"/>
      <c r="C34" s="38"/>
      <c r="D34" s="38"/>
      <c r="E34" s="38"/>
      <c r="F34" s="38"/>
      <c r="G34" s="38"/>
      <c r="H34" s="38"/>
      <c r="I34" s="38"/>
      <c r="J34" s="38"/>
      <c r="K34" s="46"/>
      <c r="L34" s="43"/>
    </row>
    <row r="35" spans="1:12" ht="13.8" x14ac:dyDescent="0.3">
      <c r="A35" s="44"/>
      <c r="B35" s="47" t="s">
        <v>161</v>
      </c>
      <c r="C35" s="39">
        <f>SUM(C31:C33)</f>
        <v>2</v>
      </c>
      <c r="D35" s="38"/>
      <c r="E35" s="38"/>
      <c r="F35" s="47" t="s">
        <v>162</v>
      </c>
      <c r="G35" s="39">
        <f>SUM(G31:G33)</f>
        <v>30</v>
      </c>
      <c r="H35" s="22">
        <f>IF($G$45&lt;&gt;0,G35/$G$45,"")</f>
        <v>0.14851485148514851</v>
      </c>
      <c r="J35" s="41"/>
      <c r="K35" s="42">
        <f>SUM(K31:K34)</f>
        <v>30</v>
      </c>
      <c r="L35" s="23">
        <f>IF('Sumário 2'!L11&lt;&gt;0,K35/'Sumário 2'!L11,"")</f>
        <v>4.1095890410958902E-2</v>
      </c>
    </row>
    <row r="36" spans="1:12" ht="6" customHeight="1" x14ac:dyDescent="0.3">
      <c r="A36" s="48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9"/>
    </row>
    <row r="37" spans="1:12" ht="6" customHeight="1" x14ac:dyDescent="0.3">
      <c r="A37" s="34"/>
      <c r="B37" s="35"/>
      <c r="C37" s="38"/>
      <c r="D37" s="35"/>
      <c r="E37" s="35"/>
      <c r="F37" s="35"/>
      <c r="G37" s="38"/>
      <c r="H37" s="35"/>
      <c r="I37" s="35"/>
      <c r="J37" s="35"/>
      <c r="K37" s="35"/>
      <c r="L37" s="36"/>
    </row>
    <row r="38" spans="1:12" ht="13.8" x14ac:dyDescent="0.3">
      <c r="A38" s="44"/>
      <c r="B38" s="38" t="s">
        <v>38</v>
      </c>
      <c r="C38" s="39">
        <f>COUNTIF(Funções!G8:G49,"AIEL")</f>
        <v>11</v>
      </c>
      <c r="D38" s="38"/>
      <c r="E38" s="38" t="s">
        <v>155</v>
      </c>
      <c r="F38" s="38" t="s">
        <v>163</v>
      </c>
      <c r="G38" s="39">
        <f>C38*5</f>
        <v>55</v>
      </c>
      <c r="H38" s="38"/>
      <c r="I38" s="38"/>
      <c r="J38" s="41" t="str">
        <f>Deflatores!$G$4&amp;"="</f>
        <v>I=</v>
      </c>
      <c r="K38" s="42">
        <f>SUMIF(Funções!$J$8:$J$49,"AIE"&amp;Deflatores!$G$4,Funções!$L$8:$L$49)</f>
        <v>55</v>
      </c>
      <c r="L38" s="43"/>
    </row>
    <row r="39" spans="1:12" ht="13.8" x14ac:dyDescent="0.3">
      <c r="A39" s="44"/>
      <c r="B39" s="38"/>
      <c r="C39" s="39">
        <f>COUNTIF(Funções!G8:G49,"AIEA")</f>
        <v>0</v>
      </c>
      <c r="D39" s="38"/>
      <c r="E39" s="38" t="s">
        <v>157</v>
      </c>
      <c r="F39" s="38" t="s">
        <v>164</v>
      </c>
      <c r="G39" s="39">
        <f>C39*7</f>
        <v>0</v>
      </c>
      <c r="H39" s="38"/>
      <c r="I39" s="38"/>
      <c r="J39" s="41" t="str">
        <f>Deflatores!$G$5&amp;"="</f>
        <v>A=</v>
      </c>
      <c r="K39" s="42">
        <f>SUMIF(Funções!$J$8:$J$49,"AIE"&amp;Deflatores!$G$5,Funções!$L$8:$L$49)</f>
        <v>0</v>
      </c>
      <c r="L39" s="43"/>
    </row>
    <row r="40" spans="1:12" ht="13.8" x14ac:dyDescent="0.3">
      <c r="A40" s="44"/>
      <c r="B40" s="38"/>
      <c r="C40" s="39">
        <f>COUNTIF(Funções!G8:G49,"AIEH")</f>
        <v>0</v>
      </c>
      <c r="D40" s="38"/>
      <c r="E40" s="38" t="s">
        <v>159</v>
      </c>
      <c r="F40" s="38" t="s">
        <v>165</v>
      </c>
      <c r="G40" s="39">
        <f>C40*10</f>
        <v>0</v>
      </c>
      <c r="H40" s="38"/>
      <c r="I40" s="38"/>
      <c r="J40" s="41" t="str">
        <f>Deflatores!$G$6&amp;"="</f>
        <v>E=</v>
      </c>
      <c r="K40" s="42">
        <f>SUMIF(Funções!$J$8:$J$49,"AIE"&amp;Deflatores!$G$6,Funções!$L$8:$L$49)</f>
        <v>0</v>
      </c>
      <c r="L40" s="45"/>
    </row>
    <row r="41" spans="1:12" ht="13.8" x14ac:dyDescent="0.3">
      <c r="A41" s="44"/>
      <c r="B41" s="38"/>
      <c r="C41" s="38"/>
      <c r="D41" s="38"/>
      <c r="E41" s="38"/>
      <c r="F41" s="38"/>
      <c r="G41" s="38"/>
      <c r="H41" s="38"/>
      <c r="I41" s="38"/>
      <c r="J41" s="38"/>
      <c r="K41" s="46"/>
      <c r="L41" s="43"/>
    </row>
    <row r="42" spans="1:12" ht="13.8" x14ac:dyDescent="0.3">
      <c r="A42" s="44"/>
      <c r="B42" s="47" t="s">
        <v>161</v>
      </c>
      <c r="C42" s="39">
        <f>SUM(C38:C40)</f>
        <v>11</v>
      </c>
      <c r="D42" s="38"/>
      <c r="E42" s="38"/>
      <c r="F42" s="47" t="s">
        <v>162</v>
      </c>
      <c r="G42" s="39">
        <f>SUM(G38:G40)</f>
        <v>55</v>
      </c>
      <c r="H42" s="22">
        <f>IF($G$45&lt;&gt;0,G42/$G$45,"")</f>
        <v>0.2722772277227723</v>
      </c>
      <c r="J42" s="41"/>
      <c r="K42" s="42">
        <f>SUM(K38:K41)</f>
        <v>55</v>
      </c>
      <c r="L42" s="23">
        <f>IF('Sumário 2'!L11&lt;&gt;0,K42/'Sumário 2'!L11,"")</f>
        <v>7.5342465753424653E-2</v>
      </c>
    </row>
    <row r="43" spans="1:12" ht="6" customHeight="1" x14ac:dyDescent="0.3">
      <c r="A43" s="48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9"/>
    </row>
    <row r="44" spans="1:12" ht="6" customHeight="1" x14ac:dyDescent="0.3">
      <c r="A44" s="44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3"/>
    </row>
    <row r="45" spans="1:12" ht="13.8" x14ac:dyDescent="0.3">
      <c r="A45" s="44"/>
      <c r="B45" s="153" t="s">
        <v>167</v>
      </c>
      <c r="C45" s="153"/>
      <c r="D45" s="153"/>
      <c r="E45" s="153"/>
      <c r="F45" s="153"/>
      <c r="G45" s="39">
        <f>SUM(G14+G21+G28+G35+G42)</f>
        <v>202</v>
      </c>
      <c r="H45" s="38"/>
      <c r="I45" s="38"/>
      <c r="J45" s="38"/>
      <c r="K45" s="38"/>
      <c r="L45" s="43"/>
    </row>
    <row r="46" spans="1:12" ht="13.8" x14ac:dyDescent="0.3">
      <c r="A46" s="44"/>
      <c r="B46" s="153" t="s">
        <v>168</v>
      </c>
      <c r="C46" s="153"/>
      <c r="D46" s="153"/>
      <c r="E46" s="153"/>
      <c r="F46" s="153"/>
      <c r="G46" s="39">
        <f>(C10+C11+C12)*4+(C17+C18+C19)*5+(C24+C25+C26)*4+(C31+C32+C33)*7+(C38+C39+C40)*5</f>
        <v>158</v>
      </c>
      <c r="H46" s="38"/>
      <c r="I46" s="38"/>
      <c r="J46" s="38"/>
      <c r="K46" s="38"/>
      <c r="L46" s="43"/>
    </row>
    <row r="47" spans="1:12" ht="13.8" x14ac:dyDescent="0.3">
      <c r="A47" s="44"/>
      <c r="B47" s="153" t="s">
        <v>169</v>
      </c>
      <c r="C47" s="153"/>
      <c r="D47" s="153"/>
      <c r="E47" s="153"/>
      <c r="F47" s="153"/>
      <c r="G47" s="39">
        <f>(C31+C32+C33)*35+(C38+C39+C40)*15</f>
        <v>235</v>
      </c>
      <c r="H47" s="38"/>
      <c r="I47" s="38"/>
      <c r="J47" s="38"/>
      <c r="K47" s="38"/>
      <c r="L47" s="43"/>
    </row>
    <row r="48" spans="1:12" ht="13.8" x14ac:dyDescent="0.3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3"/>
    </row>
    <row r="49" spans="1:12" ht="13.8" x14ac:dyDescent="0.3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3"/>
    </row>
    <row r="50" spans="1:12" ht="13.8" x14ac:dyDescent="0.3">
      <c r="A50" s="4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3"/>
    </row>
    <row r="51" spans="1:12" ht="13.8" x14ac:dyDescent="0.3">
      <c r="A51" s="4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3"/>
    </row>
    <row r="52" spans="1:12" ht="13.8" x14ac:dyDescent="0.3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3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9" activePane="bottomLeft" state="frozen"/>
      <selection activeCell="B11" sqref="B11"/>
      <selection pane="bottomLeft" activeCell="L14" sqref="L14"/>
    </sheetView>
  </sheetViews>
  <sheetFormatPr defaultColWidth="11.5546875" defaultRowHeight="13.2" x14ac:dyDescent="0.25"/>
  <cols>
    <col min="1" max="1" width="3.21875" customWidth="1"/>
    <col min="2" max="2" width="32.5546875" customWidth="1"/>
    <col min="3" max="3" width="36.44140625" customWidth="1"/>
    <col min="4" max="4" width="7" customWidth="1"/>
    <col min="5" max="5" width="9.77734375" customWidth="1"/>
    <col min="6" max="6" width="9.21875" customWidth="1"/>
    <col min="7" max="8" width="12.21875" customWidth="1"/>
    <col min="9" max="9" width="12.5546875" customWidth="1"/>
    <col min="10" max="10" width="7.5546875" customWidth="1"/>
    <col min="11" max="11" width="2.21875" customWidth="1"/>
    <col min="12" max="12" width="13.5546875" customWidth="1"/>
    <col min="13" max="13" width="1.77734375" customWidth="1"/>
  </cols>
  <sheetData>
    <row r="1" spans="1:13" x14ac:dyDescent="0.25">
      <c r="A1" s="120" t="s">
        <v>170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3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x14ac:dyDescent="0.25">
      <c r="A4" s="152" t="str">
        <f>Contagem!A5&amp;" : "&amp;Contagem!F5</f>
        <v xml:space="preserve">Aplicação : </v>
      </c>
      <c r="B4" s="152"/>
      <c r="C4" s="152"/>
      <c r="D4" s="152"/>
      <c r="E4" s="152"/>
      <c r="F4" s="134" t="str">
        <f>Contagem!A8&amp;" : "&amp;Contagem!F8</f>
        <v>Projeto : SST - PSICOSOCIAL</v>
      </c>
      <c r="G4" s="134"/>
      <c r="H4" s="134"/>
      <c r="I4" s="134"/>
      <c r="J4" s="134"/>
      <c r="K4" s="134"/>
      <c r="L4" s="134"/>
      <c r="M4" s="134"/>
    </row>
    <row r="5" spans="1:13" x14ac:dyDescent="0.25">
      <c r="A5" s="156" t="str">
        <f>Contagem!A9&amp;" : "&amp;Contagem!F9</f>
        <v>Responsável : Luana Alves de Araujo Passos Aguiar</v>
      </c>
      <c r="B5" s="156"/>
      <c r="C5" s="156"/>
      <c r="D5" s="156"/>
      <c r="E5" s="156"/>
      <c r="F5" s="134" t="str">
        <f>Contagem!A10&amp;" : "&amp;Contagem!F10</f>
        <v>Revisor : Jonathas Gomes Marques</v>
      </c>
      <c r="G5" s="134"/>
      <c r="H5" s="134"/>
      <c r="I5" s="134"/>
      <c r="J5" s="134"/>
      <c r="K5" s="134"/>
      <c r="L5" s="134"/>
      <c r="M5" s="134"/>
    </row>
    <row r="6" spans="1:13" x14ac:dyDescent="0.25">
      <c r="A6" s="156" t="str">
        <f>Contagem!A4&amp;" : "&amp;Contagem!F4</f>
        <v>Empresa : Secretaria de Estado de Planejamento e Gestão de Mato Grosso</v>
      </c>
      <c r="B6" s="156"/>
      <c r="C6" s="156"/>
      <c r="D6" s="156"/>
      <c r="E6" s="156"/>
      <c r="F6" s="134" t="str">
        <f>"Tipo de Contagem : "&amp;Contagem!F6</f>
        <v>Tipo de Contagem : Projeto de Desenvolvimento</v>
      </c>
      <c r="G6" s="134"/>
      <c r="H6" s="134"/>
      <c r="I6" s="134"/>
      <c r="J6" s="134"/>
      <c r="K6" s="134"/>
      <c r="L6" s="134"/>
      <c r="M6" s="134"/>
    </row>
    <row r="7" spans="1:13" x14ac:dyDescent="0.25">
      <c r="A7" s="62"/>
      <c r="M7" s="63"/>
    </row>
    <row r="8" spans="1:13" ht="13.8" x14ac:dyDescent="0.3">
      <c r="A8" s="62"/>
      <c r="B8" s="157"/>
      <c r="C8" s="157"/>
      <c r="D8" s="157"/>
      <c r="E8" s="157"/>
      <c r="F8" s="157"/>
      <c r="G8" s="157"/>
      <c r="H8" s="157"/>
      <c r="I8" s="157"/>
      <c r="M8" s="63"/>
    </row>
    <row r="9" spans="1:13" ht="13.8" x14ac:dyDescent="0.3">
      <c r="A9" s="62"/>
      <c r="B9" s="158" t="s">
        <v>171</v>
      </c>
      <c r="C9" s="158"/>
      <c r="D9" s="158"/>
      <c r="E9" s="24" t="s">
        <v>141</v>
      </c>
      <c r="F9" s="24" t="s">
        <v>3</v>
      </c>
      <c r="G9" s="24" t="s">
        <v>172</v>
      </c>
      <c r="H9" s="24" t="s">
        <v>173</v>
      </c>
      <c r="I9" s="24" t="s">
        <v>8</v>
      </c>
      <c r="J9" s="24" t="s">
        <v>174</v>
      </c>
      <c r="M9" s="63"/>
    </row>
    <row r="10" spans="1:13" ht="13.5" customHeight="1" x14ac:dyDescent="0.3">
      <c r="A10" s="62"/>
      <c r="B10" s="118" t="str">
        <f>""&amp;Deflatores!B4</f>
        <v>Inclusão</v>
      </c>
      <c r="C10" s="118"/>
      <c r="D10" s="13" t="str">
        <f>""&amp;Deflatores!G4</f>
        <v>I</v>
      </c>
      <c r="E10" s="84">
        <f>IF(D10="","",COUNTIF(Funções!C$8:C$49,D10))</f>
        <v>35</v>
      </c>
      <c r="F10" s="85">
        <f>SUMIF(Funções!$C$8:$C$49,Deflatores!G4,Funções!$H$8:$H$49)</f>
        <v>202</v>
      </c>
      <c r="G10" s="86">
        <f>IF(ISBLANK(Deflatores!H4),"",Deflatores!H4)</f>
        <v>1</v>
      </c>
      <c r="H10" s="85" t="str">
        <f>IF(ISBLANK(Deflatores!I4),"",Deflatores!I4)</f>
        <v/>
      </c>
      <c r="I10" s="87">
        <f>IF(F10=0,Deflatores!K4,F10*G10)</f>
        <v>202</v>
      </c>
      <c r="J10" s="88">
        <f t="shared" ref="J10:J44" si="0">IF($L$11&lt;&gt;0,I10/$L$11,"")</f>
        <v>0.27671232876712326</v>
      </c>
      <c r="L10" s="29" t="s">
        <v>8</v>
      </c>
      <c r="M10" s="43"/>
    </row>
    <row r="11" spans="1:13" ht="13.5" customHeight="1" x14ac:dyDescent="0.3">
      <c r="A11" s="62"/>
      <c r="B11" s="118" t="str">
        <f>""&amp;Deflatores!B5</f>
        <v>Alteração (sem conhecimento do Fator de Impacto)</v>
      </c>
      <c r="C11" s="118"/>
      <c r="D11" s="13" t="str">
        <f>""&amp;Deflatores!G5</f>
        <v>A</v>
      </c>
      <c r="E11" s="84">
        <f>IF(D11="","",COUNTIF(Funções!C$8:C$49,D11))</f>
        <v>0</v>
      </c>
      <c r="F11" s="85">
        <f>SUMIF(Funções!$C$8:$C$49,Deflatores!G5,Funções!$H$8:$H$49)</f>
        <v>0</v>
      </c>
      <c r="G11" s="86">
        <f>IF(ISBLANK(Deflatores!H5),"",Deflatores!H5)</f>
        <v>0.5</v>
      </c>
      <c r="H11" s="85" t="str">
        <f>IF(ISBLANK(Deflatores!I5),"",Deflatores!I5)</f>
        <v/>
      </c>
      <c r="I11" s="87">
        <f>IF(F11=0,Deflatores!K5,F11*G11)</f>
        <v>0</v>
      </c>
      <c r="J11" s="88">
        <f t="shared" si="0"/>
        <v>0</v>
      </c>
      <c r="K11" s="74"/>
      <c r="L11" s="30">
        <f>Contagem!Q6</f>
        <v>730</v>
      </c>
      <c r="M11" s="43"/>
    </row>
    <row r="12" spans="1:13" ht="13.5" customHeight="1" x14ac:dyDescent="0.3">
      <c r="A12" s="62"/>
      <c r="B12" s="118" t="str">
        <f>""&amp;Deflatores!B6</f>
        <v>Exclusão</v>
      </c>
      <c r="C12" s="118"/>
      <c r="D12" s="13" t="str">
        <f>""&amp;Deflatores!G6</f>
        <v>E</v>
      </c>
      <c r="E12" s="84">
        <f>IF(D12="","",COUNTIF(Funções!C$8:C$49,D12))</f>
        <v>0</v>
      </c>
      <c r="F12" s="85">
        <f>SUMIF(Funções!$C$8:$C$49,Deflatores!G6,Funções!$H$8:$H$49)</f>
        <v>0</v>
      </c>
      <c r="G12" s="86">
        <f>IF(ISBLANK(Deflatores!H6),"",Deflatores!H6)</f>
        <v>0.4</v>
      </c>
      <c r="H12" s="85" t="str">
        <f>IF(ISBLANK(Deflatores!I6),"",Deflatores!I6)</f>
        <v/>
      </c>
      <c r="I12" s="87">
        <f>IF(F12=0,Deflatores!K6,F12*G12)</f>
        <v>0</v>
      </c>
      <c r="J12" s="88">
        <f t="shared" si="0"/>
        <v>0</v>
      </c>
      <c r="K12" s="74"/>
      <c r="L12" s="75"/>
      <c r="M12" s="43"/>
    </row>
    <row r="13" spans="1:13" ht="13.5" customHeight="1" x14ac:dyDescent="0.3">
      <c r="A13" s="62"/>
      <c r="B13" s="118" t="str">
        <f>""&amp;Deflatores!B7</f>
        <v>Alteração (50%) de função desenvolvida ou já alterada pela empresa atual</v>
      </c>
      <c r="C13" s="118"/>
      <c r="D13" s="13" t="str">
        <f>""&amp;Deflatores!G7</f>
        <v>A50</v>
      </c>
      <c r="E13" s="84">
        <f>IF(D13="","",COUNTIF(Funções!C$8:C$49,D13))</f>
        <v>0</v>
      </c>
      <c r="F13" s="85">
        <f>SUMIF(Funções!$C$8:$C$49,Deflatores!G7,Funções!$H$8:$H$49)</f>
        <v>0</v>
      </c>
      <c r="G13" s="86">
        <f>IF(ISBLANK(Deflatores!H7),"",Deflatores!H7)</f>
        <v>0.5</v>
      </c>
      <c r="H13" s="85" t="str">
        <f>IF(ISBLANK(Deflatores!I7),"",Deflatores!I7)</f>
        <v/>
      </c>
      <c r="I13" s="87">
        <f>Deflatores!K7</f>
        <v>0</v>
      </c>
      <c r="J13" s="88">
        <f t="shared" si="0"/>
        <v>0</v>
      </c>
      <c r="K13" s="74"/>
      <c r="L13" s="29" t="s">
        <v>175</v>
      </c>
      <c r="M13" s="43"/>
    </row>
    <row r="14" spans="1:13" ht="13.5" customHeight="1" x14ac:dyDescent="0.3">
      <c r="A14" s="62"/>
      <c r="B14" s="118" t="str">
        <f>""&amp;Deflatores!B8</f>
        <v>Alteração (75%) de função não desenv. e ainda não alterada pela empresa atual</v>
      </c>
      <c r="C14" s="118"/>
      <c r="D14" s="13" t="str">
        <f>""&amp;Deflatores!G8</f>
        <v>A75</v>
      </c>
      <c r="E14" s="84">
        <f>IF(D14="","",COUNTIF(Funções!C$8:C$49,D14))</f>
        <v>0</v>
      </c>
      <c r="F14" s="85">
        <f>SUMIF(Funções!$C$8:$C$49,Deflatores!G8,Funções!$H$8:$H$49)</f>
        <v>0</v>
      </c>
      <c r="G14" s="86">
        <f>IF(ISBLANK(Deflatores!H8),"",Deflatores!H8)</f>
        <v>0.75</v>
      </c>
      <c r="H14" s="85" t="str">
        <f>IF(ISBLANK(Deflatores!I8),"",Deflatores!I8)</f>
        <v/>
      </c>
      <c r="I14" s="87">
        <f>Deflatores!K8</f>
        <v>0</v>
      </c>
      <c r="J14" s="88">
        <f t="shared" si="0"/>
        <v>0</v>
      </c>
      <c r="L14" s="30">
        <f>Contagem!Q4</f>
        <v>695</v>
      </c>
      <c r="M14" s="43"/>
    </row>
    <row r="15" spans="1:13" ht="13.5" customHeight="1" x14ac:dyDescent="0.25">
      <c r="A15" s="62"/>
      <c r="B15" s="118" t="str">
        <f>""&amp;Deflatores!B9</f>
        <v>Alteração (75%+15%): o mesmo acima + redocumentar a função</v>
      </c>
      <c r="C15" s="118"/>
      <c r="D15" s="13" t="str">
        <f>""&amp;Deflatores!G9</f>
        <v>A90</v>
      </c>
      <c r="E15" s="84">
        <f>IF(D15="","",COUNTIF(Funções!C$8:C$49,D15))</f>
        <v>0</v>
      </c>
      <c r="F15" s="85">
        <f>SUMIF(Funções!$C$8:$C$49,Deflatores!G9,Funções!$H$8:$H$49)</f>
        <v>0</v>
      </c>
      <c r="G15" s="86">
        <f>IF(ISBLANK(Deflatores!H9),"",Deflatores!H9)</f>
        <v>0.9</v>
      </c>
      <c r="H15" s="85" t="str">
        <f>IF(ISBLANK(Deflatores!I9),"",Deflatores!I9)</f>
        <v/>
      </c>
      <c r="I15" s="87">
        <f>Deflatores!K9</f>
        <v>0</v>
      </c>
      <c r="J15" s="88">
        <f t="shared" si="0"/>
        <v>0</v>
      </c>
      <c r="M15" s="63"/>
    </row>
    <row r="16" spans="1:13" ht="13.5" customHeight="1" x14ac:dyDescent="0.25">
      <c r="A16" s="62"/>
      <c r="B16" s="118" t="str">
        <f>""&amp;Deflatores!B10</f>
        <v>Migração de Dados</v>
      </c>
      <c r="C16" s="118"/>
      <c r="D16" s="13" t="str">
        <f>""&amp;Deflatores!G10</f>
        <v>PMD</v>
      </c>
      <c r="E16" s="84">
        <f>IF(D16="","",COUNTIF(Funções!C$8:C$49,D16))</f>
        <v>0</v>
      </c>
      <c r="F16" s="85">
        <f>SUMIF(Funções!$C$8:$C$49,Deflatores!G10,Funções!$H$8:$H$49)</f>
        <v>0</v>
      </c>
      <c r="G16" s="86">
        <f>IF(ISBLANK(Deflatores!H10),"",Deflatores!H10)</f>
        <v>1</v>
      </c>
      <c r="H16" s="85" t="str">
        <f>IF(ISBLANK(Deflatores!I10),"",Deflatores!I10)</f>
        <v/>
      </c>
      <c r="I16" s="87">
        <f>Deflatores!K10</f>
        <v>0</v>
      </c>
      <c r="J16" s="88">
        <f t="shared" si="0"/>
        <v>0</v>
      </c>
      <c r="M16" s="63"/>
    </row>
    <row r="17" spans="1:13" ht="13.5" customHeight="1" x14ac:dyDescent="0.25">
      <c r="A17" s="62"/>
      <c r="B17" s="118" t="str">
        <f>""&amp;Deflatores!B11</f>
        <v>Corretiva (sem conhecimento do Fator de Impacto)</v>
      </c>
      <c r="C17" s="118"/>
      <c r="D17" s="13" t="str">
        <f>""&amp;Deflatores!G11</f>
        <v>COR</v>
      </c>
      <c r="E17" s="84">
        <f>IF(D17="","",COUNTIF(Funções!C$8:C$49,D17))</f>
        <v>0</v>
      </c>
      <c r="F17" s="85">
        <f>SUMIF(Funções!$C$8:$C$49,Deflatores!G11,Funções!$H$8:$H$49)</f>
        <v>0</v>
      </c>
      <c r="G17" s="86">
        <f>IF(ISBLANK(Deflatores!H11),"",Deflatores!H11)</f>
        <v>0.5</v>
      </c>
      <c r="H17" s="85" t="str">
        <f>IF(ISBLANK(Deflatores!I11),"",Deflatores!I11)</f>
        <v/>
      </c>
      <c r="I17" s="87">
        <f>Deflatores!K11</f>
        <v>0</v>
      </c>
      <c r="J17" s="88">
        <f>IF($L$11&lt;&gt;0,I17/$L$11,"")</f>
        <v>0</v>
      </c>
      <c r="M17" s="63"/>
    </row>
    <row r="18" spans="1:13" ht="13.5" customHeight="1" x14ac:dyDescent="0.25">
      <c r="A18" s="62"/>
      <c r="B18" s="118" t="str">
        <f>""&amp;Deflatores!B12</f>
        <v>Corretiva (50%) - Fora da garantia (mesma empresa)</v>
      </c>
      <c r="C18" s="118"/>
      <c r="D18" s="13" t="str">
        <f>""&amp;Deflatores!G12</f>
        <v>COR50</v>
      </c>
      <c r="E18" s="84">
        <f>IF(D18="","",COUNTIF(Funções!C$8:C$49,D18))</f>
        <v>0</v>
      </c>
      <c r="F18" s="85">
        <f>SUMIF(Funções!$C$8:$C$49,Deflatores!G12,Funções!$H$8:$H$49)</f>
        <v>0</v>
      </c>
      <c r="G18" s="86">
        <f>IF(ISBLANK(Deflatores!H12),"",Deflatores!H12)</f>
        <v>0.5</v>
      </c>
      <c r="H18" s="85" t="str">
        <f>IF(ISBLANK(Deflatores!I12),"",Deflatores!I12)</f>
        <v/>
      </c>
      <c r="I18" s="87">
        <f>Deflatores!K12</f>
        <v>0</v>
      </c>
      <c r="J18" s="88">
        <f t="shared" si="0"/>
        <v>0</v>
      </c>
      <c r="M18" s="63"/>
    </row>
    <row r="19" spans="1:13" ht="13.5" customHeight="1" x14ac:dyDescent="0.25">
      <c r="A19" s="62"/>
      <c r="B19" s="118" t="str">
        <f>""&amp;Deflatores!B13</f>
        <v>Corretiva (75%) - Fora da garantia (outra empresa)</v>
      </c>
      <c r="C19" s="118"/>
      <c r="D19" s="13" t="str">
        <f>""&amp;Deflatores!G13</f>
        <v>COR75</v>
      </c>
      <c r="E19" s="84">
        <f>IF(D19="","",COUNTIF(Funções!C$8:C$49,D19))</f>
        <v>0</v>
      </c>
      <c r="F19" s="85">
        <f>SUMIF(Funções!$C$8:$C$49,Deflatores!G13,Funções!$H$8:$H$49)</f>
        <v>0</v>
      </c>
      <c r="G19" s="86">
        <f>IF(ISBLANK(Deflatores!H13),"",Deflatores!H13)</f>
        <v>0.75</v>
      </c>
      <c r="H19" s="85" t="str">
        <f>IF(ISBLANK(Deflatores!I13),"",Deflatores!I13)</f>
        <v/>
      </c>
      <c r="I19" s="87">
        <f>Deflatores!K13</f>
        <v>0</v>
      </c>
      <c r="J19" s="88">
        <f t="shared" si="0"/>
        <v>0</v>
      </c>
      <c r="M19" s="63"/>
    </row>
    <row r="20" spans="1:13" ht="13.5" customHeight="1" x14ac:dyDescent="0.25">
      <c r="A20" s="62"/>
      <c r="B20" s="118" t="str">
        <f>""&amp;Deflatores!B14</f>
        <v>Corretiva (75%+15%) - Fora da garantia (outra empresa) + Redocumentação</v>
      </c>
      <c r="C20" s="118"/>
      <c r="D20" s="13" t="str">
        <f>""&amp;Deflatores!G14</f>
        <v>COR90</v>
      </c>
      <c r="E20" s="84">
        <f>IF(D20="","",COUNTIF(Funções!C$8:C$49,D20))</f>
        <v>0</v>
      </c>
      <c r="F20" s="85">
        <f>SUMIF(Funções!$C$8:$C$49,Deflatores!G14,Funções!$H$8:$H$49)</f>
        <v>0</v>
      </c>
      <c r="G20" s="86">
        <f>IF(ISBLANK(Deflatores!H14),"",Deflatores!H14)</f>
        <v>0.9</v>
      </c>
      <c r="H20" s="85" t="str">
        <f>IF(ISBLANK(Deflatores!I14),"",Deflatores!I14)</f>
        <v/>
      </c>
      <c r="I20" s="87">
        <f>Deflatores!K14</f>
        <v>0</v>
      </c>
      <c r="J20" s="88">
        <f>IF($L$11&lt;&gt;0,I20/$L$11,"")</f>
        <v>0</v>
      </c>
      <c r="M20" s="63"/>
    </row>
    <row r="21" spans="1:13" ht="13.5" customHeight="1" x14ac:dyDescent="0.25">
      <c r="A21" s="62"/>
      <c r="B21" s="118" t="str">
        <f>""&amp;Deflatores!B15</f>
        <v>Corretiva em Garantia</v>
      </c>
      <c r="C21" s="118"/>
      <c r="D21" s="13" t="str">
        <f>""&amp;Deflatores!G15</f>
        <v>GAR</v>
      </c>
      <c r="E21" s="84">
        <f>IF(D21="","",COUNTIF(Funções!C$8:C$49,D21))</f>
        <v>0</v>
      </c>
      <c r="F21" s="85">
        <f>SUMIF(Funções!$C$8:$C$49,Deflatores!G15,Funções!$H$8:$H$49)</f>
        <v>0</v>
      </c>
      <c r="G21" s="86">
        <f>IF(ISBLANK(Deflatores!H15),"",Deflatores!H15)</f>
        <v>0</v>
      </c>
      <c r="H21" s="85" t="str">
        <f>IF(ISBLANK(Deflatores!I15),"",Deflatores!I15)</f>
        <v/>
      </c>
      <c r="I21" s="87">
        <f>Deflatores!K15</f>
        <v>0</v>
      </c>
      <c r="J21" s="88">
        <f>IF($L$11&lt;&gt;0,I21/$L$11,"")</f>
        <v>0</v>
      </c>
      <c r="M21" s="63"/>
    </row>
    <row r="22" spans="1:13" ht="13.5" customHeight="1" x14ac:dyDescent="0.25">
      <c r="A22" s="62"/>
      <c r="B22" s="118" t="str">
        <f>""&amp;Deflatores!B16</f>
        <v>Mudança de Plataforma - Linguagem de Programação</v>
      </c>
      <c r="C22" s="118"/>
      <c r="D22" s="13" t="str">
        <f>""&amp;Deflatores!G16</f>
        <v>MLP</v>
      </c>
      <c r="E22" s="84">
        <f>IF(D22="","",COUNTIF(Funções!C$8:C$49,D22))</f>
        <v>0</v>
      </c>
      <c r="F22" s="85">
        <f>SUMIF(Funções!$C$8:$C$49,Deflatores!G16,Funções!$H$8:$H$49)</f>
        <v>0</v>
      </c>
      <c r="G22" s="86">
        <f>IF(ISBLANK(Deflatores!H16),"",Deflatores!H16)</f>
        <v>1</v>
      </c>
      <c r="H22" s="85" t="str">
        <f>IF(ISBLANK(Deflatores!I16),"",Deflatores!I16)</f>
        <v/>
      </c>
      <c r="I22" s="87">
        <f>Deflatores!K16</f>
        <v>0</v>
      </c>
      <c r="J22" s="88">
        <f t="shared" si="0"/>
        <v>0</v>
      </c>
      <c r="M22" s="63"/>
    </row>
    <row r="23" spans="1:13" ht="13.5" customHeight="1" x14ac:dyDescent="0.25">
      <c r="A23" s="62"/>
      <c r="B23" s="118" t="str">
        <f>""&amp;Deflatores!B17</f>
        <v>Mudança de Plataforma - Banco de Dados (outro paradigma)</v>
      </c>
      <c r="C23" s="118"/>
      <c r="D23" s="13" t="str">
        <f>""&amp;Deflatores!G17</f>
        <v>MBO</v>
      </c>
      <c r="E23" s="84">
        <f>IF(D23="","",COUNTIF(Funções!C$8:C$49,D23))</f>
        <v>0</v>
      </c>
      <c r="F23" s="85">
        <f>SUMIF(Funções!$C$8:$C$49,Deflatores!G17,Funções!$H$8:$H$49)</f>
        <v>0</v>
      </c>
      <c r="G23" s="86">
        <f>IF(ISBLANK(Deflatores!H17),"",Deflatores!H17)</f>
        <v>1</v>
      </c>
      <c r="H23" s="85" t="str">
        <f>IF(ISBLANK(Deflatores!I17),"",Deflatores!I17)</f>
        <v/>
      </c>
      <c r="I23" s="87">
        <f>Deflatores!K17</f>
        <v>0</v>
      </c>
      <c r="J23" s="88">
        <f t="shared" si="0"/>
        <v>0</v>
      </c>
      <c r="M23" s="63"/>
    </row>
    <row r="24" spans="1:13" ht="13.5" customHeight="1" x14ac:dyDescent="0.25">
      <c r="A24" s="62"/>
      <c r="B24" s="118" t="str">
        <f>""&amp;Deflatores!B18</f>
        <v>Mudança de Plataforma - Banco de Dados (mesmo paradigma com alterações)</v>
      </c>
      <c r="C24" s="118"/>
      <c r="D24" s="13" t="str">
        <f>""&amp;Deflatores!G18</f>
        <v>MBM</v>
      </c>
      <c r="E24" s="84">
        <f>IF(D24="","",COUNTIF(Funções!C$8:C$49,D24))</f>
        <v>0</v>
      </c>
      <c r="F24" s="85">
        <f>SUMIF(Funções!$C$8:$C$49,Deflatores!G18,Funções!$H$8:$H$49)</f>
        <v>0</v>
      </c>
      <c r="G24" s="86">
        <f>IF(ISBLANK(Deflatores!H18),"",Deflatores!H18)</f>
        <v>0.3</v>
      </c>
      <c r="H24" s="85" t="str">
        <f>IF(ISBLANK(Deflatores!I18),"",Deflatores!I18)</f>
        <v/>
      </c>
      <c r="I24" s="87">
        <f>Deflatores!K18</f>
        <v>0</v>
      </c>
      <c r="J24" s="88">
        <f t="shared" si="0"/>
        <v>0</v>
      </c>
      <c r="K24" s="74"/>
      <c r="M24" s="63"/>
    </row>
    <row r="25" spans="1:13" ht="13.5" customHeight="1" x14ac:dyDescent="0.25">
      <c r="A25" s="62"/>
      <c r="B25" s="118" t="str">
        <f>""&amp;Deflatores!B19</f>
        <v>Atualização de Versão – Linguagem de Programação</v>
      </c>
      <c r="C25" s="118"/>
      <c r="D25" s="13" t="str">
        <f>""&amp;Deflatores!G19</f>
        <v>ALP</v>
      </c>
      <c r="E25" s="84">
        <f>IF(D25="","",COUNTIF(Funções!C$8:C$49,D25))</f>
        <v>0</v>
      </c>
      <c r="F25" s="85">
        <f>SUMIF(Funções!$C$8:$C$49,Deflatores!G19,Funções!$H$8:$H$49)</f>
        <v>0</v>
      </c>
      <c r="G25" s="86">
        <f>IF(ISBLANK(Deflatores!H19),"",Deflatores!H19)</f>
        <v>0.3</v>
      </c>
      <c r="H25" s="85" t="str">
        <f>IF(ISBLANK(Deflatores!I19),"",Deflatores!I19)</f>
        <v/>
      </c>
      <c r="I25" s="87">
        <f>Deflatores!K19</f>
        <v>0</v>
      </c>
      <c r="J25" s="88">
        <f t="shared" si="0"/>
        <v>0</v>
      </c>
      <c r="K25" s="74"/>
      <c r="M25" s="63"/>
    </row>
    <row r="26" spans="1:13" ht="13.5" customHeight="1" x14ac:dyDescent="0.25">
      <c r="A26" s="62"/>
      <c r="B26" s="118" t="str">
        <f>""&amp;Deflatores!B20</f>
        <v>Atualização de Versão – Browser</v>
      </c>
      <c r="C26" s="118"/>
      <c r="D26" s="13" t="str">
        <f>""&amp;Deflatores!G20</f>
        <v>AVB</v>
      </c>
      <c r="E26" s="84">
        <f>IF(D26="","",COUNTIF(Funções!C$8:C$49,D26))</f>
        <v>0</v>
      </c>
      <c r="F26" s="85">
        <f>SUMIF(Funções!$C$8:$C$49,Deflatores!G20,Funções!$H$8:$H$49)</f>
        <v>0</v>
      </c>
      <c r="G26" s="86">
        <f>IF(ISBLANK(Deflatores!H20),"",Deflatores!H20)</f>
        <v>0.3</v>
      </c>
      <c r="H26" s="85" t="str">
        <f>IF(ISBLANK(Deflatores!I20),"",Deflatores!I20)</f>
        <v/>
      </c>
      <c r="I26" s="87">
        <f>Deflatores!K20</f>
        <v>0</v>
      </c>
      <c r="J26" s="88">
        <f t="shared" si="0"/>
        <v>0</v>
      </c>
      <c r="K26" s="74"/>
      <c r="M26" s="63"/>
    </row>
    <row r="27" spans="1:13" ht="13.5" customHeight="1" x14ac:dyDescent="0.25">
      <c r="A27" s="62"/>
      <c r="B27" s="118" t="str">
        <f>""&amp;Deflatores!B21</f>
        <v>Atualização de Versão – Banco de Dados</v>
      </c>
      <c r="C27" s="118"/>
      <c r="D27" s="13" t="str">
        <f>""&amp;Deflatores!G21</f>
        <v>ABD</v>
      </c>
      <c r="E27" s="84">
        <f>IF(D27="","",COUNTIF(Funções!C$8:C$49,D27))</f>
        <v>0</v>
      </c>
      <c r="F27" s="85">
        <f>SUMIF(Funções!$C$8:$C$49,Deflatores!G21,Funções!$H$8:$H$49)</f>
        <v>0</v>
      </c>
      <c r="G27" s="86">
        <f>IF(ISBLANK(Deflatores!H21),"",Deflatores!H21)</f>
        <v>0.3</v>
      </c>
      <c r="H27" s="85" t="str">
        <f>IF(ISBLANK(Deflatores!I21),"",Deflatores!I21)</f>
        <v/>
      </c>
      <c r="I27" s="87">
        <f>Deflatores!K21</f>
        <v>0</v>
      </c>
      <c r="J27" s="88">
        <f t="shared" si="0"/>
        <v>0</v>
      </c>
      <c r="K27" s="74"/>
      <c r="M27" s="63"/>
    </row>
    <row r="28" spans="1:13" ht="13.5" customHeight="1" x14ac:dyDescent="0.25">
      <c r="A28" s="62"/>
      <c r="B28" s="118" t="str">
        <f>""&amp;Deflatores!B22</f>
        <v>Manutenção Cosmética</v>
      </c>
      <c r="C28" s="118"/>
      <c r="D28" s="13" t="str">
        <f>""&amp;Deflatores!G22</f>
        <v>COS</v>
      </c>
      <c r="E28" s="84">
        <f>IF(D28="","",COUNTIF(Funções!C$8:C$49,D28))</f>
        <v>0</v>
      </c>
      <c r="F28" s="85">
        <f>SUMIF(Funções!$C$8:$C$49,Deflatores!G22,Funções!$H$8:$H$49)</f>
        <v>0</v>
      </c>
      <c r="G28" s="86" t="str">
        <f>IF(ISBLANK(Deflatores!H22),"",Deflatores!H22)</f>
        <v/>
      </c>
      <c r="H28" s="85">
        <f>IF(ISBLANK(Deflatores!I22),"",Deflatores!I22)</f>
        <v>0.6</v>
      </c>
      <c r="I28" s="87">
        <f>Deflatores!K22</f>
        <v>0</v>
      </c>
      <c r="J28" s="88">
        <f t="shared" si="0"/>
        <v>0</v>
      </c>
      <c r="M28" s="63"/>
    </row>
    <row r="29" spans="1:13" ht="27" customHeight="1" x14ac:dyDescent="0.25">
      <c r="A29" s="62"/>
      <c r="B29" s="143" t="str">
        <f>""&amp;Deflatores!B23</f>
        <v>Adaptação em Funcionalidades sem Alteração de Requisitos Funcionais
(sem conhecimento do Fator de Impacto)</v>
      </c>
      <c r="C29" s="145"/>
      <c r="D29" s="13" t="str">
        <f>""&amp;Deflatores!G23</f>
        <v>ARN</v>
      </c>
      <c r="E29" s="84">
        <f>IF(D29="","",COUNTIF(Funções!C$8:C$49,D29))</f>
        <v>0</v>
      </c>
      <c r="F29" s="85">
        <f>SUMIF(Funções!$C$8:$C$49,Deflatores!G23,Funções!$H$8:$H$49)</f>
        <v>0</v>
      </c>
      <c r="G29" s="86">
        <f>IF(ISBLANK(Deflatores!H23),"",Deflatores!H23)</f>
        <v>0.5</v>
      </c>
      <c r="H29" s="85" t="str">
        <f>IF(ISBLANK(Deflatores!I23),"",Deflatores!I23)</f>
        <v/>
      </c>
      <c r="I29" s="87">
        <f>Deflatores!K23</f>
        <v>0</v>
      </c>
      <c r="J29" s="88">
        <f>IF($L$11&lt;&gt;0,I29/$L$11,"")</f>
        <v>0</v>
      </c>
      <c r="M29" s="63"/>
    </row>
    <row r="30" spans="1:13" ht="27" customHeight="1" x14ac:dyDescent="0.25">
      <c r="A30" s="62"/>
      <c r="B30" s="143" t="str">
        <f>""&amp;Deflatores!B24</f>
        <v>Adaptação em Funcionalidades sem Alteração de Requisitos Funcionais (50%)
(em função desenvolvida ou já alterada pela empresa atual)</v>
      </c>
      <c r="C30" s="145"/>
      <c r="D30" s="13" t="str">
        <f>""&amp;Deflatores!G24</f>
        <v>ARN50</v>
      </c>
      <c r="E30" s="84">
        <f>IF(D30="","",COUNTIF(Funções!C$8:C$49,D30))</f>
        <v>0</v>
      </c>
      <c r="F30" s="85">
        <f>SUMIF(Funções!$C$8:$C$49,Deflatores!G24,Funções!$H$8:$H$49)</f>
        <v>0</v>
      </c>
      <c r="G30" s="86">
        <f>IF(ISBLANK(Deflatores!H24),"",Deflatores!H24)</f>
        <v>0.5</v>
      </c>
      <c r="H30" s="85" t="str">
        <f>IF(ISBLANK(Deflatores!I24),"",Deflatores!I24)</f>
        <v/>
      </c>
      <c r="I30" s="87">
        <f>Deflatores!K24</f>
        <v>0</v>
      </c>
      <c r="J30" s="88">
        <f t="shared" si="0"/>
        <v>0</v>
      </c>
      <c r="M30" s="63"/>
    </row>
    <row r="31" spans="1:13" ht="27" customHeight="1" x14ac:dyDescent="0.25">
      <c r="A31" s="62"/>
      <c r="B31" s="143" t="str">
        <f>""&amp;Deflatores!B25</f>
        <v>Adaptação em Funcionalidades sem Alteração de Requisitos Funcionais (75%)
(em função não desenvolvida e ainda não alterada pela empresa atual)</v>
      </c>
      <c r="C31" s="145"/>
      <c r="D31" s="13" t="str">
        <f>""&amp;Deflatores!G25</f>
        <v>ARN75</v>
      </c>
      <c r="E31" s="84">
        <f>IF(D31="","",COUNTIF(Funções!C$8:C$49,D31))</f>
        <v>0</v>
      </c>
      <c r="F31" s="85">
        <f>SUMIF(Funções!$C$8:$C$49,Deflatores!G25,Funções!$H$8:$H$49)</f>
        <v>0</v>
      </c>
      <c r="G31" s="86">
        <f>IF(ISBLANK(Deflatores!H25),"",Deflatores!H25)</f>
        <v>0.75</v>
      </c>
      <c r="H31" s="85" t="str">
        <f>IF(ISBLANK(Deflatores!I25),"",Deflatores!I25)</f>
        <v/>
      </c>
      <c r="I31" s="87">
        <f>Deflatores!K25</f>
        <v>0</v>
      </c>
      <c r="J31" s="88">
        <f t="shared" si="0"/>
        <v>0</v>
      </c>
      <c r="M31" s="63"/>
    </row>
    <row r="32" spans="1:13" ht="13.5" customHeight="1" x14ac:dyDescent="0.25">
      <c r="A32" s="62"/>
      <c r="B32" s="118" t="str">
        <f>""&amp;Deflatores!B26</f>
        <v>Atualização de Dados sem Consulta Prévia</v>
      </c>
      <c r="C32" s="118"/>
      <c r="D32" s="13" t="str">
        <f>""&amp;Deflatores!G26</f>
        <v>ADS</v>
      </c>
      <c r="E32" s="84">
        <f>IF(D32="","",COUNTIF(Funções!C$8:C$49,D32))</f>
        <v>0</v>
      </c>
      <c r="F32" s="85">
        <f>SUMIF(Funções!$C$8:$C$49,Deflatores!G26,Funções!$H$8:$H$49)</f>
        <v>0</v>
      </c>
      <c r="G32" s="86">
        <f>IF(ISBLANK(Deflatores!H26),"",Deflatores!H26)</f>
        <v>1</v>
      </c>
      <c r="H32" s="85" t="str">
        <f>IF(ISBLANK(Deflatores!I26),"",Deflatores!I26)</f>
        <v/>
      </c>
      <c r="I32" s="87">
        <f>Deflatores!K26</f>
        <v>0</v>
      </c>
      <c r="J32" s="88">
        <f t="shared" si="0"/>
        <v>0</v>
      </c>
      <c r="M32" s="63"/>
    </row>
    <row r="33" spans="1:13" ht="13.5" customHeight="1" x14ac:dyDescent="0.25">
      <c r="A33" s="62"/>
      <c r="B33" s="118" t="str">
        <f>""&amp;Deflatores!B27</f>
        <v>Consulta Prévia sem Atualização</v>
      </c>
      <c r="C33" s="118"/>
      <c r="D33" s="13" t="str">
        <f>""&amp;Deflatores!G27</f>
        <v>CPA</v>
      </c>
      <c r="E33" s="84">
        <f>IF(D33="","",COUNTIF(Funções!C$8:C$49,D33))</f>
        <v>0</v>
      </c>
      <c r="F33" s="85">
        <f>SUMIF(Funções!$C$8:$C$49,Deflatores!G27,Funções!$H$8:$H$49)</f>
        <v>0</v>
      </c>
      <c r="G33" s="86">
        <f>IF(ISBLANK(Deflatores!H27),"",Deflatores!H27)</f>
        <v>1</v>
      </c>
      <c r="H33" s="85" t="str">
        <f>IF(ISBLANK(Deflatores!I27),"",Deflatores!I27)</f>
        <v/>
      </c>
      <c r="I33" s="87">
        <f>Deflatores!K27</f>
        <v>0</v>
      </c>
      <c r="J33" s="88">
        <f t="shared" si="0"/>
        <v>0</v>
      </c>
      <c r="M33" s="63"/>
    </row>
    <row r="34" spans="1:13" ht="13.5" customHeight="1" x14ac:dyDescent="0.25">
      <c r="A34" s="62"/>
      <c r="B34" s="118" t="str">
        <f>""&amp;Deflatores!B28</f>
        <v>Atualização de Dados com Consulta Prévia</v>
      </c>
      <c r="C34" s="118"/>
      <c r="D34" s="13" t="str">
        <f>""&amp;Deflatores!G28</f>
        <v>ADC</v>
      </c>
      <c r="E34" s="84">
        <f>IF(D34="","",COUNTIF(Funções!C$8:C$49,D34))</f>
        <v>0</v>
      </c>
      <c r="F34" s="85">
        <f>SUMIF(Funções!$C$8:$C$49,Deflatores!G28,Funções!$H$8:$H$49)</f>
        <v>0</v>
      </c>
      <c r="G34" s="86">
        <f>IF(ISBLANK(Deflatores!H28),"",Deflatores!H28)</f>
        <v>0.6</v>
      </c>
      <c r="H34" s="85" t="str">
        <f>IF(ISBLANK(Deflatores!I28),"",Deflatores!I28)</f>
        <v/>
      </c>
      <c r="I34" s="87">
        <f>Deflatores!K28</f>
        <v>0</v>
      </c>
      <c r="J34" s="88">
        <f t="shared" si="0"/>
        <v>0</v>
      </c>
      <c r="M34" s="63"/>
    </row>
    <row r="35" spans="1:13" ht="13.5" customHeight="1" x14ac:dyDescent="0.25">
      <c r="A35" s="62"/>
      <c r="B35" s="118" t="str">
        <f>""&amp;Deflatores!B29</f>
        <v>Apuração Especial – Geração de Relatórios</v>
      </c>
      <c r="C35" s="118"/>
      <c r="D35" s="13" t="str">
        <f>""&amp;Deflatores!G29</f>
        <v>AGR</v>
      </c>
      <c r="E35" s="84">
        <f>IF(D35="","",COUNTIF(Funções!C$8:C$49,D35))</f>
        <v>0</v>
      </c>
      <c r="F35" s="85">
        <f>SUMIF(Funções!$C$8:$C$49,Deflatores!G29,Funções!$H$8:$H$49)</f>
        <v>0</v>
      </c>
      <c r="G35" s="86">
        <f>IF(ISBLANK(Deflatores!H29),"",Deflatores!H29)</f>
        <v>1</v>
      </c>
      <c r="H35" s="85" t="str">
        <f>IF(ISBLANK(Deflatores!I29),"",Deflatores!I29)</f>
        <v/>
      </c>
      <c r="I35" s="87">
        <f>Deflatores!K29</f>
        <v>0</v>
      </c>
      <c r="J35" s="88">
        <f t="shared" si="0"/>
        <v>0</v>
      </c>
      <c r="M35" s="63"/>
    </row>
    <row r="36" spans="1:13" ht="13.5" customHeight="1" x14ac:dyDescent="0.25">
      <c r="A36" s="62"/>
      <c r="B36" s="118" t="str">
        <f>""&amp;Deflatores!B30</f>
        <v>Apuração Especial – Reexecução</v>
      </c>
      <c r="C36" s="118"/>
      <c r="D36" s="13" t="str">
        <f>""&amp;Deflatores!G30</f>
        <v>AER</v>
      </c>
      <c r="E36" s="84">
        <f>IF(D36="","",COUNTIF(Funções!C$8:C$49,D36))</f>
        <v>0</v>
      </c>
      <c r="F36" s="85">
        <f>SUMIF(Funções!$C$8:$C$49,Deflatores!G30,Funções!$H$8:$H$49)</f>
        <v>0</v>
      </c>
      <c r="G36" s="86">
        <f>IF(ISBLANK(Deflatores!H30),"",Deflatores!H30)</f>
        <v>0.1</v>
      </c>
      <c r="H36" s="85" t="str">
        <f>IF(ISBLANK(Deflatores!I30),"",Deflatores!I30)</f>
        <v/>
      </c>
      <c r="I36" s="87">
        <f>Deflatores!K30</f>
        <v>0</v>
      </c>
      <c r="J36" s="88">
        <f t="shared" si="0"/>
        <v>0</v>
      </c>
      <c r="M36" s="63"/>
    </row>
    <row r="37" spans="1:13" ht="13.5" customHeight="1" x14ac:dyDescent="0.25">
      <c r="A37" s="62"/>
      <c r="B37" s="118" t="str">
        <f>""&amp;Deflatores!B31</f>
        <v>Atualização de Dados</v>
      </c>
      <c r="C37" s="118"/>
      <c r="D37" s="13" t="str">
        <f>""&amp;Deflatores!G31</f>
        <v>ATD</v>
      </c>
      <c r="E37" s="84">
        <f>IF(D37="","",COUNTIF(Funções!C$8:C$49,D37))</f>
        <v>0</v>
      </c>
      <c r="F37" s="85">
        <f>SUMIF(Funções!$C$8:$C$49,Deflatores!G31,Funções!$H$8:$H$49)</f>
        <v>0</v>
      </c>
      <c r="G37" s="86">
        <f>IF(ISBLANK(Deflatores!H31),"",Deflatores!H31)</f>
        <v>0.1</v>
      </c>
      <c r="H37" s="85" t="str">
        <f>IF(ISBLANK(Deflatores!I31),"",Deflatores!I31)</f>
        <v/>
      </c>
      <c r="I37" s="87">
        <f>Deflatores!K31</f>
        <v>0</v>
      </c>
      <c r="J37" s="88">
        <f t="shared" si="0"/>
        <v>0</v>
      </c>
      <c r="M37" s="63"/>
    </row>
    <row r="38" spans="1:13" ht="13.5" customHeight="1" x14ac:dyDescent="0.25">
      <c r="A38" s="62"/>
      <c r="B38" s="118" t="str">
        <f>""&amp;Deflatores!B32</f>
        <v>Manutenção de Documentação de Sistemas Legados</v>
      </c>
      <c r="C38" s="118"/>
      <c r="D38" s="13" t="str">
        <f>""&amp;Deflatores!G32</f>
        <v>MSL</v>
      </c>
      <c r="E38" s="84">
        <f>IF(D38="","",COUNTIF(Funções!C$8:C$49,D38))</f>
        <v>0</v>
      </c>
      <c r="F38" s="85">
        <f>SUMIF(Funções!$C$8:$C$49,Deflatores!G32,Funções!$H$8:$H$49)</f>
        <v>0</v>
      </c>
      <c r="G38" s="86">
        <f>IF(ISBLANK(Deflatores!H32),"",Deflatores!H32)</f>
        <v>0.25</v>
      </c>
      <c r="H38" s="85" t="str">
        <f>IF(ISBLANK(Deflatores!I32),"",Deflatores!I32)</f>
        <v/>
      </c>
      <c r="I38" s="87">
        <f>Deflatores!K32</f>
        <v>0</v>
      </c>
      <c r="J38" s="88">
        <f>IF($L$11&lt;&gt;0,I38/$L$11,"")</f>
        <v>0</v>
      </c>
      <c r="M38" s="63"/>
    </row>
    <row r="39" spans="1:13" ht="13.5" customHeight="1" x14ac:dyDescent="0.25">
      <c r="A39" s="62"/>
      <c r="B39" s="118" t="str">
        <f>""&amp;Deflatores!B33</f>
        <v>Verificação de Erros (Sem Documentação de Teste existente)</v>
      </c>
      <c r="C39" s="118"/>
      <c r="D39" s="13" t="str">
        <f>""&amp;Deflatores!G33</f>
        <v>VES</v>
      </c>
      <c r="E39" s="84">
        <f>IF(D39="","",COUNTIF(Funções!C$8:C$49,D39))</f>
        <v>0</v>
      </c>
      <c r="F39" s="85">
        <f>SUMIF(Funções!$C$8:$C$49,Deflatores!G33,Funções!$H$8:$H$49)</f>
        <v>0</v>
      </c>
      <c r="G39" s="86">
        <f>IF(ISBLANK(Deflatores!H33),"",Deflatores!H33)</f>
        <v>0.2</v>
      </c>
      <c r="H39" s="85" t="str">
        <f>IF(ISBLANK(Deflatores!I33),"",Deflatores!I33)</f>
        <v/>
      </c>
      <c r="I39" s="87">
        <f>Deflatores!K33</f>
        <v>0</v>
      </c>
      <c r="J39" s="88">
        <f>IF($L$11&lt;&gt;0,I39/$L$11,"")</f>
        <v>0</v>
      </c>
      <c r="M39" s="63"/>
    </row>
    <row r="40" spans="1:13" ht="13.5" customHeight="1" x14ac:dyDescent="0.25">
      <c r="A40" s="62"/>
      <c r="B40" s="118" t="str">
        <f>""&amp;Deflatores!B34</f>
        <v>Verificação de Erros (Com Documentação de Teste existente)</v>
      </c>
      <c r="C40" s="118"/>
      <c r="D40" s="13" t="str">
        <f>""&amp;Deflatores!G34</f>
        <v>VEC</v>
      </c>
      <c r="E40" s="84">
        <f>IF(D40="","",COUNTIF(Funções!C$8:C$49,D40))</f>
        <v>0</v>
      </c>
      <c r="F40" s="85">
        <f>SUMIF(Funções!$C$8:$C$49,Deflatores!G34,Funções!$H$8:$H$49)</f>
        <v>0</v>
      </c>
      <c r="G40" s="86">
        <f>IF(ISBLANK(Deflatores!H34),"",Deflatores!H34)</f>
        <v>0.15</v>
      </c>
      <c r="H40" s="85" t="str">
        <f>IF(ISBLANK(Deflatores!I34),"",Deflatores!I34)</f>
        <v/>
      </c>
      <c r="I40" s="87">
        <f>Deflatores!K34</f>
        <v>0</v>
      </c>
      <c r="J40" s="88">
        <f>IF($L$11&lt;&gt;0,I40/$L$11,"")</f>
        <v>0</v>
      </c>
      <c r="M40" s="63"/>
    </row>
    <row r="41" spans="1:13" ht="13.5" customHeight="1" x14ac:dyDescent="0.25">
      <c r="A41" s="62"/>
      <c r="B41" s="118" t="str">
        <f>""&amp;Deflatores!B35</f>
        <v>Pontos de Função de Teste</v>
      </c>
      <c r="C41" s="118"/>
      <c r="D41" s="13" t="str">
        <f>""&amp;Deflatores!G35</f>
        <v>PFT</v>
      </c>
      <c r="E41" s="84">
        <f>IF(D41="","",COUNTIF(Funções!C$8:C$49,D41))</f>
        <v>0</v>
      </c>
      <c r="F41" s="85">
        <f>SUMIF(Funções!$C$8:$C$49,Deflatores!G35,Funções!$H$8:$H$49)</f>
        <v>0</v>
      </c>
      <c r="G41" s="86">
        <f>IF(ISBLANK(Deflatores!H35),"",Deflatores!H35)</f>
        <v>0.15</v>
      </c>
      <c r="H41" s="85" t="str">
        <f>IF(ISBLANK(Deflatores!I35),"",Deflatores!I35)</f>
        <v/>
      </c>
      <c r="I41" s="87">
        <f>Deflatores!K35</f>
        <v>0</v>
      </c>
      <c r="J41" s="88">
        <f>IF($L$11&lt;&gt;0,I41/$L$11,"")</f>
        <v>0</v>
      </c>
      <c r="M41" s="63"/>
    </row>
    <row r="42" spans="1:13" ht="13.5" customHeight="1" x14ac:dyDescent="0.25">
      <c r="A42" s="62"/>
      <c r="B42" s="118" t="str">
        <f>""&amp;Deflatores!B36</f>
        <v>Componente Interno Reusável</v>
      </c>
      <c r="C42" s="118"/>
      <c r="D42" s="13" t="str">
        <f>""&amp;Deflatores!G36</f>
        <v>CIR</v>
      </c>
      <c r="E42" s="84">
        <f>IF(D42="","",COUNTIF(Funções!C$8:C$49,D42))</f>
        <v>0</v>
      </c>
      <c r="F42" s="85">
        <f>SUMIF(Funções!$C$8:$C$49,Deflatores!G36,Funções!$H$8:$H$49)</f>
        <v>0</v>
      </c>
      <c r="G42" s="86">
        <f>IF(ISBLANK(Deflatores!H36),"",Deflatores!H36)</f>
        <v>1</v>
      </c>
      <c r="H42" s="85" t="str">
        <f>IF(ISBLANK(Deflatores!I36),"",Deflatores!I36)</f>
        <v/>
      </c>
      <c r="I42" s="87">
        <f>Deflatores!K36</f>
        <v>0</v>
      </c>
      <c r="J42" s="88">
        <f t="shared" si="0"/>
        <v>0</v>
      </c>
      <c r="M42" s="63"/>
    </row>
    <row r="43" spans="1:13" ht="13.5" customHeight="1" x14ac:dyDescent="0.25">
      <c r="A43" s="62"/>
      <c r="B43" s="118" t="str">
        <f>""&amp;Deflatores!B37</f>
        <v/>
      </c>
      <c r="C43" s="118"/>
      <c r="D43" s="13" t="str">
        <f>""&amp;Deflatores!G37</f>
        <v xml:space="preserve">           .</v>
      </c>
      <c r="E43" s="84">
        <f>IF(D43="","",COUNTIF(Funções!C$8:C$49,D43))</f>
        <v>0</v>
      </c>
      <c r="F43" s="85">
        <f>SUMIF(Funções!$C$8:$C$49,Deflatores!G37,Funções!$H$8:$H$49)</f>
        <v>0</v>
      </c>
      <c r="G43" s="86" t="str">
        <f>IF(ISBLANK(Deflatores!H37),"",Deflatores!H37)</f>
        <v/>
      </c>
      <c r="H43" s="85" t="str">
        <f>IF(ISBLANK(Deflatores!I37),"",Deflatores!I37)</f>
        <v/>
      </c>
      <c r="I43" s="87">
        <f>Deflatores!K37</f>
        <v>0</v>
      </c>
      <c r="J43" s="88">
        <f t="shared" si="0"/>
        <v>0</v>
      </c>
      <c r="M43" s="63"/>
    </row>
    <row r="44" spans="1:13" ht="13.5" customHeight="1" x14ac:dyDescent="0.25">
      <c r="A44" s="62"/>
      <c r="B44" s="118" t="str">
        <f>""&amp;Deflatores!B38</f>
        <v/>
      </c>
      <c r="C44" s="118"/>
      <c r="D44" s="13" t="str">
        <f>""&amp;Deflatores!G38</f>
        <v xml:space="preserve">           .</v>
      </c>
      <c r="E44" s="84">
        <f>IF(D44="","",COUNTIF(Funções!C$8:C$49,D44))</f>
        <v>0</v>
      </c>
      <c r="F44" s="85">
        <f>SUMIF(Funções!$C$8:$C$49,Deflatores!G38,Funções!$H$8:$H$49)</f>
        <v>0</v>
      </c>
      <c r="G44" s="86" t="str">
        <f>IF(ISBLANK(Deflatores!H38),"",Deflatores!H38)</f>
        <v/>
      </c>
      <c r="H44" s="85" t="str">
        <f>IF(ISBLANK(Deflatores!I38),"",Deflatores!I38)</f>
        <v/>
      </c>
      <c r="I44" s="87">
        <f>Deflatores!K38</f>
        <v>0</v>
      </c>
      <c r="J44" s="88">
        <f t="shared" si="0"/>
        <v>0</v>
      </c>
      <c r="M44" s="63"/>
    </row>
    <row r="45" spans="1:13" ht="13.8" x14ac:dyDescent="0.3">
      <c r="A45" s="62"/>
      <c r="B45" s="76"/>
      <c r="C45" s="47"/>
      <c r="D45" s="64"/>
      <c r="E45" s="60"/>
      <c r="F45" s="60"/>
      <c r="G45" s="31"/>
      <c r="H45" s="77"/>
      <c r="I45" s="78"/>
      <c r="M45" s="63"/>
    </row>
    <row r="46" spans="1:13" ht="13.5" customHeight="1" x14ac:dyDescent="0.3">
      <c r="A46" s="62"/>
      <c r="B46" s="159" t="s">
        <v>176</v>
      </c>
      <c r="C46" s="159"/>
      <c r="D46" s="159"/>
      <c r="E46" s="32" t="s">
        <v>141</v>
      </c>
      <c r="F46" s="33"/>
      <c r="G46" s="31"/>
      <c r="H46" s="32" t="s">
        <v>173</v>
      </c>
      <c r="I46" s="32" t="s">
        <v>8</v>
      </c>
      <c r="J46" s="32" t="s">
        <v>174</v>
      </c>
      <c r="M46" s="63"/>
    </row>
    <row r="47" spans="1:13" ht="13.5" customHeight="1" x14ac:dyDescent="0.3">
      <c r="A47" s="62"/>
      <c r="B47" s="118" t="str">
        <f>""&amp;Deflatores!B42</f>
        <v>Páginas Estáticas</v>
      </c>
      <c r="C47" s="118"/>
      <c r="D47" s="25" t="str">
        <f>""&amp;Deflatores!G42</f>
        <v>PAG</v>
      </c>
      <c r="E47" s="26">
        <f>Deflatores!J42</f>
        <v>0</v>
      </c>
      <c r="H47" s="27">
        <f>IF(ISBLANK(Deflatores!H42),"",Deflatores!H42)</f>
        <v>0.6</v>
      </c>
      <c r="I47" s="27">
        <f t="shared" ref="I47:I69" si="1">IF(ISNUMBER(H47),E47*H47,"")</f>
        <v>0</v>
      </c>
      <c r="J47" s="28">
        <f t="shared" ref="J47:J69" si="2">IF(ISNUMBER(I47),IF($L$11&lt;&gt;0,I47/$L$11,""),"")</f>
        <v>0</v>
      </c>
      <c r="M47" s="63"/>
    </row>
    <row r="48" spans="1:13" ht="13.5" customHeight="1" x14ac:dyDescent="0.3">
      <c r="A48" s="62"/>
      <c r="B48" s="118" t="str">
        <f>""&amp;Deflatores!B43</f>
        <v>Manutenção Cosmética (atrelada a algo não funcional)</v>
      </c>
      <c r="C48" s="118"/>
      <c r="D48" s="25" t="str">
        <f>""&amp;Deflatores!G43</f>
        <v>COSNF</v>
      </c>
      <c r="E48" s="26">
        <f>Deflatores!J43</f>
        <v>0</v>
      </c>
      <c r="H48" s="27">
        <f>IF(ISBLANK(Deflatores!H43),"",Deflatores!H43)</f>
        <v>0.6</v>
      </c>
      <c r="I48" s="27">
        <f t="shared" si="1"/>
        <v>0</v>
      </c>
      <c r="J48" s="28">
        <f t="shared" si="2"/>
        <v>0</v>
      </c>
      <c r="M48" s="63"/>
    </row>
    <row r="49" spans="1:13" ht="13.8" x14ac:dyDescent="0.3">
      <c r="A49" s="62"/>
      <c r="B49" s="118" t="str">
        <f>""&amp;Deflatores!B44</f>
        <v>Dados de Código</v>
      </c>
      <c r="C49" s="118"/>
      <c r="D49" s="25" t="str">
        <f>""&amp;Deflatores!G44</f>
        <v>DC</v>
      </c>
      <c r="E49" s="26">
        <f>Deflatores!J44</f>
        <v>0</v>
      </c>
      <c r="H49" s="27">
        <f>IF(ISBLANK(Deflatores!H44),"",Deflatores!H44)</f>
        <v>0</v>
      </c>
      <c r="I49" s="27">
        <f t="shared" si="1"/>
        <v>0</v>
      </c>
      <c r="J49" s="28">
        <f t="shared" si="2"/>
        <v>0</v>
      </c>
      <c r="M49" s="63"/>
    </row>
    <row r="50" spans="1:13" ht="13.8" x14ac:dyDescent="0.3">
      <c r="A50" s="62"/>
      <c r="B50" s="118" t="str">
        <f>""&amp;Deflatores!B45</f>
        <v/>
      </c>
      <c r="C50" s="118"/>
      <c r="D50" s="25" t="str">
        <f>""&amp;Deflatores!G45</f>
        <v xml:space="preserve">           .</v>
      </c>
      <c r="E50" s="26">
        <f>Deflatores!J45</f>
        <v>0</v>
      </c>
      <c r="H50" s="27" t="str">
        <f>IF(ISBLANK(Deflatores!H45),"",Deflatores!H45)</f>
        <v/>
      </c>
      <c r="I50" s="27" t="str">
        <f t="shared" si="1"/>
        <v/>
      </c>
      <c r="J50" s="28" t="str">
        <f t="shared" si="2"/>
        <v/>
      </c>
      <c r="M50" s="63"/>
    </row>
    <row r="51" spans="1:13" ht="13.8" x14ac:dyDescent="0.3">
      <c r="A51" s="62"/>
      <c r="B51" s="118" t="str">
        <f>""&amp;Deflatores!B46</f>
        <v/>
      </c>
      <c r="C51" s="118"/>
      <c r="D51" s="25" t="str">
        <f>""&amp;Deflatores!G46</f>
        <v xml:space="preserve">           .</v>
      </c>
      <c r="E51" s="26">
        <f>Deflatores!J46</f>
        <v>0</v>
      </c>
      <c r="H51" s="27" t="str">
        <f>IF(ISBLANK(Deflatores!H46),"",Deflatores!H46)</f>
        <v/>
      </c>
      <c r="I51" s="27" t="str">
        <f t="shared" si="1"/>
        <v/>
      </c>
      <c r="J51" s="28" t="str">
        <f t="shared" si="2"/>
        <v/>
      </c>
      <c r="M51" s="63"/>
    </row>
    <row r="52" spans="1:13" ht="13.8" x14ac:dyDescent="0.3">
      <c r="A52" s="62"/>
      <c r="B52" s="118" t="str">
        <f>""&amp;Deflatores!B47</f>
        <v/>
      </c>
      <c r="C52" s="118"/>
      <c r="D52" s="25" t="str">
        <f>""&amp;Deflatores!G47</f>
        <v xml:space="preserve">           .</v>
      </c>
      <c r="E52" s="26">
        <f>Deflatores!J47</f>
        <v>0</v>
      </c>
      <c r="H52" s="27" t="str">
        <f>IF(ISBLANK(Deflatores!H47),"",Deflatores!H47)</f>
        <v/>
      </c>
      <c r="I52" s="27" t="str">
        <f t="shared" si="1"/>
        <v/>
      </c>
      <c r="J52" s="28" t="str">
        <f t="shared" si="2"/>
        <v/>
      </c>
      <c r="M52" s="63"/>
    </row>
    <row r="53" spans="1:13" ht="13.8" x14ac:dyDescent="0.3">
      <c r="A53" s="62"/>
      <c r="B53" s="118" t="str">
        <f>""&amp;Deflatores!B48</f>
        <v/>
      </c>
      <c r="C53" s="118"/>
      <c r="D53" s="25" t="str">
        <f>""&amp;Deflatores!G48</f>
        <v xml:space="preserve">           .</v>
      </c>
      <c r="E53" s="26">
        <f>Deflatores!J48</f>
        <v>0</v>
      </c>
      <c r="H53" s="27" t="str">
        <f>IF(ISBLANK(Deflatores!H48),"",Deflatores!H48)</f>
        <v/>
      </c>
      <c r="I53" s="27" t="str">
        <f t="shared" si="1"/>
        <v/>
      </c>
      <c r="J53" s="28" t="str">
        <f t="shared" si="2"/>
        <v/>
      </c>
      <c r="M53" s="63"/>
    </row>
    <row r="54" spans="1:13" ht="13.8" x14ac:dyDescent="0.3">
      <c r="A54" s="62"/>
      <c r="B54" s="118" t="str">
        <f>""&amp;Deflatores!B49</f>
        <v/>
      </c>
      <c r="C54" s="118"/>
      <c r="D54" s="25" t="str">
        <f>""&amp;Deflatores!G49</f>
        <v xml:space="preserve">           .</v>
      </c>
      <c r="E54" s="26">
        <f>Deflatores!J49</f>
        <v>0</v>
      </c>
      <c r="H54" s="27" t="str">
        <f>IF(ISBLANK(Deflatores!H49),"",Deflatores!H49)</f>
        <v/>
      </c>
      <c r="I54" s="27" t="str">
        <f t="shared" si="1"/>
        <v/>
      </c>
      <c r="J54" s="28" t="str">
        <f t="shared" si="2"/>
        <v/>
      </c>
      <c r="M54" s="63"/>
    </row>
    <row r="55" spans="1:13" ht="13.8" x14ac:dyDescent="0.3">
      <c r="A55" s="62"/>
      <c r="B55" s="118" t="str">
        <f>""&amp;Deflatores!B50</f>
        <v/>
      </c>
      <c r="C55" s="118"/>
      <c r="D55" s="25" t="str">
        <f>""&amp;Deflatores!G50</f>
        <v xml:space="preserve">           .</v>
      </c>
      <c r="E55" s="26">
        <f>Deflatores!J50</f>
        <v>0</v>
      </c>
      <c r="H55" s="27" t="str">
        <f>IF(ISBLANK(Deflatores!H50),"",Deflatores!H50)</f>
        <v/>
      </c>
      <c r="I55" s="27" t="str">
        <f t="shared" si="1"/>
        <v/>
      </c>
      <c r="J55" s="28" t="str">
        <f t="shared" si="2"/>
        <v/>
      </c>
      <c r="M55" s="63"/>
    </row>
    <row r="56" spans="1:13" ht="13.8" x14ac:dyDescent="0.3">
      <c r="A56" s="62"/>
      <c r="B56" s="118" t="str">
        <f>""&amp;Deflatores!B51</f>
        <v/>
      </c>
      <c r="C56" s="118"/>
      <c r="D56" s="25" t="str">
        <f>""&amp;Deflatores!G51</f>
        <v xml:space="preserve">           .</v>
      </c>
      <c r="E56" s="26">
        <f>Deflatores!J51</f>
        <v>0</v>
      </c>
      <c r="H56" s="27" t="str">
        <f>IF(ISBLANK(Deflatores!H51),"",Deflatores!H51)</f>
        <v/>
      </c>
      <c r="I56" s="27" t="str">
        <f t="shared" si="1"/>
        <v/>
      </c>
      <c r="J56" s="28" t="str">
        <f t="shared" si="2"/>
        <v/>
      </c>
      <c r="M56" s="63"/>
    </row>
    <row r="57" spans="1:13" ht="13.8" x14ac:dyDescent="0.3">
      <c r="A57" s="62"/>
      <c r="B57" s="118" t="str">
        <f>""&amp;Deflatores!B52</f>
        <v/>
      </c>
      <c r="C57" s="118"/>
      <c r="D57" s="25" t="str">
        <f>""&amp;Deflatores!G52</f>
        <v xml:space="preserve">           .</v>
      </c>
      <c r="E57" s="26">
        <f>Deflatores!J52</f>
        <v>0</v>
      </c>
      <c r="H57" s="27" t="str">
        <f>IF(ISBLANK(Deflatores!H52),"",Deflatores!H52)</f>
        <v/>
      </c>
      <c r="I57" s="27" t="str">
        <f t="shared" si="1"/>
        <v/>
      </c>
      <c r="J57" s="28" t="str">
        <f t="shared" si="2"/>
        <v/>
      </c>
      <c r="M57" s="63"/>
    </row>
    <row r="58" spans="1:13" ht="13.8" x14ac:dyDescent="0.3">
      <c r="A58" s="62"/>
      <c r="B58" s="118" t="str">
        <f>""&amp;Deflatores!B53</f>
        <v/>
      </c>
      <c r="C58" s="118"/>
      <c r="D58" s="25" t="str">
        <f>""&amp;Deflatores!G53</f>
        <v xml:space="preserve">           .</v>
      </c>
      <c r="E58" s="26">
        <f>Deflatores!J53</f>
        <v>0</v>
      </c>
      <c r="H58" s="27" t="str">
        <f>IF(ISBLANK(Deflatores!H53),"",Deflatores!H53)</f>
        <v/>
      </c>
      <c r="I58" s="27" t="str">
        <f t="shared" si="1"/>
        <v/>
      </c>
      <c r="J58" s="28" t="str">
        <f t="shared" si="2"/>
        <v/>
      </c>
      <c r="M58" s="63"/>
    </row>
    <row r="59" spans="1:13" ht="13.8" x14ac:dyDescent="0.3">
      <c r="A59" s="62"/>
      <c r="B59" s="118" t="str">
        <f>""&amp;Deflatores!B54</f>
        <v/>
      </c>
      <c r="C59" s="118"/>
      <c r="D59" s="25" t="str">
        <f>""&amp;Deflatores!G54</f>
        <v xml:space="preserve">           .</v>
      </c>
      <c r="E59" s="26">
        <f>Deflatores!J54</f>
        <v>0</v>
      </c>
      <c r="H59" s="27" t="str">
        <f>IF(ISBLANK(Deflatores!H54),"",Deflatores!H54)</f>
        <v/>
      </c>
      <c r="I59" s="27" t="str">
        <f t="shared" si="1"/>
        <v/>
      </c>
      <c r="J59" s="28" t="str">
        <f t="shared" si="2"/>
        <v/>
      </c>
      <c r="M59" s="63"/>
    </row>
    <row r="60" spans="1:13" ht="13.8" x14ac:dyDescent="0.3">
      <c r="A60" s="62"/>
      <c r="B60" s="118" t="str">
        <f>""&amp;Deflatores!B55</f>
        <v/>
      </c>
      <c r="C60" s="118"/>
      <c r="D60" s="25" t="str">
        <f>""&amp;Deflatores!G55</f>
        <v xml:space="preserve">           .</v>
      </c>
      <c r="E60" s="26">
        <f>Deflatores!J55</f>
        <v>0</v>
      </c>
      <c r="H60" s="27" t="str">
        <f>IF(ISBLANK(Deflatores!H55),"",Deflatores!H55)</f>
        <v/>
      </c>
      <c r="I60" s="27" t="str">
        <f t="shared" si="1"/>
        <v/>
      </c>
      <c r="J60" s="28" t="str">
        <f t="shared" si="2"/>
        <v/>
      </c>
      <c r="M60" s="63"/>
    </row>
    <row r="61" spans="1:13" ht="13.8" x14ac:dyDescent="0.3">
      <c r="A61" s="62"/>
      <c r="B61" s="118" t="str">
        <f>""&amp;Deflatores!B56</f>
        <v/>
      </c>
      <c r="C61" s="118"/>
      <c r="D61" s="25" t="str">
        <f>""&amp;Deflatores!G56</f>
        <v xml:space="preserve">           .</v>
      </c>
      <c r="E61" s="26">
        <f>Deflatores!J56</f>
        <v>0</v>
      </c>
      <c r="H61" s="27" t="str">
        <f>IF(ISBLANK(Deflatores!H56),"",Deflatores!H56)</f>
        <v/>
      </c>
      <c r="I61" s="27" t="str">
        <f t="shared" si="1"/>
        <v/>
      </c>
      <c r="J61" s="28" t="str">
        <f t="shared" si="2"/>
        <v/>
      </c>
      <c r="M61" s="63"/>
    </row>
    <row r="62" spans="1:13" ht="13.8" x14ac:dyDescent="0.3">
      <c r="A62" s="62"/>
      <c r="B62" s="118" t="str">
        <f>""&amp;Deflatores!B57</f>
        <v/>
      </c>
      <c r="C62" s="118"/>
      <c r="D62" s="25" t="str">
        <f>""&amp;Deflatores!G57</f>
        <v xml:space="preserve">           .</v>
      </c>
      <c r="E62" s="26">
        <f>Deflatores!J57</f>
        <v>0</v>
      </c>
      <c r="H62" s="27" t="str">
        <f>IF(ISBLANK(Deflatores!H57),"",Deflatores!H57)</f>
        <v/>
      </c>
      <c r="I62" s="27" t="str">
        <f t="shared" si="1"/>
        <v/>
      </c>
      <c r="J62" s="28" t="str">
        <f t="shared" si="2"/>
        <v/>
      </c>
      <c r="M62" s="63"/>
    </row>
    <row r="63" spans="1:13" ht="13.8" x14ac:dyDescent="0.3">
      <c r="A63" s="62"/>
      <c r="B63" s="118" t="str">
        <f>""&amp;Deflatores!B58</f>
        <v/>
      </c>
      <c r="C63" s="118"/>
      <c r="D63" s="25" t="str">
        <f>""&amp;Deflatores!G58</f>
        <v xml:space="preserve">           .</v>
      </c>
      <c r="E63" s="26">
        <f>Deflatores!J58</f>
        <v>0</v>
      </c>
      <c r="H63" s="27" t="str">
        <f>IF(ISBLANK(Deflatores!H58),"",Deflatores!H58)</f>
        <v/>
      </c>
      <c r="I63" s="27" t="str">
        <f t="shared" si="1"/>
        <v/>
      </c>
      <c r="J63" s="28" t="str">
        <f t="shared" si="2"/>
        <v/>
      </c>
      <c r="M63" s="63"/>
    </row>
    <row r="64" spans="1:13" ht="13.8" x14ac:dyDescent="0.3">
      <c r="A64" s="62"/>
      <c r="B64" s="118" t="str">
        <f>""&amp;Deflatores!B59</f>
        <v/>
      </c>
      <c r="C64" s="118"/>
      <c r="D64" s="25" t="str">
        <f>""&amp;Deflatores!G59</f>
        <v xml:space="preserve">           .</v>
      </c>
      <c r="E64" s="26">
        <f>Deflatores!J59</f>
        <v>0</v>
      </c>
      <c r="H64" s="27" t="str">
        <f>IF(ISBLANK(Deflatores!H59),"",Deflatores!H59)</f>
        <v/>
      </c>
      <c r="I64" s="27" t="str">
        <f t="shared" si="1"/>
        <v/>
      </c>
      <c r="J64" s="28" t="str">
        <f t="shared" si="2"/>
        <v/>
      </c>
      <c r="M64" s="63"/>
    </row>
    <row r="65" spans="1:13" ht="13.8" x14ac:dyDescent="0.3">
      <c r="A65" s="62"/>
      <c r="B65" s="118" t="str">
        <f>""&amp;Deflatores!B60</f>
        <v/>
      </c>
      <c r="C65" s="118"/>
      <c r="D65" s="25" t="str">
        <f>""&amp;Deflatores!G60</f>
        <v xml:space="preserve">           .</v>
      </c>
      <c r="E65" s="26">
        <f>Deflatores!J60</f>
        <v>0</v>
      </c>
      <c r="H65" s="27" t="str">
        <f>IF(ISBLANK(Deflatores!H60),"",Deflatores!H60)</f>
        <v/>
      </c>
      <c r="I65" s="27" t="str">
        <f t="shared" si="1"/>
        <v/>
      </c>
      <c r="J65" s="28" t="str">
        <f t="shared" si="2"/>
        <v/>
      </c>
      <c r="M65" s="63"/>
    </row>
    <row r="66" spans="1:13" ht="13.8" x14ac:dyDescent="0.3">
      <c r="A66" s="62"/>
      <c r="B66" s="118" t="str">
        <f>""&amp;Deflatores!B61</f>
        <v/>
      </c>
      <c r="C66" s="118"/>
      <c r="D66" s="25" t="str">
        <f>""&amp;Deflatores!G61</f>
        <v xml:space="preserve">           .</v>
      </c>
      <c r="E66" s="26">
        <f>Deflatores!J61</f>
        <v>0</v>
      </c>
      <c r="H66" s="27" t="str">
        <f>IF(ISBLANK(Deflatores!H61),"",Deflatores!H61)</f>
        <v/>
      </c>
      <c r="I66" s="27" t="str">
        <f t="shared" si="1"/>
        <v/>
      </c>
      <c r="J66" s="28" t="str">
        <f t="shared" si="2"/>
        <v/>
      </c>
      <c r="M66" s="63"/>
    </row>
    <row r="67" spans="1:13" ht="13.8" x14ac:dyDescent="0.3">
      <c r="A67" s="62"/>
      <c r="B67" s="118" t="str">
        <f>""&amp;Deflatores!B62</f>
        <v/>
      </c>
      <c r="C67" s="118"/>
      <c r="D67" s="25" t="str">
        <f>""&amp;Deflatores!G62</f>
        <v xml:space="preserve">           .</v>
      </c>
      <c r="E67" s="26">
        <f>Deflatores!J62</f>
        <v>0</v>
      </c>
      <c r="H67" s="27" t="str">
        <f>IF(ISBLANK(Deflatores!H62),"",Deflatores!H62)</f>
        <v/>
      </c>
      <c r="I67" s="27" t="str">
        <f t="shared" si="1"/>
        <v/>
      </c>
      <c r="J67" s="28" t="str">
        <f t="shared" si="2"/>
        <v/>
      </c>
      <c r="M67" s="63"/>
    </row>
    <row r="68" spans="1:13" ht="13.8" x14ac:dyDescent="0.3">
      <c r="A68" s="62"/>
      <c r="B68" s="118" t="str">
        <f>""&amp;Deflatores!B63</f>
        <v/>
      </c>
      <c r="C68" s="118"/>
      <c r="D68" s="25" t="str">
        <f>""&amp;Deflatores!G63</f>
        <v xml:space="preserve">           .</v>
      </c>
      <c r="E68" s="26">
        <f>Deflatores!J63</f>
        <v>0</v>
      </c>
      <c r="H68" s="27" t="str">
        <f>IF(ISBLANK(Deflatores!H63),"",Deflatores!H63)</f>
        <v/>
      </c>
      <c r="I68" s="27" t="str">
        <f t="shared" si="1"/>
        <v/>
      </c>
      <c r="J68" s="28" t="str">
        <f t="shared" si="2"/>
        <v/>
      </c>
      <c r="M68" s="63"/>
    </row>
    <row r="69" spans="1:13" ht="13.8" x14ac:dyDescent="0.3">
      <c r="A69" s="62"/>
      <c r="B69" s="118" t="str">
        <f>""&amp;Deflatores!B64</f>
        <v/>
      </c>
      <c r="C69" s="118"/>
      <c r="D69" s="25" t="str">
        <f>""&amp;Deflatores!G64</f>
        <v xml:space="preserve">           .</v>
      </c>
      <c r="E69" s="26">
        <f>Deflatores!J64</f>
        <v>0</v>
      </c>
      <c r="F69" s="31"/>
      <c r="G69" s="31"/>
      <c r="H69" s="27" t="str">
        <f>IF(ISBLANK(Deflatores!H64),"",Deflatores!H64)</f>
        <v/>
      </c>
      <c r="I69" s="27" t="str">
        <f t="shared" si="1"/>
        <v/>
      </c>
      <c r="J69" s="28" t="str">
        <f t="shared" si="2"/>
        <v/>
      </c>
      <c r="M69" s="63"/>
    </row>
    <row r="70" spans="1:13" ht="13.8" x14ac:dyDescent="0.3">
      <c r="A70" s="65"/>
      <c r="B70" s="66"/>
      <c r="C70" s="67"/>
      <c r="D70" s="68"/>
      <c r="E70" s="69"/>
      <c r="F70" s="70"/>
      <c r="G70" s="70"/>
      <c r="H70" s="71"/>
      <c r="I70" s="72"/>
      <c r="J70" s="67"/>
      <c r="K70" s="67"/>
      <c r="L70" s="67"/>
      <c r="M70" s="73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13E3606A0DF04698E92F9A23D791F5" ma:contentTypeVersion="9" ma:contentTypeDescription="Crie um novo documento." ma:contentTypeScope="" ma:versionID="c28a2e95f4cfa3ab534240d5c17f9785">
  <xsd:schema xmlns:xsd="http://www.w3.org/2001/XMLSchema" xmlns:xs="http://www.w3.org/2001/XMLSchema" xmlns:p="http://schemas.microsoft.com/office/2006/metadata/properties" xmlns:ns2="c0ba526b-1510-4f53-aac6-b685985b05d3" xmlns:ns3="997096cb-774d-448e-b670-4ed33b1f752c" targetNamespace="http://schemas.microsoft.com/office/2006/metadata/properties" ma:root="true" ma:fieldsID="97813fe6b52d2bbed8d8f14caf5fd494" ns2:_="" ns3:_="">
    <xsd:import namespace="c0ba526b-1510-4f53-aac6-b685985b05d3"/>
    <xsd:import namespace="997096cb-774d-448e-b670-4ed33b1f75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a526b-1510-4f53-aac6-b685985b0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096cb-774d-448e-b670-4ed33b1f75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61655A-4946-4EFB-948A-8A770D2FEF14}">
  <ds:schemaRefs>
    <ds:schemaRef ds:uri="http://schemas.microsoft.com/office/2006/metadata/properties"/>
    <ds:schemaRef ds:uri="http://schemas.microsoft.com/office/infopath/2007/PartnerControls"/>
    <ds:schemaRef ds:uri="690a974b-267b-40a0-ba1d-a7db95a3f3f2"/>
    <ds:schemaRef ds:uri="46465ebb-25e2-44df-b623-5e7a76671d78"/>
  </ds:schemaRefs>
</ds:datastoreItem>
</file>

<file path=customXml/itemProps2.xml><?xml version="1.0" encoding="utf-8"?>
<ds:datastoreItem xmlns:ds="http://schemas.openxmlformats.org/officeDocument/2006/customXml" ds:itemID="{E7953C2F-90AD-4B77-B24C-473976712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a526b-1510-4f53-aac6-b685985b05d3"/>
    <ds:schemaRef ds:uri="997096cb-774d-448e-b670-4ed33b1f7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50CC04-14C8-456F-A6FB-3AEF638D5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Luana Alves de Araújo Passos Aguiar</cp:lastModifiedBy>
  <cp:revision/>
  <dcterms:created xsi:type="dcterms:W3CDTF">2015-06-26T19:24:40Z</dcterms:created>
  <dcterms:modified xsi:type="dcterms:W3CDTF">2024-07-12T01:47:26Z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0x0101007413E3606A0DF04698E92F9A23D791F5</vt:lpwstr>
  </property>
  <property fmtid="{D5CDD505-2E9C-101B-9397-08002B2CF9AE}" pid="3" name="MediaServiceImageTags">
    <vt:lpwstr/>
  </property>
</Properties>
</file>