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0. Web Ponto 1.0 e 1.9\"/>
    </mc:Choice>
  </mc:AlternateContent>
  <bookViews>
    <workbookView xWindow="0" yWindow="0" windowWidth="18045" windowHeight="9525" tabRatio="340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K51" i="2" s="1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38" i="4" l="1"/>
  <c r="K42" i="4" s="1"/>
  <c r="K72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Hora
- Data</t>
        </r>
      </text>
    </comment>
    <comment ref="E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Login
- Identificação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Web Ponto (outra fronteira)
- Usuário Web Ponto Client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
- Web Ponto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Identificação
- Setor
- Empresa
- Ação
- Mensagem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Servidor
- Fingerprint Registration
- Web Ponto</t>
        </r>
      </text>
    </comment>
    <comment ref="D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ID Setor
- Status</t>
        </r>
      </text>
    </comment>
    <comment ref="E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Empresa
- Web Ponto
- Usuário Web Ponto Client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ID Setor
- Status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Setor
- Empresa
- Web Ponto
- Usuário Web Ponto Client</t>
        </r>
      </text>
    </comment>
    <comment ref="D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Data de Registro
- Retorno do Envio</t>
        </r>
      </text>
    </comment>
    <comment ref="E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</t>
        </r>
      </text>
    </comment>
    <comment ref="D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Data de Registro
- Retorno do Envio
- Ação</t>
        </r>
      </text>
    </comment>
    <comment ref="E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Web Ponto
- Usuário
-  Frequência</t>
        </r>
      </text>
    </comment>
    <comment ref="D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Apagar Registros
- Log
- Ação
- Mensagem</t>
        </r>
      </text>
    </comment>
    <comment ref="E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Web Ponto
- Usuário
-  Frequência</t>
        </r>
      </text>
    </comment>
    <comment ref="D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</t>
        </r>
      </text>
    </comment>
    <comment ref="E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</t>
        </r>
      </text>
    </comment>
    <comment ref="D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
- Ação</t>
        </r>
      </text>
    </comment>
    <comment ref="E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
- Fingerprint
- Servidor
- Usuário</t>
        </r>
      </text>
    </comment>
    <comment ref="D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Digital
- Data
- Hora
- Mensagem do Servidor
- Registro
- Nome
- Senha
- Fingerprint
- Empresa
- Setor
- Ação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Setor
- Web Ponto Client Biometria
- Fingerprint
- Servidor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<sst xmlns="http://schemas.openxmlformats.org/spreadsheetml/2006/main" count="317" uniqueCount="196">
  <si>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</si>
  <si>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</si>
  <si>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</si>
  <si>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</si>
  <si>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</si>
  <si>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</si>
  <si>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</si>
  <si>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</si>
  <si>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</si>
  <si>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</si>
  <si>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</si>
  <si>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</si>
  <si>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</si>
  <si>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</si>
  <si>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</si>
  <si>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</si>
  <si>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</si>
  <si>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</si>
  <si>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</si>
  <si>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</si>
  <si>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</si>
  <si>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</si>
  <si>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</si>
  <si>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</si>
  <si>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</si>
  <si>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</si>
  <si>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</si>
  <si>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</si>
  <si>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</si>
  <si>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</si>
  <si>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</si>
  <si>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</si>
  <si>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</si>
  <si>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</si>
  <si>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</si>
  <si>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</si>
  <si>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</si>
  <si>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</si>
  <si>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</si>
  <si>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</si>
  <si>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</si>
  <si>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</si>
  <si>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</si>
  <si>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</si>
  <si>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</si>
  <si>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</si>
  <si>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</si>
  <si>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</si>
  <si>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</si>
  <si>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</si>
  <si>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</si>
  <si>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</si>
  <si>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</si>
  <si>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</si>
  <si>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</si>
  <si>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</si>
  <si>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</si>
  <si>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</si>
  <si>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</si>
  <si>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</si>
  <si>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</si>
  <si>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</si>
  <si>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</si>
  <si>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</si>
  <si>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</si>
  <si>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</si>
  <si>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</si>
  <si>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</si>
  <si>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</si>
  <si>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</si>
  <si>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</si>
  <si>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</si>
  <si>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</si>
  <si>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</si>
  <si>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</si>
  <si>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</si>
  <si>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</si>
  <si>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</si>
  <si>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</si>
  <si>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</si>
  <si>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</si>
  <si>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</si>
  <si>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</si>
  <si>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</si>
  <si>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</si>
  <si>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</si>
  <si>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</si>
  <si>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</si>
  <si>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</si>
  <si>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</si>
  <si>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</si>
  <si>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</si>
  <si>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</si>
  <si>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</si>
  <si>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</si>
  <si>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</si>
  <si>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</si>
  <si>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</si>
  <si>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</si>
  <si>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</si>
  <si>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</si>
  <si>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</si>
  <si>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</si>
  <si>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</si>
  <si>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</si>
  <si>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</si>
  <si>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</si>
  <si>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</si>
  <si>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</si>
  <si>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</si>
  <si>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</si>
  <si>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</si>
  <si>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</si>
  <si>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</si>
  <si>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</si>
  <si>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</si>
  <si>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</si>
  <si>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</si>
  <si>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</si>
  <si>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</si>
  <si>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</si>
  <si>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</si>
  <si>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</si>
  <si>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</si>
  <si>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</si>
  <si>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</si>
  <si>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</si>
  <si>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</si>
  <si>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</si>
  <si>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</si>
  <si>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</si>
  <si>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</si>
  <si>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</si>
  <si>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</si>
  <si>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</si>
  <si>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</si>
  <si>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</si>
  <si>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</si>
  <si>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</si>
  <si>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</si>
  <si>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</si>
  <si>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</si>
  <si>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</si>
  <si>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</si>
  <si>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</si>
  <si>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</si>
  <si>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</si>
  <si>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</si>
  <si>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</si>
  <si>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</si>
  <si>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</si>
  <si>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</si>
  <si>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</si>
  <si>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</si>
  <si>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</si>
  <si>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</si>
  <si>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</si>
  <si>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</si>
  <si>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</si>
  <si>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</si>
  <si>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</si>
  <si>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</si>
  <si>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</si>
  <si>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</si>
  <si>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</si>
  <si>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</si>
  <si>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</si>
  <si>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</si>
  <si>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</si>
  <si>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</si>
  <si>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</si>
  <si>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</si>
  <si>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</si>
  <si>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Sistema Biométrico de Ponto Eletrônico</t>
  </si>
  <si>
    <t>Detalhada (IFPUG)</t>
  </si>
  <si>
    <t xml:space="preserve">1 - Identificar e mensurar as funções de dados e de transação;
2 - Identificar e mensurar as fronteiras da aplicação;
3- Web Ponto Client Biometria (sistema clinete de registro de ponto eletrônico manual e com captura de biometria).
</t>
  </si>
  <si>
    <t>Web Ponto Client Biometria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</si>
  <si>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Web Ponto Client Biometria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</si>
  <si>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Home</t>
  </si>
  <si>
    <t>Relógio e Data</t>
  </si>
  <si>
    <t>Manutenção de Servidores - Localizar usuário</t>
  </si>
  <si>
    <t xml:space="preserve"> </t>
  </si>
  <si>
    <t>Manutenção da Digital</t>
  </si>
  <si>
    <t>Manutenção da Digital - Capturar Biometria</t>
  </si>
  <si>
    <t>Manutenção da Digital - Carregar Servidores</t>
  </si>
  <si>
    <t>Configurar Órgão e Setor</t>
  </si>
  <si>
    <t>Configurar Órgão e Setor - Carregar</t>
  </si>
  <si>
    <t>Log de Registros Locais</t>
  </si>
  <si>
    <t>Log de Registros Locais - Enviar Registros</t>
  </si>
  <si>
    <t>Log de Registros Locais - Apagar Registros</t>
  </si>
  <si>
    <t>Registrar Frequência (Ponto)</t>
  </si>
  <si>
    <t>Registrar Frequência Manual</t>
  </si>
  <si>
    <t>Registrar Frequência Biométrica</t>
  </si>
  <si>
    <t xml:space="preserve">-Manual completo instalação Sistema Webponto 2020 (1);
- Telas do ClientBiometria.docx
</t>
  </si>
  <si>
    <t>Web Ponto Web - Parâmetros e Regras</t>
  </si>
  <si>
    <t>Fronteira externa com o Web Ponto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</si>
</sst>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0.47499999999999998</c:v>
                </c:pt>
                <c:pt idx="1">
                  <c:v>0.05</c:v>
                </c:pt>
                <c:pt idx="2">
                  <c:v>0</c:v>
                </c:pt>
                <c:pt idx="3">
                  <c:v>0.35</c:v>
                </c:pt>
                <c:pt idx="4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A11" sqref="A11:V1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.75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2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130" t="s">
        <v>1</v>
      </c>
      <c r="B4" s="130"/>
      <c r="C4" s="130"/>
      <c r="D4" s="130"/>
      <c r="E4" s="130"/>
      <c r="F4" s="131" t="s">
        <v>170</v>
      </c>
      <c r="G4" s="131"/>
      <c r="H4" s="131"/>
      <c r="I4" s="131"/>
      <c r="J4" s="131"/>
      <c r="K4" s="131"/>
      <c r="L4" s="131"/>
      <c r="M4" s="131"/>
      <c r="N4" s="131"/>
      <c r="O4" s="135" t="s">
        <v>2</v>
      </c>
      <c r="P4" s="135"/>
      <c r="Q4" s="133">
        <f>Funções!L4</f>
        <v>80</v>
      </c>
      <c r="R4" s="133"/>
      <c r="S4" s="133"/>
      <c r="T4" s="133"/>
      <c r="U4" s="133"/>
      <c r="V4" s="133"/>
    </row>
    <row r="5" spans="1:22" x14ac:dyDescent="0.25">
      <c r="A5" s="130" t="s">
        <v>3</v>
      </c>
      <c r="B5" s="130"/>
      <c r="C5" s="130"/>
      <c r="D5" s="130"/>
      <c r="E5" s="130"/>
      <c r="F5" s="131" t="s">
        <v>176</v>
      </c>
      <c r="G5" s="131"/>
      <c r="H5" s="131"/>
      <c r="I5" s="131"/>
      <c r="J5" s="131"/>
      <c r="K5" s="131"/>
      <c r="L5" s="131"/>
      <c r="M5" s="131"/>
      <c r="N5" s="131"/>
      <c r="O5" s="132" t="s">
        <v>6</v>
      </c>
      <c r="P5" s="132"/>
      <c r="Q5" s="133">
        <f>Funções!L5</f>
        <v>80</v>
      </c>
      <c r="R5" s="133"/>
      <c r="S5" s="133"/>
      <c r="T5" s="133"/>
      <c r="U5" s="133"/>
      <c r="V5" s="133"/>
    </row>
    <row r="6" spans="1:22" x14ac:dyDescent="0.25">
      <c r="A6" s="130" t="s">
        <v>5</v>
      </c>
      <c r="B6" s="130"/>
      <c r="C6" s="130"/>
      <c r="D6" s="130"/>
      <c r="E6" s="130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32" t="s">
        <v>4</v>
      </c>
      <c r="P6" s="132"/>
      <c r="Q6" s="133">
        <f>Funções!L6</f>
        <v>80</v>
      </c>
      <c r="R6" s="133"/>
      <c r="S6" s="133"/>
      <c r="T6" s="133"/>
      <c r="U6" s="133"/>
      <c r="V6" s="133"/>
    </row>
    <row r="7" spans="1:22" ht="12.75" x14ac:dyDescent="0.2">
      <c r="A7" s="130" t="s">
        <v>7</v>
      </c>
      <c r="B7" s="130"/>
      <c r="C7" s="130"/>
      <c r="D7" s="130"/>
      <c r="E7" s="130"/>
      <c r="F7" s="131" t="s">
        <v>174</v>
      </c>
      <c r="G7" s="131"/>
      <c r="H7" s="131"/>
      <c r="I7" s="131"/>
      <c r="J7" s="131"/>
      <c r="K7" s="131"/>
      <c r="L7" s="131"/>
      <c r="M7" s="131"/>
      <c r="N7" s="131"/>
      <c r="O7" s="132" t="s">
        <v>8</v>
      </c>
      <c r="P7" s="132"/>
      <c r="Q7" s="132"/>
      <c r="R7" s="137"/>
      <c r="S7" s="137"/>
      <c r="T7" s="137"/>
      <c r="U7" s="137"/>
      <c r="V7" s="137"/>
    </row>
    <row r="8" spans="1:22" ht="12.75" x14ac:dyDescent="0.2">
      <c r="A8" s="130" t="s">
        <v>9</v>
      </c>
      <c r="B8" s="130"/>
      <c r="C8" s="130"/>
      <c r="D8" s="130"/>
      <c r="E8" s="130"/>
      <c r="F8" s="131" t="s">
        <v>173</v>
      </c>
      <c r="G8" s="131"/>
      <c r="H8" s="131"/>
      <c r="I8" s="131"/>
      <c r="J8" s="131"/>
      <c r="K8" s="131"/>
      <c r="L8" s="131"/>
      <c r="M8" s="131"/>
      <c r="N8" s="131"/>
      <c r="O8" s="132" t="s">
        <v>10</v>
      </c>
      <c r="P8" s="132"/>
      <c r="Q8" s="132"/>
      <c r="R8" s="137" t="s">
        <v>172</v>
      </c>
      <c r="S8" s="137"/>
      <c r="T8" s="137"/>
      <c r="U8" s="137"/>
      <c r="V8" s="137"/>
    </row>
    <row r="9" spans="1:22" x14ac:dyDescent="0.25">
      <c r="A9" s="130" t="s">
        <v>11</v>
      </c>
      <c r="B9" s="130"/>
      <c r="C9" s="130"/>
      <c r="D9" s="130"/>
      <c r="E9" s="130"/>
      <c r="F9" s="136" t="s">
        <v>171</v>
      </c>
      <c r="G9" s="136"/>
      <c r="H9" s="136"/>
      <c r="I9" s="136"/>
      <c r="J9" s="136"/>
      <c r="K9" s="136"/>
      <c r="L9" s="136"/>
      <c r="M9" s="136"/>
      <c r="N9" s="136"/>
      <c r="O9" s="138" t="s">
        <v>12</v>
      </c>
      <c r="P9" s="138"/>
      <c r="Q9" s="138"/>
      <c r="R9" s="139">
        <v>44742</v>
      </c>
      <c r="S9" s="139"/>
      <c r="T9" s="139"/>
      <c r="U9" s="139"/>
      <c r="V9" s="139"/>
    </row>
    <row r="10" spans="1:22" x14ac:dyDescent="0.25">
      <c r="A10" s="130" t="s">
        <v>13</v>
      </c>
      <c r="B10" s="130"/>
      <c r="C10" s="130"/>
      <c r="D10" s="130"/>
      <c r="E10" s="130"/>
      <c r="F10" s="136"/>
      <c r="G10" s="136"/>
      <c r="H10" s="136"/>
      <c r="I10" s="136"/>
      <c r="J10" s="136"/>
      <c r="K10" s="136"/>
      <c r="L10" s="136"/>
      <c r="M10" s="136"/>
      <c r="N10" s="136"/>
      <c r="O10" s="138" t="s">
        <v>14</v>
      </c>
      <c r="P10" s="138"/>
      <c r="Q10" s="138"/>
      <c r="R10" s="139">
        <v>45271</v>
      </c>
      <c r="S10" s="139"/>
      <c r="T10" s="139"/>
      <c r="U10" s="139"/>
      <c r="V10" s="139"/>
    </row>
    <row r="11" spans="1:22" x14ac:dyDescent="0.2">
      <c r="A11" s="140" t="s">
        <v>15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75" x14ac:dyDescent="0.2">
      <c r="A12" s="141" t="s">
        <v>177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75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75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">
      <c r="A16" s="140" t="s">
        <v>16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75" x14ac:dyDescent="0.2">
      <c r="A17" s="141" t="s">
        <v>175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75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39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45.5" customHeight="1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">
      <c r="A21" s="140" t="s">
        <v>17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75" x14ac:dyDescent="0.2">
      <c r="A22" s="142" t="s">
        <v>193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75" x14ac:dyDescent="0.2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75" x14ac:dyDescent="0.2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thickBot="1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thickBot="1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thickBot="1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75" x14ac:dyDescent="0.2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75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75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75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75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75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75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75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75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75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7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7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7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7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7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2.7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tabSelected="1" zoomScale="130" zoomScaleNormal="130" zoomScaleSheetLayoutView="100" workbookViewId="0">
      <pane ySplit="7" topLeftCell="A8" activePane="bottomLeft" state="frozen"/>
      <selection activeCell="B11" sqref="B11"/>
      <selection pane="bottomLeft" activeCell="O30" sqref="O30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Web Ponto Client Biometria</v>
      </c>
      <c r="B4" s="150" t="str">
        <f>Contagem!A8&amp;" : "&amp;Contagem!F8</f>
        <v>Projeto : Sistema Biométrico de Ponto Eletrônico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80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80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80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178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179</v>
      </c>
      <c r="B10" s="4" t="s">
        <v>103</v>
      </c>
      <c r="C10" s="4" t="s">
        <v>41</v>
      </c>
      <c r="D10" s="7">
        <v>2</v>
      </c>
      <c r="E10" s="7">
        <v>3</v>
      </c>
      <c r="F10" s="8" t="str">
        <f t="shared" ref="F10" si="6">IF(ISBLANK(B10),"",IF(I10="L","Baixa",IF(I10="A","Média",IF(I10="","","Alta"))))</f>
        <v>Baixa</v>
      </c>
      <c r="G10" s="7" t="str">
        <f t="shared" ref="G10" si="7">CONCATENATE(B10,I10)</f>
        <v>SEL</v>
      </c>
      <c r="H10" s="5">
        <f t="shared" ref="H10" si="8">IF(ISBLANK(B10),"",IF(B10="ALI",IF(I10="L",7,IF(I10="A",10,15)),IF(B10="AIE",IF(I10="L",5,IF(I10="A",7,10)),IF(B10="SE",IF(I10="L",4,IF(I10="A",5,7)),IF(OR(B10="EE",B10="CE"),IF(I10="L",3,IF(I10="A",4,6)),0)))))</f>
        <v>4</v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L</v>
      </c>
      <c r="J10" s="7" t="str">
        <f t="shared" ref="J10" si="10">CONCATENATE(B10,C10)</f>
        <v>SEI</v>
      </c>
      <c r="K10" s="9">
        <f t="shared" ref="K10" si="11">IF(OR(H10="",H10=0),L10,H10)</f>
        <v>4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4</v>
      </c>
      <c r="M10" s="10"/>
      <c r="N10" s="10"/>
      <c r="O10" s="6"/>
    </row>
    <row r="11" spans="1:15" x14ac:dyDescent="0.2">
      <c r="A11" s="126"/>
      <c r="B11" s="4"/>
      <c r="C11" s="4"/>
      <c r="D11" s="7"/>
      <c r="E11" s="7"/>
      <c r="F11" s="8" t="str">
        <f t="shared" si="0"/>
        <v/>
      </c>
      <c r="G11" s="7" t="str">
        <f t="shared" si="1"/>
        <v/>
      </c>
      <c r="H11" s="5" t="str">
        <f t="shared" si="2"/>
        <v/>
      </c>
      <c r="I11" s="122" t="str">
        <f t="shared" si="3"/>
        <v/>
      </c>
      <c r="J11" s="7" t="str">
        <f t="shared" si="4"/>
        <v/>
      </c>
      <c r="K11" s="9" t="str">
        <f t="shared" si="5"/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26" t="s">
        <v>180</v>
      </c>
      <c r="B12" s="4" t="s">
        <v>99</v>
      </c>
      <c r="C12" s="4" t="s">
        <v>41</v>
      </c>
      <c r="D12" s="7">
        <v>5</v>
      </c>
      <c r="E12" s="7">
        <v>2</v>
      </c>
      <c r="F12" s="8" t="str">
        <f t="shared" ref="F12" si="12">IF(ISBLANK(B12),"",IF(I12="L","Baixa",IF(I12="A","Média",IF(I12="","","Alta"))))</f>
        <v>Baixa</v>
      </c>
      <c r="G12" s="7" t="str">
        <f t="shared" ref="G12" si="13">CONCATENATE(B12,I12)</f>
        <v>AIEL</v>
      </c>
      <c r="H12" s="5">
        <f t="shared" ref="H12" si="14">IF(ISBLANK(B12),"",IF(B12="ALI",IF(I12="L",7,IF(I12="A",10,15)),IF(B12="AIE",IF(I12="L",5,IF(I12="A",7,10)),IF(B12="SE",IF(I12="L",4,IF(I12="A",5,7)),IF(OR(B12="EE",B12="CE"),IF(I12="L",3,IF(I12="A",4,6)),0)))))</f>
        <v>5</v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7" t="str">
        <f t="shared" ref="J12" si="16">CONCATENATE(B12,C12)</f>
        <v>AIEI</v>
      </c>
      <c r="K12" s="9">
        <f t="shared" ref="K12" si="17">IF(OR(H12="",H12=0),L12,H12)</f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 x14ac:dyDescent="0.2">
      <c r="A13" s="126"/>
      <c r="B13" s="4"/>
      <c r="C13" s="4"/>
      <c r="D13" s="7"/>
      <c r="E13" s="7" t="s">
        <v>181</v>
      </c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182</v>
      </c>
      <c r="B14" s="4" t="s">
        <v>98</v>
      </c>
      <c r="C14" s="4" t="s">
        <v>41</v>
      </c>
      <c r="D14" s="7">
        <v>4</v>
      </c>
      <c r="E14" s="7">
        <v>4</v>
      </c>
      <c r="F14" s="8" t="str">
        <f t="shared" si="0"/>
        <v>Baixa</v>
      </c>
      <c r="G14" s="7" t="str">
        <f t="shared" si="1"/>
        <v>ALIL</v>
      </c>
      <c r="H14" s="5">
        <f t="shared" si="2"/>
        <v>7</v>
      </c>
      <c r="I14" s="122" t="str">
        <f t="shared" si="3"/>
        <v>L</v>
      </c>
      <c r="J14" s="7" t="str">
        <f t="shared" si="4"/>
        <v>ALII</v>
      </c>
      <c r="K14" s="9">
        <f t="shared" si="5"/>
        <v>7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"/>
      <c r="N14" s="10"/>
      <c r="O14" s="6"/>
    </row>
    <row r="15" spans="1:15" x14ac:dyDescent="0.2">
      <c r="A15" s="126" t="s">
        <v>183</v>
      </c>
      <c r="B15" s="4" t="s">
        <v>100</v>
      </c>
      <c r="C15" s="4" t="s">
        <v>41</v>
      </c>
      <c r="D15" s="7">
        <v>6</v>
      </c>
      <c r="E15" s="7">
        <v>5</v>
      </c>
      <c r="F15" s="8" t="str">
        <f t="shared" si="0"/>
        <v>Alta</v>
      </c>
      <c r="G15" s="7" t="str">
        <f t="shared" si="1"/>
        <v>EEH</v>
      </c>
      <c r="H15" s="5">
        <f t="shared" si="2"/>
        <v>6</v>
      </c>
      <c r="I15" s="122" t="str">
        <f t="shared" si="3"/>
        <v>H</v>
      </c>
      <c r="J15" s="7" t="str">
        <f t="shared" si="4"/>
        <v>EEI</v>
      </c>
      <c r="K15" s="9">
        <f t="shared" si="5"/>
        <v>6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6</v>
      </c>
      <c r="M15" s="10"/>
      <c r="N15" s="10"/>
      <c r="O15" s="6"/>
    </row>
    <row r="16" spans="1:15" x14ac:dyDescent="0.2">
      <c r="A16" s="126" t="s">
        <v>184</v>
      </c>
      <c r="B16" s="4" t="s">
        <v>100</v>
      </c>
      <c r="C16" s="4" t="s">
        <v>41</v>
      </c>
      <c r="D16" s="7">
        <v>6</v>
      </c>
      <c r="E16" s="7">
        <v>5</v>
      </c>
      <c r="F16" s="8" t="str">
        <f t="shared" ref="F16:F19" si="18">IF(ISBLANK(B16),"",IF(I16="L","Baixa",IF(I16="A","Média",IF(I16="","","Alta"))))</f>
        <v>Alta</v>
      </c>
      <c r="G16" s="7" t="str">
        <f t="shared" ref="G16:G19" si="19">CONCATENATE(B16,I16)</f>
        <v>EEH</v>
      </c>
      <c r="H16" s="5">
        <f t="shared" ref="H16:H19" si="20">IF(ISBLANK(B16),"",IF(B16="ALI",IF(I16="L",7,IF(I16="A",10,15)),IF(B16="AIE",IF(I16="L",5,IF(I16="A",7,10)),IF(B16="SE",IF(I16="L",4,IF(I16="A",5,7)),IF(OR(B16="EE",B16="CE"),IF(I16="L",3,IF(I16="A",4,6)),0)))))</f>
        <v>6</v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H</v>
      </c>
      <c r="J16" s="7" t="str">
        <f t="shared" ref="J16:J19" si="22">CONCATENATE(B16,C16)</f>
        <v>EEI</v>
      </c>
      <c r="K16" s="9">
        <f t="shared" ref="K16:K19" si="23">IF(OR(H16="",H16=0),L16,H16)</f>
        <v>6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6</v>
      </c>
      <c r="M16" s="10"/>
      <c r="N16" s="10"/>
      <c r="O16" s="6"/>
    </row>
    <row r="17" spans="1:15" x14ac:dyDescent="0.2">
      <c r="A17" s="126"/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185</v>
      </c>
      <c r="B18" s="4" t="s">
        <v>98</v>
      </c>
      <c r="C18" s="4" t="s">
        <v>41</v>
      </c>
      <c r="D18" s="7">
        <v>4</v>
      </c>
      <c r="E18" s="7">
        <v>5</v>
      </c>
      <c r="F18" s="8" t="str">
        <f t="shared" ref="F18" si="24">IF(ISBLANK(B18),"",IF(I18="L","Baixa",IF(I18="A","Média",IF(I18="","","Alta"))))</f>
        <v>Baixa</v>
      </c>
      <c r="G18" s="7" t="str">
        <f t="shared" ref="G18" si="25">CONCATENATE(B18,I18)</f>
        <v>ALIL</v>
      </c>
      <c r="H18" s="5">
        <f t="shared" ref="H18" si="26">IF(ISBLANK(B18),"",IF(B18="ALI",IF(I18="L",7,IF(I18="A",10,15)),IF(B18="AIE",IF(I18="L",5,IF(I18="A",7,10)),IF(B18="SE",IF(I18="L",4,IF(I18="A",5,7)),IF(OR(B18="EE",B18="CE"),IF(I18="L",3,IF(I18="A",4,6)),0)))))</f>
        <v>7</v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28">CONCATENATE(B18,C18)</f>
        <v>ALII</v>
      </c>
      <c r="K18" s="9">
        <f t="shared" ref="K18" si="29">IF(OR(H18="",H18=0),L18,H18)</f>
        <v>7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10"/>
      <c r="N18" s="10"/>
      <c r="O18" s="6"/>
    </row>
    <row r="19" spans="1:15" x14ac:dyDescent="0.2">
      <c r="A19" s="126" t="s">
        <v>186</v>
      </c>
      <c r="B19" s="4" t="s">
        <v>100</v>
      </c>
      <c r="C19" s="4" t="s">
        <v>41</v>
      </c>
      <c r="D19" s="7">
        <v>4</v>
      </c>
      <c r="E19" s="7">
        <v>5</v>
      </c>
      <c r="F19" s="8" t="str">
        <f t="shared" si="18"/>
        <v>Média</v>
      </c>
      <c r="G19" s="7" t="str">
        <f t="shared" si="19"/>
        <v>EEA</v>
      </c>
      <c r="H19" s="5">
        <f t="shared" si="20"/>
        <v>4</v>
      </c>
      <c r="I19" s="122" t="str">
        <f t="shared" si="21"/>
        <v>A</v>
      </c>
      <c r="J19" s="7" t="str">
        <f t="shared" si="22"/>
        <v>EEI</v>
      </c>
      <c r="K19" s="9">
        <f t="shared" si="23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23" si="30">IF(ISBLANK(B20),"",IF(I20="L","Baixa",IF(I20="A","Média",IF(I20="","","Alta"))))</f>
        <v/>
      </c>
      <c r="G20" s="7" t="str">
        <f t="shared" ref="G20:G23" si="31">CONCATENATE(B20,I20)</f>
        <v/>
      </c>
      <c r="H20" s="5" t="str">
        <f t="shared" ref="H20:H23" si="32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23" si="34">CONCATENATE(B20,C20)</f>
        <v/>
      </c>
      <c r="K20" s="9" t="str">
        <f t="shared" ref="K20:K23" si="35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187</v>
      </c>
      <c r="B21" s="4" t="s">
        <v>98</v>
      </c>
      <c r="C21" s="4" t="s">
        <v>41</v>
      </c>
      <c r="D21" s="7">
        <v>4</v>
      </c>
      <c r="E21" s="7">
        <v>1</v>
      </c>
      <c r="F21" s="8" t="str">
        <f t="shared" si="30"/>
        <v>Baixa</v>
      </c>
      <c r="G21" s="7" t="str">
        <f t="shared" si="31"/>
        <v>ALIL</v>
      </c>
      <c r="H21" s="5">
        <f t="shared" si="32"/>
        <v>7</v>
      </c>
      <c r="I21" s="122" t="str">
        <f t="shared" si="33"/>
        <v>L</v>
      </c>
      <c r="J21" s="7" t="str">
        <f t="shared" si="34"/>
        <v>ALII</v>
      </c>
      <c r="K21" s="9">
        <f t="shared" si="35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">
      <c r="A22" s="126" t="s">
        <v>188</v>
      </c>
      <c r="B22" s="4" t="s">
        <v>100</v>
      </c>
      <c r="C22" s="4" t="s">
        <v>41</v>
      </c>
      <c r="D22" s="7">
        <v>5</v>
      </c>
      <c r="E22" s="7">
        <v>4</v>
      </c>
      <c r="F22" s="8" t="str">
        <f t="shared" si="30"/>
        <v>Alta</v>
      </c>
      <c r="G22" s="7" t="str">
        <f t="shared" si="31"/>
        <v>EEH</v>
      </c>
      <c r="H22" s="5">
        <f t="shared" si="32"/>
        <v>6</v>
      </c>
      <c r="I22" s="122" t="str">
        <f t="shared" si="33"/>
        <v>H</v>
      </c>
      <c r="J22" s="7" t="str">
        <f t="shared" si="34"/>
        <v>EEI</v>
      </c>
      <c r="K22" s="9">
        <f t="shared" si="35"/>
        <v>6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6</v>
      </c>
      <c r="M22" s="10"/>
      <c r="N22" s="10"/>
      <c r="O22" s="6"/>
    </row>
    <row r="23" spans="1:15" x14ac:dyDescent="0.2">
      <c r="A23" s="126" t="s">
        <v>189</v>
      </c>
      <c r="B23" s="4" t="s">
        <v>100</v>
      </c>
      <c r="C23" s="4" t="s">
        <v>41</v>
      </c>
      <c r="D23" s="7"/>
      <c r="E23" s="7">
        <v>4</v>
      </c>
      <c r="F23" s="8" t="str">
        <f t="shared" si="30"/>
        <v>Média</v>
      </c>
      <c r="G23" s="7" t="str">
        <f t="shared" si="31"/>
        <v>EEA</v>
      </c>
      <c r="H23" s="5">
        <f t="shared" si="32"/>
        <v>4</v>
      </c>
      <c r="I23" s="122" t="str">
        <f t="shared" si="33"/>
        <v>A</v>
      </c>
      <c r="J23" s="7" t="str">
        <f t="shared" si="34"/>
        <v>EEI</v>
      </c>
      <c r="K23" s="9">
        <f t="shared" si="35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190</v>
      </c>
      <c r="B25" s="4" t="s">
        <v>98</v>
      </c>
      <c r="C25" s="4" t="s">
        <v>41</v>
      </c>
      <c r="D25" s="7">
        <v>10</v>
      </c>
      <c r="E25" s="7">
        <v>3</v>
      </c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22" t="str">
        <f t="shared" si="3"/>
        <v>L</v>
      </c>
      <c r="J25" s="7" t="str">
        <f t="shared" si="4"/>
        <v>ALII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 t="s">
        <v>191</v>
      </c>
      <c r="B26" s="4" t="s">
        <v>100</v>
      </c>
      <c r="C26" s="4" t="s">
        <v>41</v>
      </c>
      <c r="D26" s="7">
        <v>11</v>
      </c>
      <c r="E26" s="7">
        <v>6</v>
      </c>
      <c r="F26" s="8" t="str">
        <f t="shared" si="0"/>
        <v>Alta</v>
      </c>
      <c r="G26" s="7" t="str">
        <f t="shared" si="1"/>
        <v>EEH</v>
      </c>
      <c r="H26" s="5">
        <f t="shared" si="2"/>
        <v>6</v>
      </c>
      <c r="I26" s="122" t="str">
        <f t="shared" si="3"/>
        <v>H</v>
      </c>
      <c r="J26" s="7" t="str">
        <f t="shared" si="4"/>
        <v>EEI</v>
      </c>
      <c r="K26" s="9">
        <f t="shared" si="5"/>
        <v>6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6</v>
      </c>
      <c r="M26" s="10"/>
      <c r="N26" s="10"/>
      <c r="O26" s="6"/>
    </row>
    <row r="27" spans="1:15" x14ac:dyDescent="0.2">
      <c r="A27" s="126" t="s">
        <v>192</v>
      </c>
      <c r="B27" s="4" t="s">
        <v>100</v>
      </c>
      <c r="C27" s="4" t="s">
        <v>41</v>
      </c>
      <c r="D27" s="7">
        <v>11</v>
      </c>
      <c r="E27" s="7">
        <v>6</v>
      </c>
      <c r="F27" s="8" t="str">
        <f t="shared" si="0"/>
        <v>Alta</v>
      </c>
      <c r="G27" s="7" t="str">
        <f t="shared" si="1"/>
        <v>EEH</v>
      </c>
      <c r="H27" s="5">
        <f t="shared" si="2"/>
        <v>6</v>
      </c>
      <c r="I27" s="122" t="str">
        <f t="shared" si="3"/>
        <v>H</v>
      </c>
      <c r="J27" s="7" t="str">
        <f t="shared" si="4"/>
        <v>EEI</v>
      </c>
      <c r="K27" s="9">
        <f t="shared" si="5"/>
        <v>6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194</v>
      </c>
      <c r="B29" s="4" t="s">
        <v>99</v>
      </c>
      <c r="C29" s="4" t="s">
        <v>41</v>
      </c>
      <c r="D29" s="7">
        <v>1</v>
      </c>
      <c r="E29" s="7">
        <v>1</v>
      </c>
      <c r="F29" s="8" t="str">
        <f t="shared" ref="F29:F31" si="36">IF(ISBLANK(B29),"",IF(I29="L","Baixa",IF(I29="A","Média",IF(I29="","","Alta"))))</f>
        <v>Baixa</v>
      </c>
      <c r="G29" s="7" t="str">
        <f t="shared" ref="G29:G31" si="37">CONCATENATE(B29,I29)</f>
        <v>AIEL</v>
      </c>
      <c r="H29" s="5">
        <f t="shared" ref="H29:H31" si="38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1" si="40">CONCATENATE(B29,C29)</f>
        <v>AIEI</v>
      </c>
      <c r="K29" s="9">
        <f t="shared" ref="K29:K31" si="41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 t="s">
        <v>195</v>
      </c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36"/>
        <v/>
      </c>
      <c r="G31" s="7" t="str">
        <f t="shared" si="37"/>
        <v/>
      </c>
      <c r="H31" s="5" t="str">
        <f t="shared" si="38"/>
        <v/>
      </c>
      <c r="I31" s="122" t="str">
        <f t="shared" si="39"/>
        <v/>
      </c>
      <c r="J31" s="7" t="str">
        <f t="shared" si="40"/>
        <v/>
      </c>
      <c r="K31" s="9" t="str">
        <f t="shared" si="41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ref="F53" si="54">IF(ISBLANK(B53),"",IF(I53="L","Baixa",IF(I53="A","Média",IF(I53="","","Alta"))))</f>
        <v/>
      </c>
      <c r="G53" s="7" t="str">
        <f t="shared" ref="G53" si="55">CONCATENATE(B53,I53)</f>
        <v/>
      </c>
      <c r="H53" s="5" t="str">
        <f t="shared" ref="H53" si="56">IF(ISBLANK(B53),"",IF(B53="ALI",IF(I53="L",7,IF(I53="A",10,15)),IF(B53="AIE",IF(I53="L",5,IF(I53="A",7,10)),IF(B53="SE",IF(I53="L",4,IF(I53="A",5,7)),IF(OR(B53="EE",B53="CE"),IF(I53="L",3,IF(I53="A",4,6)),0)))))</f>
        <v/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7" t="str">
        <f t="shared" ref="J53" si="58">CONCATENATE(B53,C53)</f>
        <v/>
      </c>
      <c r="K53" s="9" t="str">
        <f t="shared" ref="K53" si="59">IF(OR(H53="",H53=0),L53,H53)</f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60"/>
        <v/>
      </c>
      <c r="G61" s="7" t="str">
        <f t="shared" si="61"/>
        <v/>
      </c>
      <c r="H61" s="5" t="str">
        <f t="shared" si="62"/>
        <v/>
      </c>
      <c r="I61" s="122" t="str">
        <f t="shared" si="63"/>
        <v/>
      </c>
      <c r="J61" s="7" t="str">
        <f t="shared" si="64"/>
        <v/>
      </c>
      <c r="K61" s="9" t="str">
        <f t="shared" si="6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66">IF(ISBLANK(B63),"",IF(I63="L","Baixa",IF(I63="A","Média",IF(I63="","","Alta"))))</f>
        <v/>
      </c>
      <c r="G63" s="7" t="str">
        <f t="shared" ref="G63:G65" si="67">CONCATENATE(B63,I63)</f>
        <v/>
      </c>
      <c r="H63" s="5" t="str">
        <f t="shared" ref="H63:H65" si="68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0">CONCATENATE(B63,C63)</f>
        <v/>
      </c>
      <c r="K63" s="9" t="str">
        <f t="shared" ref="K63:K65" si="7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6"/>
        <v/>
      </c>
      <c r="G65" s="7" t="str">
        <f t="shared" si="67"/>
        <v/>
      </c>
      <c r="H65" s="5" t="str">
        <f t="shared" si="68"/>
        <v/>
      </c>
      <c r="I65" s="122" t="str">
        <f t="shared" si="69"/>
        <v/>
      </c>
      <c r="J65" s="7" t="str">
        <f t="shared" si="70"/>
        <v/>
      </c>
      <c r="K65" s="9" t="str">
        <f t="shared" si="7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ref="F67" si="72">IF(ISBLANK(B67),"",IF(I67="L","Baixa",IF(I67="A","Média",IF(I67="","","Alta"))))</f>
        <v/>
      </c>
      <c r="G67" s="7" t="str">
        <f t="shared" ref="G67" si="73">CONCATENATE(B67,I67)</f>
        <v/>
      </c>
      <c r="H67" s="5" t="str">
        <f t="shared" ref="H67" si="74">IF(ISBLANK(B67),"",IF(B67="ALI",IF(I67="L",7,IF(I67="A",10,15)),IF(B67="AIE",IF(I67="L",5,IF(I67="A",7,10)),IF(B67="SE",IF(I67="L",4,IF(I67="A",5,7)),IF(OR(B67="EE",B67="CE"),IF(I67="L",3,IF(I67="A",4,6)),0)))))</f>
        <v/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76">CONCATENATE(B67,C67)</f>
        <v/>
      </c>
      <c r="K67" s="9" t="str">
        <f t="shared" ref="K67" si="7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78"/>
        <v/>
      </c>
      <c r="G69" s="7" t="str">
        <f t="shared" si="79"/>
        <v/>
      </c>
      <c r="H69" s="5" t="str">
        <f t="shared" si="80"/>
        <v/>
      </c>
      <c r="I69" s="122" t="str">
        <f t="shared" si="81"/>
        <v/>
      </c>
      <c r="J69" s="7" t="str">
        <f t="shared" si="82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" si="84">IF(ISBLANK(B71),"",IF(I71="L","Baixa",IF(I71="A","Média",IF(I71="","","Alta"))))</f>
        <v/>
      </c>
      <c r="G71" s="7" t="str">
        <f t="shared" ref="G71" si="85">CONCATENATE(B71,I71)</f>
        <v/>
      </c>
      <c r="H71" s="5" t="str">
        <f t="shared" ref="H71" si="86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" si="88">CONCATENATE(B71,C71)</f>
        <v/>
      </c>
      <c r="K71" s="9" t="str">
        <f t="shared" ref="K71" si="89">IF(OR(H71="",H71=0),L71,H71)</f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78"/>
        <v/>
      </c>
      <c r="G73" s="7" t="str">
        <f t="shared" si="79"/>
        <v/>
      </c>
      <c r="H73" s="5" t="str">
        <f t="shared" si="80"/>
        <v/>
      </c>
      <c r="I73" s="122" t="str">
        <f t="shared" si="81"/>
        <v/>
      </c>
      <c r="J73" s="7" t="str">
        <f t="shared" si="82"/>
        <v/>
      </c>
      <c r="K73" s="9" t="str">
        <f t="shared" si="8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78"/>
        <v/>
      </c>
      <c r="G75" s="7" t="str">
        <f t="shared" si="79"/>
        <v/>
      </c>
      <c r="H75" s="5" t="str">
        <f t="shared" si="80"/>
        <v/>
      </c>
      <c r="I75" s="122" t="str">
        <f t="shared" si="81"/>
        <v/>
      </c>
      <c r="J75" s="7" t="str">
        <f t="shared" si="82"/>
        <v/>
      </c>
      <c r="K75" s="9" t="str">
        <f t="shared" si="8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4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2"/>
    </row>
    <row r="2" spans="1:12" ht="14.85" customHeight="1" x14ac:dyDescent="0.2">
      <c r="A2" s="153" t="s">
        <v>31</v>
      </c>
      <c r="B2" s="153"/>
      <c r="C2" s="153"/>
      <c r="D2" s="153"/>
      <c r="E2" s="153"/>
      <c r="F2" s="153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85" customHeight="1" x14ac:dyDescent="0.2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">
      <c r="A4" s="3" t="s">
        <v>39</v>
      </c>
      <c r="B4" s="132" t="s">
        <v>40</v>
      </c>
      <c r="C4" s="132"/>
      <c r="D4" s="132"/>
      <c r="E4" s="132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80</v>
      </c>
      <c r="K4" s="107">
        <f>IF(H4="",COUNTIF(Funções!C$8:C$628,G4)*I4,H4*J4)</f>
        <v>80</v>
      </c>
    </row>
    <row r="5" spans="1:12" x14ac:dyDescent="0.2">
      <c r="A5" s="3" t="s">
        <v>42</v>
      </c>
      <c r="B5" s="132" t="s">
        <v>43</v>
      </c>
      <c r="C5" s="132"/>
      <c r="D5" s="132"/>
      <c r="E5" s="132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2" t="s">
        <v>46</v>
      </c>
      <c r="C6" s="132"/>
      <c r="D6" s="132"/>
      <c r="E6" s="132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2" t="s">
        <v>150</v>
      </c>
      <c r="C7" s="132"/>
      <c r="D7" s="132"/>
      <c r="E7" s="132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2" t="s">
        <v>151</v>
      </c>
      <c r="C8" s="132"/>
      <c r="D8" s="132"/>
      <c r="E8" s="132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2" t="s">
        <v>152</v>
      </c>
      <c r="C9" s="132"/>
      <c r="D9" s="132"/>
      <c r="E9" s="132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2" t="s">
        <v>52</v>
      </c>
      <c r="C10" s="132"/>
      <c r="D10" s="132"/>
      <c r="E10" s="132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2" t="s">
        <v>55</v>
      </c>
      <c r="C11" s="132"/>
      <c r="D11" s="132"/>
      <c r="E11" s="132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2" t="s">
        <v>146</v>
      </c>
      <c r="C12" s="132"/>
      <c r="D12" s="132"/>
      <c r="E12" s="132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2" t="s">
        <v>147</v>
      </c>
      <c r="C13" s="132"/>
      <c r="D13" s="132"/>
      <c r="E13" s="132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2" t="s">
        <v>148</v>
      </c>
      <c r="C14" s="132"/>
      <c r="D14" s="132"/>
      <c r="E14" s="132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2" t="s">
        <v>60</v>
      </c>
      <c r="C15" s="132"/>
      <c r="D15" s="132"/>
      <c r="E15" s="132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2" t="s">
        <v>62</v>
      </c>
      <c r="C16" s="132"/>
      <c r="D16" s="132"/>
      <c r="E16" s="132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2" t="s">
        <v>168</v>
      </c>
      <c r="C17" s="132"/>
      <c r="D17" s="132"/>
      <c r="E17" s="132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2" t="s">
        <v>169</v>
      </c>
      <c r="C18" s="132"/>
      <c r="D18" s="132"/>
      <c r="E18" s="132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2" t="s">
        <v>66</v>
      </c>
      <c r="C19" s="132"/>
      <c r="D19" s="132"/>
      <c r="E19" s="132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2" t="s">
        <v>69</v>
      </c>
      <c r="C20" s="132"/>
      <c r="D20" s="132"/>
      <c r="E20" s="132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2" t="s">
        <v>72</v>
      </c>
      <c r="C21" s="132"/>
      <c r="D21" s="132"/>
      <c r="E21" s="132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2" t="s">
        <v>75</v>
      </c>
      <c r="C22" s="132"/>
      <c r="D22" s="132"/>
      <c r="E22" s="132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6" t="s">
        <v>154</v>
      </c>
      <c r="C23" s="157"/>
      <c r="D23" s="157"/>
      <c r="E23" s="158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6" t="s">
        <v>155</v>
      </c>
      <c r="C24" s="157"/>
      <c r="D24" s="157"/>
      <c r="E24" s="158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59" t="s">
        <v>156</v>
      </c>
      <c r="C25" s="132"/>
      <c r="D25" s="132"/>
      <c r="E25" s="132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2" t="s">
        <v>167</v>
      </c>
      <c r="C26" s="132"/>
      <c r="D26" s="132"/>
      <c r="E26" s="132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2" t="s">
        <v>166</v>
      </c>
      <c r="C27" s="132"/>
      <c r="D27" s="132"/>
      <c r="E27" s="132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2" t="s">
        <v>165</v>
      </c>
      <c r="C28" s="132"/>
      <c r="D28" s="132"/>
      <c r="E28" s="132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2" t="s">
        <v>85</v>
      </c>
      <c r="C29" s="132"/>
      <c r="D29" s="132"/>
      <c r="E29" s="132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2" t="s">
        <v>88</v>
      </c>
      <c r="C30" s="132"/>
      <c r="D30" s="132"/>
      <c r="E30" s="132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2" t="s">
        <v>91</v>
      </c>
      <c r="C31" s="132"/>
      <c r="D31" s="132"/>
      <c r="E31" s="132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2" t="s">
        <v>94</v>
      </c>
      <c r="C36" s="132"/>
      <c r="D36" s="132"/>
      <c r="E36" s="132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2"/>
      <c r="C37" s="132"/>
      <c r="D37" s="132"/>
      <c r="E37" s="132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2"/>
      <c r="C38" s="132"/>
      <c r="D38" s="132"/>
      <c r="E38" s="132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3" t="s">
        <v>30</v>
      </c>
      <c r="B40" s="153"/>
      <c r="C40" s="153"/>
      <c r="D40" s="153"/>
      <c r="E40" s="153"/>
      <c r="F40" s="153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85" customHeight="1" x14ac:dyDescent="0.2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25">
      <c r="A42" s="27"/>
      <c r="B42" s="132" t="s">
        <v>104</v>
      </c>
      <c r="C42" s="132"/>
      <c r="D42" s="132"/>
      <c r="E42" s="132"/>
      <c r="F42" s="2" t="s">
        <v>105</v>
      </c>
      <c r="G42" s="25" t="s">
        <v>106</v>
      </c>
      <c r="H42" s="160">
        <v>0.6</v>
      </c>
      <c r="I42" s="160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2" t="s">
        <v>116</v>
      </c>
      <c r="C43" s="132"/>
      <c r="D43" s="132"/>
      <c r="E43" s="132"/>
      <c r="F43" s="2" t="s">
        <v>76</v>
      </c>
      <c r="G43" s="25" t="s">
        <v>117</v>
      </c>
      <c r="H43" s="160">
        <v>0.6</v>
      </c>
      <c r="I43" s="160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2" t="s">
        <v>159</v>
      </c>
      <c r="C44" s="132"/>
      <c r="D44" s="132"/>
      <c r="E44" s="132"/>
      <c r="F44" s="2"/>
      <c r="G44" s="25" t="s">
        <v>160</v>
      </c>
      <c r="H44" s="160">
        <v>0</v>
      </c>
      <c r="I44" s="160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2"/>
      <c r="C45" s="132"/>
      <c r="D45" s="132"/>
      <c r="E45" s="132"/>
      <c r="F45" s="2"/>
      <c r="G45" s="25" t="s">
        <v>97</v>
      </c>
      <c r="H45" s="160"/>
      <c r="I45" s="160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2"/>
      <c r="C46" s="132"/>
      <c r="D46" s="132"/>
      <c r="E46" s="132"/>
      <c r="F46" s="2"/>
      <c r="G46" s="25" t="s">
        <v>97</v>
      </c>
      <c r="H46" s="160"/>
      <c r="I46" s="160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2"/>
      <c r="C47" s="132"/>
      <c r="D47" s="132"/>
      <c r="E47" s="132"/>
      <c r="F47" s="2"/>
      <c r="G47" s="25" t="s">
        <v>97</v>
      </c>
      <c r="H47" s="160"/>
      <c r="I47" s="160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2"/>
      <c r="C48" s="132"/>
      <c r="D48" s="132"/>
      <c r="E48" s="132"/>
      <c r="F48" s="2"/>
      <c r="G48" s="25" t="s">
        <v>97</v>
      </c>
      <c r="H48" s="160"/>
      <c r="I48" s="160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2"/>
      <c r="C49" s="132"/>
      <c r="D49" s="132"/>
      <c r="E49" s="132"/>
      <c r="F49" s="2"/>
      <c r="G49" s="25" t="s">
        <v>97</v>
      </c>
      <c r="H49" s="160"/>
      <c r="I49" s="160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2"/>
      <c r="C50" s="132"/>
      <c r="D50" s="132"/>
      <c r="E50" s="132"/>
      <c r="F50" s="2"/>
      <c r="G50" s="25" t="s">
        <v>97</v>
      </c>
      <c r="H50" s="160"/>
      <c r="I50" s="160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2"/>
      <c r="C51" s="132"/>
      <c r="D51" s="132"/>
      <c r="E51" s="132"/>
      <c r="F51" s="2"/>
      <c r="G51" s="25" t="s">
        <v>97</v>
      </c>
      <c r="H51" s="160"/>
      <c r="I51" s="160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2"/>
      <c r="C52" s="132"/>
      <c r="D52" s="132"/>
      <c r="E52" s="132"/>
      <c r="F52" s="2"/>
      <c r="G52" s="25" t="s">
        <v>97</v>
      </c>
      <c r="H52" s="160"/>
      <c r="I52" s="160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2"/>
      <c r="C53" s="132"/>
      <c r="D53" s="132"/>
      <c r="E53" s="132"/>
      <c r="F53" s="2"/>
      <c r="G53" s="25" t="s">
        <v>97</v>
      </c>
      <c r="H53" s="160"/>
      <c r="I53" s="160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2"/>
      <c r="C54" s="132"/>
      <c r="D54" s="132"/>
      <c r="E54" s="132"/>
      <c r="F54" s="2"/>
      <c r="G54" s="25" t="s">
        <v>97</v>
      </c>
      <c r="H54" s="160"/>
      <c r="I54" s="160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2"/>
      <c r="C55" s="132"/>
      <c r="D55" s="132"/>
      <c r="E55" s="132"/>
      <c r="F55" s="2"/>
      <c r="G55" s="25" t="s">
        <v>97</v>
      </c>
      <c r="H55" s="160"/>
      <c r="I55" s="160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2"/>
      <c r="C56" s="132"/>
      <c r="D56" s="132"/>
      <c r="E56" s="132"/>
      <c r="F56" s="2"/>
      <c r="G56" s="25" t="s">
        <v>97</v>
      </c>
      <c r="H56" s="160"/>
      <c r="I56" s="160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2"/>
      <c r="C57" s="132"/>
      <c r="D57" s="132"/>
      <c r="E57" s="132"/>
      <c r="F57" s="2"/>
      <c r="G57" s="25" t="s">
        <v>97</v>
      </c>
      <c r="H57" s="160"/>
      <c r="I57" s="160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2"/>
      <c r="C58" s="132"/>
      <c r="D58" s="132"/>
      <c r="E58" s="132"/>
      <c r="F58" s="2"/>
      <c r="G58" s="25" t="s">
        <v>97</v>
      </c>
      <c r="H58" s="160"/>
      <c r="I58" s="160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2"/>
      <c r="C59" s="132"/>
      <c r="D59" s="132"/>
      <c r="E59" s="132"/>
      <c r="F59" s="2"/>
      <c r="G59" s="25" t="s">
        <v>97</v>
      </c>
      <c r="H59" s="160"/>
      <c r="I59" s="160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2"/>
      <c r="C60" s="132"/>
      <c r="D60" s="132"/>
      <c r="E60" s="132"/>
      <c r="F60" s="2"/>
      <c r="G60" s="25" t="s">
        <v>97</v>
      </c>
      <c r="H60" s="160"/>
      <c r="I60" s="160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2"/>
      <c r="C61" s="132"/>
      <c r="D61" s="132"/>
      <c r="E61" s="132"/>
      <c r="F61" s="2"/>
      <c r="G61" s="25" t="s">
        <v>97</v>
      </c>
      <c r="H61" s="160"/>
      <c r="I61" s="160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2"/>
      <c r="C62" s="132"/>
      <c r="D62" s="132"/>
      <c r="E62" s="132"/>
      <c r="F62" s="2"/>
      <c r="G62" s="25" t="s">
        <v>97</v>
      </c>
      <c r="H62" s="160"/>
      <c r="I62" s="160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2"/>
      <c r="C63" s="132"/>
      <c r="D63" s="132"/>
      <c r="E63" s="132"/>
      <c r="F63" s="2"/>
      <c r="G63" s="25" t="s">
        <v>97</v>
      </c>
      <c r="H63" s="160"/>
      <c r="I63" s="160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1"/>
      <c r="C64" s="161"/>
      <c r="D64" s="161"/>
      <c r="E64" s="161"/>
      <c r="F64" s="30"/>
      <c r="G64" s="31" t="s">
        <v>97</v>
      </c>
      <c r="H64" s="162"/>
      <c r="I64" s="162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9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4" t="s">
        <v>118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x14ac:dyDescent="0.2">
      <c r="A4" s="165" t="str">
        <f>Contagem!A5&amp;" : "&amp;Contagem!F5</f>
        <v>Aplicação : Web Ponto Client Biometria</v>
      </c>
      <c r="B4" s="165"/>
      <c r="C4" s="165"/>
      <c r="D4" s="165"/>
      <c r="E4" s="165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</row>
    <row r="5" spans="1:12" x14ac:dyDescent="0.2">
      <c r="A5" s="165" t="str">
        <f>Contagem!A9&amp;" : "&amp;Contagem!F9</f>
        <v>Responsável : Jonathas Gomes Marques</v>
      </c>
      <c r="B5" s="165"/>
      <c r="C5" s="165"/>
      <c r="D5" s="165"/>
      <c r="E5" s="165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7" t="s">
        <v>119</v>
      </c>
      <c r="B7" s="167"/>
      <c r="C7" s="168" t="s">
        <v>120</v>
      </c>
      <c r="D7" s="168"/>
      <c r="E7" s="168"/>
      <c r="F7" s="168"/>
      <c r="G7" s="163" t="s">
        <v>121</v>
      </c>
      <c r="H7" s="163" t="s">
        <v>122</v>
      </c>
      <c r="I7" s="69"/>
      <c r="J7" s="163" t="s">
        <v>123</v>
      </c>
      <c r="K7" s="163"/>
      <c r="L7" s="164" t="s">
        <v>122</v>
      </c>
    </row>
    <row r="8" spans="1:12" x14ac:dyDescent="0.2">
      <c r="A8" s="167"/>
      <c r="B8" s="167"/>
      <c r="C8" s="168"/>
      <c r="D8" s="168"/>
      <c r="E8" s="168"/>
      <c r="F8" s="168"/>
      <c r="G8" s="163"/>
      <c r="H8" s="163"/>
      <c r="I8" s="70"/>
      <c r="J8" s="163"/>
      <c r="K8" s="163"/>
      <c r="L8" s="164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38</v>
      </c>
      <c r="L10" s="56"/>
    </row>
    <row r="11" spans="1:12" ht="13.5" x14ac:dyDescent="0.25">
      <c r="A11" s="57"/>
      <c r="B11" s="51"/>
      <c r="C11" s="52">
        <f>COUNTIF(Funções!G8:G628,"EEA")</f>
        <v>2</v>
      </c>
      <c r="D11" s="51"/>
      <c r="E11" s="53" t="s">
        <v>126</v>
      </c>
      <c r="F11" s="53" t="s">
        <v>127</v>
      </c>
      <c r="G11" s="52">
        <f>C11*4</f>
        <v>8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5</v>
      </c>
      <c r="D12" s="51"/>
      <c r="E12" s="53" t="s">
        <v>128</v>
      </c>
      <c r="F12" s="53" t="s">
        <v>129</v>
      </c>
      <c r="G12" s="52">
        <f>C12*6</f>
        <v>30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7</v>
      </c>
      <c r="D14" s="51"/>
      <c r="E14" s="51"/>
      <c r="F14" s="60" t="s">
        <v>131</v>
      </c>
      <c r="G14" s="52">
        <f>SUM(G10:G12)</f>
        <v>38</v>
      </c>
      <c r="H14" s="34">
        <f>IF($G$45&lt;&gt;0,G14/$G$45,"")</f>
        <v>0.47499999999999998</v>
      </c>
      <c r="I14" s="61"/>
      <c r="J14" s="54"/>
      <c r="K14" s="55">
        <f>SUM(K10:K13)</f>
        <v>38</v>
      </c>
      <c r="L14" s="36">
        <f>IF('Sumário 2'!L11&lt;&gt;0,K14/'Sumário 2'!L11,"")</f>
        <v>0.47499999999999998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4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</v>
      </c>
      <c r="D21" s="51"/>
      <c r="E21" s="51"/>
      <c r="F21" s="60" t="s">
        <v>131</v>
      </c>
      <c r="G21" s="52">
        <f>SUM(G17:G19)</f>
        <v>4</v>
      </c>
      <c r="H21" s="34">
        <f>IF($G$45&lt;&gt;0,G21/$G$45,"")</f>
        <v>0.05</v>
      </c>
      <c r="I21" s="61"/>
      <c r="J21" s="54"/>
      <c r="K21" s="55">
        <f>SUM(K17:K20)</f>
        <v>4</v>
      </c>
      <c r="L21" s="36">
        <f>IF('Sumário 2'!L11&lt;&gt;0,K21/'Sumário 2'!L11,"")</f>
        <v>0.05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4</v>
      </c>
      <c r="D31" s="51"/>
      <c r="E31" s="51" t="s">
        <v>124</v>
      </c>
      <c r="F31" s="51" t="s">
        <v>133</v>
      </c>
      <c r="G31" s="52">
        <f>C31*7</f>
        <v>28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28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4</v>
      </c>
      <c r="D35" s="51"/>
      <c r="E35" s="51"/>
      <c r="F35" s="60" t="s">
        <v>131</v>
      </c>
      <c r="G35" s="52">
        <f>SUM(G31:G33)</f>
        <v>28</v>
      </c>
      <c r="H35" s="34">
        <f>IF($G$45&lt;&gt;0,G35/$G$45,"")</f>
        <v>0.35</v>
      </c>
      <c r="I35" s="61"/>
      <c r="J35" s="54"/>
      <c r="K35" s="55">
        <f>SUM(K31:K34)</f>
        <v>28</v>
      </c>
      <c r="L35" s="36">
        <f>IF('Sumário 2'!L11&lt;&gt;0,K35/'Sumário 2'!L11,"")</f>
        <v>0.35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2</v>
      </c>
      <c r="D38" s="51"/>
      <c r="E38" s="51" t="s">
        <v>124</v>
      </c>
      <c r="F38" s="51" t="s">
        <v>132</v>
      </c>
      <c r="G38" s="52">
        <f>C38*5</f>
        <v>10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10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2</v>
      </c>
      <c r="D42" s="51"/>
      <c r="E42" s="51"/>
      <c r="F42" s="60" t="s">
        <v>131</v>
      </c>
      <c r="G42" s="52">
        <f>SUM(G38:G40)</f>
        <v>10</v>
      </c>
      <c r="H42" s="34">
        <f>IF($G$45&lt;&gt;0,G42/$G$45,"")</f>
        <v>0.125</v>
      </c>
      <c r="I42" s="61"/>
      <c r="J42" s="54"/>
      <c r="K42" s="55">
        <f>SUM(K38:K41)</f>
        <v>10</v>
      </c>
      <c r="L42" s="36">
        <f>IF('Sumário 2'!L11&lt;&gt;0,K42/'Sumário 2'!L11,"")</f>
        <v>0.125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6" t="s">
        <v>136</v>
      </c>
      <c r="C45" s="166"/>
      <c r="D45" s="166"/>
      <c r="E45" s="166"/>
      <c r="F45" s="166"/>
      <c r="G45" s="52">
        <f>SUM(G14+G21+G28+G35+G42)</f>
        <v>80</v>
      </c>
      <c r="H45" s="51"/>
      <c r="I45" s="51"/>
      <c r="J45" s="51"/>
      <c r="K45" s="51"/>
      <c r="L45" s="56"/>
    </row>
    <row r="46" spans="1:12" ht="13.5" x14ac:dyDescent="0.25">
      <c r="A46" s="57"/>
      <c r="B46" s="166" t="s">
        <v>137</v>
      </c>
      <c r="C46" s="166"/>
      <c r="D46" s="166"/>
      <c r="E46" s="166"/>
      <c r="F46" s="166"/>
      <c r="G46" s="52">
        <f>(C10+C11+C12)*4+(C17+C18+C19)*5+(C24+C25+C26)*4+(C31+C32+C33)*7+(C38+C39+C40)*5</f>
        <v>71</v>
      </c>
      <c r="H46" s="51"/>
      <c r="I46" s="51"/>
      <c r="J46" s="51"/>
      <c r="K46" s="51"/>
      <c r="L46" s="56"/>
    </row>
    <row r="47" spans="1:12" ht="13.5" x14ac:dyDescent="0.25">
      <c r="A47" s="57"/>
      <c r="B47" s="166" t="s">
        <v>138</v>
      </c>
      <c r="C47" s="166"/>
      <c r="D47" s="166"/>
      <c r="E47" s="166"/>
      <c r="F47" s="166"/>
      <c r="G47" s="52">
        <f>(C31+C32+C33)*35+(C38+C39+C40)*15</f>
        <v>170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s="165" t="str">
        <f>Contagem!A5&amp;" : "&amp;Contagem!F5</f>
        <v>Aplicação : Web Ponto Client Biometria</v>
      </c>
      <c r="B4" s="165"/>
      <c r="C4" s="165"/>
      <c r="D4" s="165"/>
      <c r="E4" s="165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2" t="str">
        <f>""&amp;Deflatores!B4</f>
        <v>Inclusão</v>
      </c>
      <c r="C10" s="132"/>
      <c r="D10" s="25" t="str">
        <f>""&amp;Deflatores!G4</f>
        <v>I</v>
      </c>
      <c r="E10" s="108">
        <f>IF(D10="","",COUNTIF(Funções!C$8:C$628,D10))</f>
        <v>14</v>
      </c>
      <c r="F10" s="109">
        <f>SUMIF(Funções!$C$8:$C$628,Deflatores!G4,Funções!$H$8:$H$628)</f>
        <v>80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80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2" t="str">
        <f>""&amp;Deflatores!B5</f>
        <v>Alteração (sem conhecimento do Fator de Impacto)</v>
      </c>
      <c r="C11" s="132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80</v>
      </c>
      <c r="M11" s="56"/>
    </row>
    <row r="12" spans="1:13" ht="13.5" customHeight="1" x14ac:dyDescent="0.25">
      <c r="A12" s="84"/>
      <c r="B12" s="132" t="str">
        <f>""&amp;Deflatores!B6</f>
        <v>Exclusão</v>
      </c>
      <c r="C12" s="132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2" t="str">
        <f>""&amp;Deflatores!B7</f>
        <v>Alteração (50%) de função desenvolvida ou já alterada pela empresa atual</v>
      </c>
      <c r="C13" s="132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2" t="str">
        <f>""&amp;Deflatores!B8</f>
        <v>Alteração (75%) de função não desenv. e ainda não alterada pela empresa atual</v>
      </c>
      <c r="C14" s="132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80</v>
      </c>
      <c r="M14" s="56"/>
    </row>
    <row r="15" spans="1:13" ht="13.5" customHeight="1" x14ac:dyDescent="0.2">
      <c r="A15" s="84"/>
      <c r="B15" s="132" t="str">
        <f>""&amp;Deflatores!B9</f>
        <v>Alteração (75%+15%): o mesmo acima + redocumentar a função</v>
      </c>
      <c r="C15" s="132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2" t="str">
        <f>""&amp;Deflatores!B10</f>
        <v>Migração de Dados</v>
      </c>
      <c r="C16" s="132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2" t="str">
        <f>""&amp;Deflatores!B11</f>
        <v>Corretiva (sem conhecimento do Fator de Impacto)</v>
      </c>
      <c r="C17" s="132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2" t="str">
        <f>""&amp;Deflatores!B12</f>
        <v>Corretiva (50%) - Fora da garantia (mesma empresa)</v>
      </c>
      <c r="C18" s="132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2" t="str">
        <f>""&amp;Deflatores!B13</f>
        <v>Corretiva (75%) - Fora da garantia (outra empresa)</v>
      </c>
      <c r="C19" s="132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2" t="str">
        <f>""&amp;Deflatores!B14</f>
        <v>Corretiva (75%+15%) - Fora da garantia (outra empresa) + Redocumentação</v>
      </c>
      <c r="C20" s="132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2" t="str">
        <f>""&amp;Deflatores!B15</f>
        <v>Corretiva em Garantia</v>
      </c>
      <c r="C21" s="132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2" t="str">
        <f>""&amp;Deflatores!B16</f>
        <v>Mudança de Plataforma - Linguagem de Programação</v>
      </c>
      <c r="C22" s="132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2" t="str">
        <f>""&amp;Deflatores!B17</f>
        <v>Mudança de Plataforma - Banco de Dados (outro paradigma)</v>
      </c>
      <c r="C23" s="132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2" t="str">
        <f>""&amp;Deflatores!B18</f>
        <v>Mudança de Plataforma - Banco de Dados (mesmo paradigma com alterações)</v>
      </c>
      <c r="C24" s="132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2" t="str">
        <f>""&amp;Deflatores!B19</f>
        <v>Atualização de Versão – Linguagem de Programação</v>
      </c>
      <c r="C25" s="132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2" t="str">
        <f>""&amp;Deflatores!B20</f>
        <v>Atualização de Versão – Browser</v>
      </c>
      <c r="C26" s="132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2" t="str">
        <f>""&amp;Deflatores!B21</f>
        <v>Atualização de Versão – Banco de Dados</v>
      </c>
      <c r="C27" s="132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2" t="str">
        <f>""&amp;Deflatores!B22</f>
        <v>Manutenção Cosmética</v>
      </c>
      <c r="C28" s="132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6" t="str">
        <f>""&amp;Deflatores!B23</f>
        <v>Adaptação em Funcionalidades sem Alteração de Requisitos Funcionais
(sem conhecimento do Fator de Impacto)</v>
      </c>
      <c r="C29" s="158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2" t="str">
        <f>""&amp;Deflatores!B26</f>
        <v>Atualização de Dados sem Consulta Prévia</v>
      </c>
      <c r="C32" s="132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2" t="str">
        <f>""&amp;Deflatores!B27</f>
        <v>Consulta Prévia sem Atualização</v>
      </c>
      <c r="C33" s="132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2" t="str">
        <f>""&amp;Deflatores!B28</f>
        <v>Atualização de Dados com Consulta Prévia</v>
      </c>
      <c r="C34" s="132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2" t="str">
        <f>""&amp;Deflatores!B29</f>
        <v>Apuração Especial – Geração de Relatórios</v>
      </c>
      <c r="C35" s="132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2" t="str">
        <f>""&amp;Deflatores!B30</f>
        <v>Apuração Especial – Reexecução</v>
      </c>
      <c r="C36" s="132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2" t="str">
        <f>""&amp;Deflatores!B31</f>
        <v>Atualização de Dados</v>
      </c>
      <c r="C37" s="132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2" t="str">
        <f>""&amp;Deflatores!B32</f>
        <v>Manutenção de Documentação de Sistemas Legados</v>
      </c>
      <c r="C38" s="132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2" t="str">
        <f>""&amp;Deflatores!B33</f>
        <v>Verificação de Erros (Sem Documentação de Teste existente)</v>
      </c>
      <c r="C39" s="132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2" t="str">
        <f>""&amp;Deflatores!B34</f>
        <v>Verificação de Erros (Com Documentação de Teste existente)</v>
      </c>
      <c r="C40" s="132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2" t="str">
        <f>""&amp;Deflatores!B35</f>
        <v>Pontos de Função de Teste</v>
      </c>
      <c r="C41" s="132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2" t="str">
        <f>""&amp;Deflatores!B36</f>
        <v>Componente Interno Reusável</v>
      </c>
      <c r="C42" s="132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2" t="str">
        <f>""&amp;Deflatores!B37</f>
        <v/>
      </c>
      <c r="C43" s="132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2" t="str">
        <f>""&amp;Deflatores!B38</f>
        <v/>
      </c>
      <c r="C44" s="132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2" t="s">
        <v>145</v>
      </c>
      <c r="C46" s="172"/>
      <c r="D46" s="172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2" t="str">
        <f>""&amp;Deflatores!B42</f>
        <v>Páginas Estáticas</v>
      </c>
      <c r="C47" s="132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2" t="str">
        <f>""&amp;Deflatores!B43</f>
        <v>Manutenção Cosmética (atrelada a algo não funcional)</v>
      </c>
      <c r="C48" s="132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2" t="str">
        <f>""&amp;Deflatores!B44</f>
        <v>Dados de Código</v>
      </c>
      <c r="C49" s="132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2" t="str">
        <f>""&amp;Deflatores!B45</f>
        <v/>
      </c>
      <c r="C50" s="132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2" t="str">
        <f>""&amp;Deflatores!B46</f>
        <v/>
      </c>
      <c r="C51" s="132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2" t="str">
        <f>""&amp;Deflatores!B47</f>
        <v/>
      </c>
      <c r="C52" s="132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2" t="str">
        <f>""&amp;Deflatores!B48</f>
        <v/>
      </c>
      <c r="C53" s="132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2" t="str">
        <f>""&amp;Deflatores!B49</f>
        <v/>
      </c>
      <c r="C54" s="132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2" t="str">
        <f>""&amp;Deflatores!B50</f>
        <v/>
      </c>
      <c r="C55" s="132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2" t="str">
        <f>""&amp;Deflatores!B51</f>
        <v/>
      </c>
      <c r="C56" s="132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2" t="str">
        <f>""&amp;Deflatores!B52</f>
        <v/>
      </c>
      <c r="C57" s="132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2" t="str">
        <f>""&amp;Deflatores!B53</f>
        <v/>
      </c>
      <c r="C58" s="132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2" t="str">
        <f>""&amp;Deflatores!B54</f>
        <v/>
      </c>
      <c r="C59" s="132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2" t="str">
        <f>""&amp;Deflatores!B55</f>
        <v/>
      </c>
      <c r="C60" s="132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2" t="str">
        <f>""&amp;Deflatores!B56</f>
        <v/>
      </c>
      <c r="C61" s="132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2" t="str">
        <f>""&amp;Deflatores!B57</f>
        <v/>
      </c>
      <c r="C62" s="132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2" t="str">
        <f>""&amp;Deflatores!B58</f>
        <v/>
      </c>
      <c r="C63" s="132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2" t="str">
        <f>""&amp;Deflatores!B59</f>
        <v/>
      </c>
      <c r="C64" s="132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2" t="str">
        <f>""&amp;Deflatores!B60</f>
        <v/>
      </c>
      <c r="C65" s="132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2" t="str">
        <f>""&amp;Deflatores!B61</f>
        <v/>
      </c>
      <c r="C66" s="132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2" t="str">
        <f>""&amp;Deflatores!B62</f>
        <v/>
      </c>
      <c r="C67" s="132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2" t="str">
        <f>""&amp;Deflatores!B63</f>
        <v/>
      </c>
      <c r="C68" s="132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2" t="str">
        <f>""&amp;Deflatores!B64</f>
        <v/>
      </c>
      <c r="C69" s="132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2023-12-11T19:28:56Z</dcterms:modified>
</cp:coreProperties>
</file>