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EstaPasta_de_trabalho"/>
  <mc:AlternateContent xmlns:mc="http://schemas.openxmlformats.org/markup-compatibility/2006">
    <mc:Choice Requires="x15">
      <x15ac:absPath xmlns:x15ac="http://schemas.microsoft.com/office/spreadsheetml/2010/11/ac" url="https://crptecnologia-my.sharepoint.com/personal/luana_passos_crptecnologia_com_br/Documents/Documentos/SEPLAG-MT/Medições/"/>
    </mc:Choice>
  </mc:AlternateContent>
  <xr:revisionPtr revIDLastSave="52" documentId="13_ncr:1_{67713CD6-8EA2-4A5E-9E20-F102C70165AA}" xr6:coauthVersionLast="47" xr6:coauthVersionMax="47" xr10:uidLastSave="{B34148C9-C18E-4D58-9A6B-07335FFBD1B3}"/>
  <bookViews>
    <workbookView xWindow="-23148" yWindow="-108" windowWidth="23256" windowHeight="12576" tabRatio="306" firstSheet="1" activeTab="1" xr2:uid="{00000000-000D-0000-FFFF-FFFF00000000}"/>
  </bookViews>
  <sheets>
    <sheet name="Contagem" sheetId="1" r:id="rId1"/>
    <sheet name="Funções" sheetId="2" r:id="rId2"/>
    <sheet name="Deflatores" sheetId="3" r:id="rId3"/>
    <sheet name="Sumário 1" sheetId="4" r:id="rId4"/>
    <sheet name="Sumário 2" sheetId="5" r:id="rId5"/>
  </sheets>
  <definedNames>
    <definedName name="_xlnm._FilterDatabase" localSheetId="1" hidden="1">Funções!$A$7:$O$160</definedName>
    <definedName name="_xlnm.Print_Area" localSheetId="0">Contagem!$A$1:$V$45</definedName>
    <definedName name="TiposDeFuncao" localSheetId="1">Deflatores!$L$37:$L$64</definedName>
    <definedName name="TiposDeManutencao" localSheetId="1">Deflatores!$G$4:$G$38</definedName>
    <definedName name="_xlnm.Print_Titles" localSheetId="1">Funções!$1:$7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7" i="2" l="1"/>
  <c r="H77" i="2"/>
  <c r="I77" i="2"/>
  <c r="G77" i="2" s="1"/>
  <c r="J77" i="2"/>
  <c r="L77" i="2"/>
  <c r="F78" i="2"/>
  <c r="H78" i="2"/>
  <c r="K78" i="2" s="1"/>
  <c r="I78" i="2"/>
  <c r="G78" i="2" s="1"/>
  <c r="J78" i="2"/>
  <c r="L78" i="2"/>
  <c r="I79" i="2"/>
  <c r="H79" i="2" s="1"/>
  <c r="J79" i="2"/>
  <c r="I80" i="2"/>
  <c r="F80" i="2" s="1"/>
  <c r="J80" i="2"/>
  <c r="I81" i="2"/>
  <c r="F81" i="2" s="1"/>
  <c r="J81" i="2"/>
  <c r="G82" i="2"/>
  <c r="I82" i="2"/>
  <c r="H82" i="2" s="1"/>
  <c r="J82" i="2"/>
  <c r="F83" i="2"/>
  <c r="I83" i="2"/>
  <c r="G83" i="2" s="1"/>
  <c r="J83" i="2"/>
  <c r="I84" i="2"/>
  <c r="F84" i="2" s="1"/>
  <c r="J84" i="2"/>
  <c r="I85" i="2"/>
  <c r="G85" i="2" s="1"/>
  <c r="J85" i="2"/>
  <c r="F86" i="2"/>
  <c r="I86" i="2"/>
  <c r="G86" i="2" s="1"/>
  <c r="J86" i="2"/>
  <c r="G87" i="2"/>
  <c r="I87" i="2"/>
  <c r="H87" i="2" s="1"/>
  <c r="J87" i="2"/>
  <c r="F88" i="2"/>
  <c r="H88" i="2"/>
  <c r="K88" i="2" s="1"/>
  <c r="I88" i="2"/>
  <c r="G88" i="2" s="1"/>
  <c r="J88" i="2"/>
  <c r="L88" i="2"/>
  <c r="F89" i="2"/>
  <c r="H89" i="2"/>
  <c r="I89" i="2"/>
  <c r="G89" i="2" s="1"/>
  <c r="J89" i="2"/>
  <c r="L89" i="2"/>
  <c r="K89" i="2" s="1"/>
  <c r="F90" i="2"/>
  <c r="I90" i="2"/>
  <c r="H90" i="2" s="1"/>
  <c r="J90" i="2"/>
  <c r="I91" i="2"/>
  <c r="F91" i="2" s="1"/>
  <c r="J91" i="2"/>
  <c r="I92" i="2"/>
  <c r="F92" i="2" s="1"/>
  <c r="J92" i="2"/>
  <c r="I93" i="2"/>
  <c r="F93" i="2" s="1"/>
  <c r="J93" i="2"/>
  <c r="I94" i="2"/>
  <c r="G94" i="2" s="1"/>
  <c r="J94" i="2"/>
  <c r="I95" i="2"/>
  <c r="H95" i="2" s="1"/>
  <c r="J95" i="2"/>
  <c r="I96" i="2"/>
  <c r="F96" i="2" s="1"/>
  <c r="J96" i="2"/>
  <c r="F97" i="2"/>
  <c r="H97" i="2"/>
  <c r="I97" i="2"/>
  <c r="G97" i="2" s="1"/>
  <c r="J97" i="2"/>
  <c r="L97" i="2"/>
  <c r="F98" i="2"/>
  <c r="G98" i="2"/>
  <c r="H98" i="2"/>
  <c r="I98" i="2"/>
  <c r="J98" i="2"/>
  <c r="L98" i="2"/>
  <c r="I99" i="2"/>
  <c r="F99" i="2" s="1"/>
  <c r="J99" i="2"/>
  <c r="F100" i="2"/>
  <c r="H100" i="2"/>
  <c r="I100" i="2"/>
  <c r="G100" i="2" s="1"/>
  <c r="J100" i="2"/>
  <c r="L100" i="2"/>
  <c r="F101" i="2"/>
  <c r="G101" i="2"/>
  <c r="H101" i="2"/>
  <c r="I101" i="2"/>
  <c r="J101" i="2"/>
  <c r="L101" i="2"/>
  <c r="H102" i="2"/>
  <c r="K102" i="2" s="1"/>
  <c r="I102" i="2"/>
  <c r="G102" i="2" s="1"/>
  <c r="J102" i="2"/>
  <c r="F103" i="2"/>
  <c r="H103" i="2"/>
  <c r="I103" i="2"/>
  <c r="G103" i="2" s="1"/>
  <c r="J103" i="2"/>
  <c r="L103" i="2"/>
  <c r="F104" i="2"/>
  <c r="H104" i="2"/>
  <c r="K104" i="2" s="1"/>
  <c r="I104" i="2"/>
  <c r="G104" i="2" s="1"/>
  <c r="J104" i="2"/>
  <c r="L104" i="2"/>
  <c r="I105" i="2"/>
  <c r="F105" i="2" s="1"/>
  <c r="J105" i="2"/>
  <c r="I106" i="2"/>
  <c r="F106" i="2" s="1"/>
  <c r="J106" i="2"/>
  <c r="I107" i="2"/>
  <c r="G107" i="2" s="1"/>
  <c r="J107" i="2"/>
  <c r="I108" i="2"/>
  <c r="G108" i="2" s="1"/>
  <c r="J108" i="2"/>
  <c r="F109" i="2"/>
  <c r="G109" i="2"/>
  <c r="I109" i="2"/>
  <c r="H109" i="2" s="1"/>
  <c r="K109" i="2" s="1"/>
  <c r="J109" i="2"/>
  <c r="I110" i="2"/>
  <c r="G110" i="2" s="1"/>
  <c r="J110" i="2"/>
  <c r="I111" i="2"/>
  <c r="H111" i="2" s="1"/>
  <c r="J111" i="2"/>
  <c r="I112" i="2"/>
  <c r="F112" i="2" s="1"/>
  <c r="J112" i="2"/>
  <c r="I113" i="2"/>
  <c r="F113" i="2" s="1"/>
  <c r="J113" i="2"/>
  <c r="I114" i="2"/>
  <c r="F114" i="2" s="1"/>
  <c r="J114" i="2"/>
  <c r="F115" i="2"/>
  <c r="H115" i="2"/>
  <c r="I115" i="2"/>
  <c r="G115" i="2" s="1"/>
  <c r="J115" i="2"/>
  <c r="L115" i="2"/>
  <c r="F116" i="2"/>
  <c r="H116" i="2"/>
  <c r="K116" i="2" s="1"/>
  <c r="I116" i="2"/>
  <c r="G116" i="2" s="1"/>
  <c r="J116" i="2"/>
  <c r="L116" i="2"/>
  <c r="I117" i="2"/>
  <c r="F117" i="2" s="1"/>
  <c r="J117" i="2"/>
  <c r="H118" i="2"/>
  <c r="K118" i="2" s="1"/>
  <c r="I118" i="2"/>
  <c r="G118" i="2" s="1"/>
  <c r="J118" i="2"/>
  <c r="I119" i="2"/>
  <c r="H119" i="2" s="1"/>
  <c r="J119" i="2"/>
  <c r="I120" i="2"/>
  <c r="F120" i="2" s="1"/>
  <c r="J120" i="2"/>
  <c r="I121" i="2"/>
  <c r="F121" i="2" s="1"/>
  <c r="J121" i="2"/>
  <c r="G122" i="2"/>
  <c r="H122" i="2"/>
  <c r="L122" i="2" s="1"/>
  <c r="I122" i="2"/>
  <c r="F122" i="2" s="1"/>
  <c r="J122" i="2"/>
  <c r="I123" i="2"/>
  <c r="F123" i="2" s="1"/>
  <c r="J123" i="2"/>
  <c r="F124" i="2"/>
  <c r="H124" i="2"/>
  <c r="I124" i="2"/>
  <c r="G124" i="2" s="1"/>
  <c r="J124" i="2"/>
  <c r="L124" i="2"/>
  <c r="F125" i="2"/>
  <c r="H125" i="2"/>
  <c r="K125" i="2" s="1"/>
  <c r="I125" i="2"/>
  <c r="G125" i="2" s="1"/>
  <c r="J125" i="2"/>
  <c r="L125" i="2"/>
  <c r="I126" i="2"/>
  <c r="G126" i="2" s="1"/>
  <c r="J126" i="2"/>
  <c r="I127" i="2"/>
  <c r="H127" i="2" s="1"/>
  <c r="J127" i="2"/>
  <c r="I128" i="2"/>
  <c r="F128" i="2" s="1"/>
  <c r="J128" i="2"/>
  <c r="I129" i="2"/>
  <c r="F129" i="2" s="1"/>
  <c r="J129" i="2"/>
  <c r="F130" i="2"/>
  <c r="G130" i="2"/>
  <c r="H130" i="2"/>
  <c r="I130" i="2"/>
  <c r="J130" i="2"/>
  <c r="K130" i="2"/>
  <c r="L130" i="2"/>
  <c r="I131" i="2"/>
  <c r="G131" i="2" s="1"/>
  <c r="J131" i="2"/>
  <c r="F132" i="2"/>
  <c r="H132" i="2"/>
  <c r="K132" i="2" s="1"/>
  <c r="I132" i="2"/>
  <c r="G132" i="2" s="1"/>
  <c r="J132" i="2"/>
  <c r="L132" i="2"/>
  <c r="F133" i="2"/>
  <c r="H133" i="2"/>
  <c r="I133" i="2"/>
  <c r="G133" i="2" s="1"/>
  <c r="J133" i="2"/>
  <c r="L133" i="2"/>
  <c r="I134" i="2"/>
  <c r="G134" i="2" s="1"/>
  <c r="J134" i="2"/>
  <c r="F135" i="2"/>
  <c r="G135" i="2"/>
  <c r="H135" i="2"/>
  <c r="I135" i="2"/>
  <c r="J135" i="2"/>
  <c r="L135" i="2"/>
  <c r="F136" i="2"/>
  <c r="H136" i="2"/>
  <c r="I136" i="2"/>
  <c r="G136" i="2" s="1"/>
  <c r="J136" i="2"/>
  <c r="L136" i="2"/>
  <c r="I137" i="2"/>
  <c r="F137" i="2" s="1"/>
  <c r="J137" i="2"/>
  <c r="F138" i="2"/>
  <c r="G138" i="2"/>
  <c r="I138" i="2"/>
  <c r="H138" i="2" s="1"/>
  <c r="J138" i="2"/>
  <c r="G139" i="2"/>
  <c r="H139" i="2"/>
  <c r="I139" i="2"/>
  <c r="F139" i="2" s="1"/>
  <c r="J139" i="2"/>
  <c r="K139" i="2"/>
  <c r="L139" i="2"/>
  <c r="I140" i="2"/>
  <c r="G140" i="2" s="1"/>
  <c r="J140" i="2"/>
  <c r="I141" i="2"/>
  <c r="F141" i="2" s="1"/>
  <c r="J141" i="2"/>
  <c r="I142" i="2"/>
  <c r="G142" i="2" s="1"/>
  <c r="J142" i="2"/>
  <c r="F143" i="2"/>
  <c r="H143" i="2"/>
  <c r="I143" i="2"/>
  <c r="G143" i="2" s="1"/>
  <c r="J143" i="2"/>
  <c r="L143" i="2"/>
  <c r="F144" i="2"/>
  <c r="H144" i="2"/>
  <c r="I144" i="2"/>
  <c r="G144" i="2" s="1"/>
  <c r="J144" i="2"/>
  <c r="L144" i="2"/>
  <c r="I145" i="2"/>
  <c r="F145" i="2" s="1"/>
  <c r="J145" i="2"/>
  <c r="I146" i="2"/>
  <c r="F146" i="2" s="1"/>
  <c r="J146" i="2"/>
  <c r="I147" i="2"/>
  <c r="G147" i="2" s="1"/>
  <c r="J147" i="2"/>
  <c r="I148" i="2"/>
  <c r="G148" i="2" s="1"/>
  <c r="J148" i="2"/>
  <c r="I149" i="2"/>
  <c r="F149" i="2" s="1"/>
  <c r="J149" i="2"/>
  <c r="F150" i="2"/>
  <c r="H150" i="2"/>
  <c r="K150" i="2" s="1"/>
  <c r="I150" i="2"/>
  <c r="G150" i="2" s="1"/>
  <c r="J150" i="2"/>
  <c r="I151" i="2"/>
  <c r="H151" i="2" s="1"/>
  <c r="J151" i="2"/>
  <c r="I152" i="2"/>
  <c r="F152" i="2" s="1"/>
  <c r="J152" i="2"/>
  <c r="F153" i="2"/>
  <c r="H153" i="2"/>
  <c r="I153" i="2"/>
  <c r="G153" i="2" s="1"/>
  <c r="J153" i="2"/>
  <c r="L153" i="2"/>
  <c r="K153" i="2" s="1"/>
  <c r="F154" i="2"/>
  <c r="H154" i="2"/>
  <c r="I154" i="2"/>
  <c r="G154" i="2" s="1"/>
  <c r="J154" i="2"/>
  <c r="L154" i="2"/>
  <c r="I155" i="2"/>
  <c r="G155" i="2" s="1"/>
  <c r="J155" i="2"/>
  <c r="F156" i="2"/>
  <c r="I156" i="2"/>
  <c r="H156" i="2" s="1"/>
  <c r="J156" i="2"/>
  <c r="I157" i="2"/>
  <c r="F157" i="2" s="1"/>
  <c r="J157" i="2"/>
  <c r="I158" i="2"/>
  <c r="F158" i="2" s="1"/>
  <c r="J158" i="2"/>
  <c r="G159" i="2"/>
  <c r="I159" i="2"/>
  <c r="H159" i="2" s="1"/>
  <c r="J159" i="2"/>
  <c r="I160" i="2"/>
  <c r="F160" i="2" s="1"/>
  <c r="J160" i="2"/>
  <c r="F74" i="2"/>
  <c r="H74" i="2"/>
  <c r="I74" i="2"/>
  <c r="G74" i="2" s="1"/>
  <c r="J74" i="2"/>
  <c r="L74" i="2"/>
  <c r="F75" i="2"/>
  <c r="H75" i="2"/>
  <c r="I75" i="2"/>
  <c r="G75" i="2" s="1"/>
  <c r="J75" i="2"/>
  <c r="L75" i="2"/>
  <c r="I76" i="2"/>
  <c r="G76" i="2" s="1"/>
  <c r="J76" i="2"/>
  <c r="J31" i="2"/>
  <c r="I31" i="2"/>
  <c r="G31" i="2" s="1"/>
  <c r="J22" i="2"/>
  <c r="I22" i="2"/>
  <c r="H22" i="2" s="1"/>
  <c r="J21" i="2"/>
  <c r="I21" i="2"/>
  <c r="H21" i="2" s="1"/>
  <c r="L21" i="2" s="1"/>
  <c r="J20" i="2"/>
  <c r="I20" i="2"/>
  <c r="H20" i="2" s="1"/>
  <c r="L20" i="2" s="1"/>
  <c r="J19" i="2"/>
  <c r="I19" i="2"/>
  <c r="H19" i="2" s="1"/>
  <c r="L19" i="2" s="1"/>
  <c r="J12" i="2"/>
  <c r="I12" i="2"/>
  <c r="H12" i="2" s="1"/>
  <c r="L12" i="2" s="1"/>
  <c r="J64" i="2"/>
  <c r="I64" i="2"/>
  <c r="G64" i="2" s="1"/>
  <c r="L63" i="2"/>
  <c r="J63" i="2"/>
  <c r="I63" i="2"/>
  <c r="G63" i="2" s="1"/>
  <c r="H63" i="2"/>
  <c r="F63" i="2"/>
  <c r="F62" i="2"/>
  <c r="H62" i="2"/>
  <c r="I62" i="2"/>
  <c r="G62" i="2" s="1"/>
  <c r="J62" i="2"/>
  <c r="L62" i="2"/>
  <c r="F8" i="2"/>
  <c r="H8" i="2"/>
  <c r="I8" i="2"/>
  <c r="G8" i="2" s="1"/>
  <c r="J8" i="2"/>
  <c r="L8" i="2"/>
  <c r="I43" i="2"/>
  <c r="F43" i="2" s="1"/>
  <c r="J43" i="2"/>
  <c r="I56" i="2"/>
  <c r="F56" i="2" s="1"/>
  <c r="J56" i="2"/>
  <c r="I59" i="2"/>
  <c r="F59" i="2" s="1"/>
  <c r="J59" i="2"/>
  <c r="I60" i="2"/>
  <c r="G60" i="2" s="1"/>
  <c r="J60" i="2"/>
  <c r="I61" i="2"/>
  <c r="H61" i="2" s="1"/>
  <c r="J61" i="2"/>
  <c r="I41" i="2"/>
  <c r="F41" i="2" s="1"/>
  <c r="J41" i="2"/>
  <c r="I49" i="2"/>
  <c r="F49" i="2" s="1"/>
  <c r="J49" i="2"/>
  <c r="I50" i="2"/>
  <c r="G50" i="2" s="1"/>
  <c r="J50" i="2"/>
  <c r="I51" i="2"/>
  <c r="H51" i="2" s="1"/>
  <c r="J51" i="2"/>
  <c r="I10" i="2"/>
  <c r="H10" i="2" s="1"/>
  <c r="J10" i="2"/>
  <c r="I13" i="2"/>
  <c r="F13" i="2" s="1"/>
  <c r="J13" i="2"/>
  <c r="J73" i="2"/>
  <c r="I73" i="2"/>
  <c r="G73" i="2" s="1"/>
  <c r="L72" i="2"/>
  <c r="J72" i="2"/>
  <c r="I72" i="2"/>
  <c r="G72" i="2" s="1"/>
  <c r="H72" i="2"/>
  <c r="F72" i="2"/>
  <c r="L71" i="2"/>
  <c r="J71" i="2"/>
  <c r="I71" i="2"/>
  <c r="G71" i="2" s="1"/>
  <c r="H71" i="2"/>
  <c r="F71" i="2"/>
  <c r="J70" i="2"/>
  <c r="I70" i="2"/>
  <c r="G70" i="2" s="1"/>
  <c r="L69" i="2"/>
  <c r="J69" i="2"/>
  <c r="I69" i="2"/>
  <c r="G69" i="2" s="1"/>
  <c r="H69" i="2"/>
  <c r="F69" i="2"/>
  <c r="L68" i="2"/>
  <c r="J68" i="2"/>
  <c r="I68" i="2"/>
  <c r="G68" i="2" s="1"/>
  <c r="H68" i="2"/>
  <c r="F68" i="2"/>
  <c r="J67" i="2"/>
  <c r="I67" i="2"/>
  <c r="G67" i="2" s="1"/>
  <c r="L66" i="2"/>
  <c r="J66" i="2"/>
  <c r="I66" i="2"/>
  <c r="G66" i="2" s="1"/>
  <c r="H66" i="2"/>
  <c r="F66" i="2"/>
  <c r="L65" i="2"/>
  <c r="J65" i="2"/>
  <c r="I65" i="2"/>
  <c r="G65" i="2" s="1"/>
  <c r="H65" i="2"/>
  <c r="F65" i="2"/>
  <c r="L38" i="2"/>
  <c r="J38" i="2"/>
  <c r="I38" i="2"/>
  <c r="G38" i="2" s="1"/>
  <c r="H38" i="2"/>
  <c r="F38" i="2"/>
  <c r="J37" i="2"/>
  <c r="I37" i="2"/>
  <c r="G37" i="2" s="1"/>
  <c r="J36" i="2"/>
  <c r="I36" i="2"/>
  <c r="G36" i="2" s="1"/>
  <c r="J35" i="2"/>
  <c r="I35" i="2"/>
  <c r="F35" i="2" s="1"/>
  <c r="J34" i="2"/>
  <c r="I34" i="2"/>
  <c r="G34" i="2" s="1"/>
  <c r="J33" i="2"/>
  <c r="I33" i="2"/>
  <c r="F33" i="2" s="1"/>
  <c r="J32" i="2"/>
  <c r="I32" i="2"/>
  <c r="G32" i="2" s="1"/>
  <c r="J30" i="2"/>
  <c r="I30" i="2"/>
  <c r="G30" i="2" s="1"/>
  <c r="J29" i="2"/>
  <c r="I29" i="2"/>
  <c r="G29" i="2" s="1"/>
  <c r="J28" i="2"/>
  <c r="I28" i="2"/>
  <c r="G28" i="2" s="1"/>
  <c r="J27" i="2"/>
  <c r="I27" i="2"/>
  <c r="G27" i="2" s="1"/>
  <c r="J26" i="2"/>
  <c r="I26" i="2"/>
  <c r="G26" i="2" s="1"/>
  <c r="J25" i="2"/>
  <c r="I25" i="2"/>
  <c r="G25" i="2" s="1"/>
  <c r="H131" i="2" l="1"/>
  <c r="L131" i="2" s="1"/>
  <c r="F107" i="2"/>
  <c r="G156" i="2"/>
  <c r="K143" i="2"/>
  <c r="F140" i="2"/>
  <c r="F131" i="2"/>
  <c r="G90" i="2"/>
  <c r="H160" i="2"/>
  <c r="K160" i="2" s="1"/>
  <c r="H157" i="2"/>
  <c r="K157" i="2" s="1"/>
  <c r="G151" i="2"/>
  <c r="G149" i="2"/>
  <c r="H114" i="2"/>
  <c r="H106" i="2"/>
  <c r="H99" i="2"/>
  <c r="L99" i="2" s="1"/>
  <c r="H96" i="2"/>
  <c r="K96" i="2" s="1"/>
  <c r="G157" i="2"/>
  <c r="H146" i="2"/>
  <c r="H120" i="2"/>
  <c r="K120" i="2" s="1"/>
  <c r="K115" i="2"/>
  <c r="G114" i="2"/>
  <c r="G106" i="2"/>
  <c r="G99" i="2"/>
  <c r="K97" i="2"/>
  <c r="F85" i="2"/>
  <c r="H149" i="2"/>
  <c r="K149" i="2" s="1"/>
  <c r="H134" i="2"/>
  <c r="K134" i="2" s="1"/>
  <c r="G146" i="2"/>
  <c r="K135" i="2"/>
  <c r="F102" i="2"/>
  <c r="F82" i="2"/>
  <c r="K138" i="2"/>
  <c r="L138" i="2"/>
  <c r="K122" i="2"/>
  <c r="H76" i="2"/>
  <c r="H147" i="2"/>
  <c r="H142" i="2"/>
  <c r="K142" i="2" s="1"/>
  <c r="F134" i="2"/>
  <c r="G127" i="2"/>
  <c r="F118" i="2"/>
  <c r="G111" i="2"/>
  <c r="H107" i="2"/>
  <c r="H94" i="2"/>
  <c r="K94" i="2" s="1"/>
  <c r="H80" i="2"/>
  <c r="K80" i="2" s="1"/>
  <c r="K74" i="2"/>
  <c r="F147" i="2"/>
  <c r="F142" i="2"/>
  <c r="F94" i="2"/>
  <c r="H126" i="2"/>
  <c r="K126" i="2" s="1"/>
  <c r="H123" i="2"/>
  <c r="H117" i="2"/>
  <c r="K117" i="2" s="1"/>
  <c r="H110" i="2"/>
  <c r="K110" i="2" s="1"/>
  <c r="G79" i="2"/>
  <c r="H158" i="2"/>
  <c r="K158" i="2" s="1"/>
  <c r="H155" i="2"/>
  <c r="H152" i="2"/>
  <c r="K152" i="2" s="1"/>
  <c r="H141" i="2"/>
  <c r="K141" i="2" s="1"/>
  <c r="K133" i="2"/>
  <c r="K131" i="2"/>
  <c r="F126" i="2"/>
  <c r="G123" i="2"/>
  <c r="G119" i="2"/>
  <c r="G117" i="2"/>
  <c r="F110" i="2"/>
  <c r="F108" i="2"/>
  <c r="K103" i="2"/>
  <c r="K100" i="2"/>
  <c r="K98" i="2"/>
  <c r="H93" i="2"/>
  <c r="K93" i="2" s="1"/>
  <c r="H91" i="2"/>
  <c r="K77" i="2"/>
  <c r="F148" i="2"/>
  <c r="G158" i="2"/>
  <c r="F155" i="2"/>
  <c r="G141" i="2"/>
  <c r="K136" i="2"/>
  <c r="H128" i="2"/>
  <c r="K128" i="2" s="1"/>
  <c r="H112" i="2"/>
  <c r="K112" i="2" s="1"/>
  <c r="G95" i="2"/>
  <c r="G93" i="2"/>
  <c r="G91" i="2"/>
  <c r="H85" i="2"/>
  <c r="K85" i="2" s="1"/>
  <c r="H83" i="2"/>
  <c r="K154" i="2"/>
  <c r="K144" i="2"/>
  <c r="K124" i="2"/>
  <c r="K101" i="2"/>
  <c r="K99" i="2"/>
  <c r="K82" i="2"/>
  <c r="L82" i="2"/>
  <c r="K79" i="2"/>
  <c r="L79" i="2"/>
  <c r="K119" i="2"/>
  <c r="L119" i="2"/>
  <c r="K95" i="2"/>
  <c r="L95" i="2"/>
  <c r="K127" i="2"/>
  <c r="L127" i="2"/>
  <c r="K159" i="2"/>
  <c r="L159" i="2"/>
  <c r="K111" i="2"/>
  <c r="L111" i="2"/>
  <c r="K90" i="2"/>
  <c r="L90" i="2"/>
  <c r="L156" i="2"/>
  <c r="K156" i="2"/>
  <c r="K151" i="2"/>
  <c r="L151" i="2"/>
  <c r="K87" i="2"/>
  <c r="L87" i="2"/>
  <c r="G160" i="2"/>
  <c r="F159" i="2"/>
  <c r="L157" i="2"/>
  <c r="G152" i="2"/>
  <c r="F151" i="2"/>
  <c r="L149" i="2"/>
  <c r="H145" i="2"/>
  <c r="H137" i="2"/>
  <c r="H129" i="2"/>
  <c r="G128" i="2"/>
  <c r="F127" i="2"/>
  <c r="H121" i="2"/>
  <c r="G120" i="2"/>
  <c r="F119" i="2"/>
  <c r="L117" i="2"/>
  <c r="H113" i="2"/>
  <c r="G112" i="2"/>
  <c r="F111" i="2"/>
  <c r="L109" i="2"/>
  <c r="H105" i="2"/>
  <c r="G96" i="2"/>
  <c r="F95" i="2"/>
  <c r="L93" i="2"/>
  <c r="F87" i="2"/>
  <c r="L85" i="2"/>
  <c r="L6" i="2" s="1"/>
  <c r="H81" i="2"/>
  <c r="G80" i="2"/>
  <c r="F79" i="2"/>
  <c r="L150" i="2"/>
  <c r="G145" i="2"/>
  <c r="L142" i="2"/>
  <c r="G137" i="2"/>
  <c r="L134" i="2"/>
  <c r="G129" i="2"/>
  <c r="G121" i="2"/>
  <c r="L118" i="2"/>
  <c r="G113" i="2"/>
  <c r="L110" i="2"/>
  <c r="G105" i="2"/>
  <c r="L102" i="2"/>
  <c r="G81" i="2"/>
  <c r="H148" i="2"/>
  <c r="H140" i="2"/>
  <c r="L128" i="2"/>
  <c r="L120" i="2"/>
  <c r="H108" i="2"/>
  <c r="H92" i="2"/>
  <c r="H84" i="2"/>
  <c r="G92" i="2"/>
  <c r="G84" i="2"/>
  <c r="H86" i="2"/>
  <c r="F76" i="2"/>
  <c r="K75" i="2"/>
  <c r="G20" i="2"/>
  <c r="F31" i="2"/>
  <c r="H31" i="2"/>
  <c r="L31" i="2" s="1"/>
  <c r="F22" i="2"/>
  <c r="G22" i="2"/>
  <c r="L22" i="2"/>
  <c r="K22" i="2"/>
  <c r="F20" i="2"/>
  <c r="F21" i="2"/>
  <c r="G21" i="2"/>
  <c r="K21" i="2"/>
  <c r="K20" i="2"/>
  <c r="F19" i="2"/>
  <c r="G19" i="2"/>
  <c r="K19" i="2"/>
  <c r="F12" i="2"/>
  <c r="G12" i="2"/>
  <c r="K12" i="2"/>
  <c r="G51" i="2"/>
  <c r="F50" i="2"/>
  <c r="K8" i="2"/>
  <c r="K63" i="2"/>
  <c r="F70" i="2"/>
  <c r="K62" i="2"/>
  <c r="F73" i="2"/>
  <c r="H73" i="2"/>
  <c r="L73" i="2" s="1"/>
  <c r="H70" i="2"/>
  <c r="L70" i="2" s="1"/>
  <c r="F67" i="2"/>
  <c r="H67" i="2"/>
  <c r="L67" i="2" s="1"/>
  <c r="F61" i="2"/>
  <c r="F51" i="2"/>
  <c r="H64" i="2"/>
  <c r="L64" i="2" s="1"/>
  <c r="G61" i="2"/>
  <c r="F60" i="2"/>
  <c r="F64" i="2"/>
  <c r="F10" i="2"/>
  <c r="H43" i="2"/>
  <c r="G43" i="2"/>
  <c r="H56" i="2"/>
  <c r="G56" i="2"/>
  <c r="L61" i="2"/>
  <c r="K61" i="2"/>
  <c r="H59" i="2"/>
  <c r="H60" i="2"/>
  <c r="G59" i="2"/>
  <c r="K72" i="2"/>
  <c r="H41" i="2"/>
  <c r="G41" i="2"/>
  <c r="L51" i="2"/>
  <c r="K51" i="2"/>
  <c r="H49" i="2"/>
  <c r="H50" i="2"/>
  <c r="G49" i="2"/>
  <c r="K38" i="2"/>
  <c r="K66" i="2"/>
  <c r="L10" i="2"/>
  <c r="K10" i="2"/>
  <c r="H13" i="2"/>
  <c r="G13" i="2"/>
  <c r="K71" i="2"/>
  <c r="H27" i="2"/>
  <c r="K27" i="2" s="1"/>
  <c r="F37" i="2"/>
  <c r="H37" i="2"/>
  <c r="H36" i="2"/>
  <c r="K36" i="2" s="1"/>
  <c r="K68" i="2"/>
  <c r="F29" i="2"/>
  <c r="K65" i="2"/>
  <c r="K69" i="2"/>
  <c r="G35" i="2"/>
  <c r="F25" i="2"/>
  <c r="H34" i="2"/>
  <c r="K34" i="2" s="1"/>
  <c r="H35" i="2"/>
  <c r="F34" i="2"/>
  <c r="F36" i="2"/>
  <c r="G33" i="2"/>
  <c r="H33" i="2"/>
  <c r="H32" i="2"/>
  <c r="F32" i="2"/>
  <c r="F30" i="2"/>
  <c r="H30" i="2"/>
  <c r="H29" i="2"/>
  <c r="H28" i="2"/>
  <c r="F28" i="2"/>
  <c r="F27" i="2"/>
  <c r="F26" i="2"/>
  <c r="H26" i="2"/>
  <c r="H25" i="2"/>
  <c r="G10" i="2"/>
  <c r="I48" i="2"/>
  <c r="F48" i="2" s="1"/>
  <c r="J48" i="2"/>
  <c r="I47" i="2"/>
  <c r="F47" i="2" s="1"/>
  <c r="J47" i="2"/>
  <c r="J24" i="2"/>
  <c r="I24" i="2"/>
  <c r="G24" i="2" s="1"/>
  <c r="J23" i="2"/>
  <c r="I23" i="2"/>
  <c r="G23" i="2" s="1"/>
  <c r="J18" i="2"/>
  <c r="I18" i="2"/>
  <c r="H18" i="2" s="1"/>
  <c r="J17" i="2"/>
  <c r="I17" i="2"/>
  <c r="F17" i="2" s="1"/>
  <c r="J16" i="2"/>
  <c r="I16" i="2"/>
  <c r="G16" i="2" s="1"/>
  <c r="J15" i="2"/>
  <c r="I15" i="2"/>
  <c r="H15" i="2" s="1"/>
  <c r="J14" i="2"/>
  <c r="I14" i="2"/>
  <c r="G14" i="2" s="1"/>
  <c r="J11" i="2"/>
  <c r="I11" i="2"/>
  <c r="G11" i="2" s="1"/>
  <c r="J9" i="2"/>
  <c r="I9" i="2"/>
  <c r="H9" i="2" s="1"/>
  <c r="J58" i="2"/>
  <c r="I58" i="2"/>
  <c r="F58" i="2" s="1"/>
  <c r="J57" i="2"/>
  <c r="I57" i="2"/>
  <c r="F57" i="2" s="1"/>
  <c r="J55" i="2"/>
  <c r="I55" i="2"/>
  <c r="H55" i="2" s="1"/>
  <c r="J54" i="2"/>
  <c r="I54" i="2"/>
  <c r="H54" i="2" s="1"/>
  <c r="L53" i="2"/>
  <c r="J53" i="2"/>
  <c r="I53" i="2"/>
  <c r="G53" i="2" s="1"/>
  <c r="H53" i="2"/>
  <c r="F53" i="2"/>
  <c r="J46" i="2"/>
  <c r="I46" i="2"/>
  <c r="G46" i="2" s="1"/>
  <c r="J45" i="2"/>
  <c r="I45" i="2"/>
  <c r="G45" i="2" s="1"/>
  <c r="J44" i="2"/>
  <c r="I44" i="2"/>
  <c r="F44" i="2" s="1"/>
  <c r="J42" i="2"/>
  <c r="I42" i="2"/>
  <c r="F42" i="2" s="1"/>
  <c r="J40" i="2"/>
  <c r="I40" i="2"/>
  <c r="H40" i="2" s="1"/>
  <c r="L39" i="2"/>
  <c r="J39" i="2"/>
  <c r="I39" i="2"/>
  <c r="G39" i="2" s="1"/>
  <c r="H39" i="2"/>
  <c r="F39" i="2"/>
  <c r="K106" i="2" l="1"/>
  <c r="L106" i="2"/>
  <c r="L80" i="2"/>
  <c r="K114" i="2"/>
  <c r="L114" i="2"/>
  <c r="L158" i="2"/>
  <c r="L152" i="2"/>
  <c r="L160" i="2"/>
  <c r="L126" i="2"/>
  <c r="L141" i="2"/>
  <c r="L96" i="2"/>
  <c r="K146" i="2"/>
  <c r="L146" i="2"/>
  <c r="L91" i="2"/>
  <c r="K91" i="2"/>
  <c r="L112" i="2"/>
  <c r="L94" i="2"/>
  <c r="L123" i="2"/>
  <c r="K123" i="2"/>
  <c r="L107" i="2"/>
  <c r="K107" i="2"/>
  <c r="K155" i="2"/>
  <c r="L155" i="2"/>
  <c r="K147" i="2"/>
  <c r="L147" i="2"/>
  <c r="L83" i="2"/>
  <c r="K83" i="2"/>
  <c r="K76" i="2"/>
  <c r="L76" i="2"/>
  <c r="L140" i="2"/>
  <c r="K140" i="2"/>
  <c r="K129" i="2"/>
  <c r="L129" i="2"/>
  <c r="K137" i="2"/>
  <c r="L137" i="2"/>
  <c r="L84" i="2"/>
  <c r="K84" i="2"/>
  <c r="L92" i="2"/>
  <c r="K92" i="2"/>
  <c r="K145" i="2"/>
  <c r="L145" i="2"/>
  <c r="K113" i="2"/>
  <c r="L113" i="2"/>
  <c r="L148" i="2"/>
  <c r="K148" i="2"/>
  <c r="K108" i="2"/>
  <c r="L108" i="2"/>
  <c r="K105" i="2"/>
  <c r="L105" i="2"/>
  <c r="K121" i="2"/>
  <c r="L121" i="2"/>
  <c r="K86" i="2"/>
  <c r="L86" i="2"/>
  <c r="K81" i="2"/>
  <c r="L81" i="2"/>
  <c r="K31" i="2"/>
  <c r="L27" i="2"/>
  <c r="K67" i="2"/>
  <c r="K64" i="2"/>
  <c r="K73" i="2"/>
  <c r="K70" i="2"/>
  <c r="L43" i="2"/>
  <c r="K43" i="2"/>
  <c r="K56" i="2"/>
  <c r="L56" i="2"/>
  <c r="K60" i="2"/>
  <c r="L60" i="2"/>
  <c r="K59" i="2"/>
  <c r="L59" i="2"/>
  <c r="K41" i="2"/>
  <c r="L41" i="2"/>
  <c r="K49" i="2"/>
  <c r="L49" i="2"/>
  <c r="K50" i="2"/>
  <c r="L50" i="2"/>
  <c r="K13" i="2"/>
  <c r="L13" i="2"/>
  <c r="L36" i="2"/>
  <c r="L34" i="2"/>
  <c r="K37" i="2"/>
  <c r="L37" i="2"/>
  <c r="L35" i="2"/>
  <c r="K35" i="2"/>
  <c r="L33" i="2"/>
  <c r="K33" i="2"/>
  <c r="K32" i="2"/>
  <c r="L32" i="2"/>
  <c r="K30" i="2"/>
  <c r="L30" i="2"/>
  <c r="K29" i="2"/>
  <c r="L29" i="2"/>
  <c r="L28" i="2"/>
  <c r="K28" i="2"/>
  <c r="K26" i="2"/>
  <c r="L26" i="2"/>
  <c r="K25" i="2"/>
  <c r="L25" i="2"/>
  <c r="F24" i="2"/>
  <c r="H24" i="2"/>
  <c r="F23" i="2"/>
  <c r="H23" i="2"/>
  <c r="L23" i="2" s="1"/>
  <c r="F14" i="2"/>
  <c r="H14" i="2"/>
  <c r="F11" i="2"/>
  <c r="H11" i="2"/>
  <c r="H17" i="2"/>
  <c r="L17" i="2" s="1"/>
  <c r="G42" i="2"/>
  <c r="H42" i="2"/>
  <c r="G18" i="2"/>
  <c r="F18" i="2"/>
  <c r="G9" i="2"/>
  <c r="G58" i="2"/>
  <c r="H58" i="2"/>
  <c r="L58" i="2" s="1"/>
  <c r="H57" i="2"/>
  <c r="L57" i="2" s="1"/>
  <c r="F55" i="2"/>
  <c r="G55" i="2"/>
  <c r="H48" i="2"/>
  <c r="G48" i="2"/>
  <c r="K39" i="2"/>
  <c r="H47" i="2"/>
  <c r="G47" i="2"/>
  <c r="F46" i="2"/>
  <c r="H46" i="2"/>
  <c r="G44" i="2"/>
  <c r="K18" i="2"/>
  <c r="L18" i="2"/>
  <c r="L55" i="2"/>
  <c r="K55" i="2"/>
  <c r="H45" i="2"/>
  <c r="G57" i="2"/>
  <c r="F9" i="2"/>
  <c r="H16" i="2"/>
  <c r="L16" i="2" s="1"/>
  <c r="G17" i="2"/>
  <c r="H44" i="2"/>
  <c r="F45" i="2"/>
  <c r="K53" i="2"/>
  <c r="F16" i="2"/>
  <c r="L15" i="2"/>
  <c r="K15" i="2"/>
  <c r="K9" i="2"/>
  <c r="L9" i="2"/>
  <c r="F15" i="2"/>
  <c r="G15" i="2"/>
  <c r="L54" i="2"/>
  <c r="K54" i="2"/>
  <c r="F54" i="2"/>
  <c r="G54" i="2"/>
  <c r="L40" i="2"/>
  <c r="K40" i="2"/>
  <c r="F40" i="2"/>
  <c r="G40" i="2"/>
  <c r="K24" i="2" l="1"/>
  <c r="L24" i="2"/>
  <c r="K23" i="2"/>
  <c r="K17" i="2"/>
  <c r="K14" i="2"/>
  <c r="L14" i="2"/>
  <c r="K11" i="2"/>
  <c r="L11" i="2"/>
  <c r="L4" i="2"/>
  <c r="K57" i="2"/>
  <c r="K42" i="2"/>
  <c r="L42" i="2"/>
  <c r="K16" i="2"/>
  <c r="K58" i="2"/>
  <c r="K48" i="2"/>
  <c r="L48" i="2"/>
  <c r="K47" i="2"/>
  <c r="L47" i="2"/>
  <c r="K46" i="2"/>
  <c r="L46" i="2"/>
  <c r="L44" i="2"/>
  <c r="K44" i="2"/>
  <c r="K45" i="2"/>
  <c r="L45" i="2"/>
  <c r="L5" i="2" l="1"/>
  <c r="B6" i="2"/>
  <c r="B5" i="2"/>
  <c r="B4" i="2"/>
  <c r="H41" i="5"/>
  <c r="G41" i="5"/>
  <c r="F41" i="5"/>
  <c r="D41" i="5"/>
  <c r="E41" i="5" s="1"/>
  <c r="B41" i="5"/>
  <c r="H40" i="5"/>
  <c r="G40" i="5"/>
  <c r="F40" i="5"/>
  <c r="D40" i="5"/>
  <c r="E40" i="5" s="1"/>
  <c r="B40" i="5"/>
  <c r="H39" i="5"/>
  <c r="G39" i="5"/>
  <c r="F39" i="5"/>
  <c r="D39" i="5"/>
  <c r="E39" i="5" s="1"/>
  <c r="B39" i="5"/>
  <c r="H38" i="5"/>
  <c r="G38" i="5"/>
  <c r="F38" i="5"/>
  <c r="D38" i="5"/>
  <c r="E38" i="5" s="1"/>
  <c r="B38" i="5"/>
  <c r="J32" i="3"/>
  <c r="K32" i="3" s="1"/>
  <c r="I38" i="5" s="1"/>
  <c r="J33" i="3"/>
  <c r="K33" i="3" s="1"/>
  <c r="I39" i="5" s="1"/>
  <c r="J34" i="3"/>
  <c r="K34" i="3" s="1"/>
  <c r="I40" i="5" s="1"/>
  <c r="J35" i="3"/>
  <c r="K35" i="3" s="1"/>
  <c r="I41" i="5" s="1"/>
  <c r="H29" i="5"/>
  <c r="G29" i="5"/>
  <c r="F29" i="5"/>
  <c r="D29" i="5"/>
  <c r="E29" i="5" s="1"/>
  <c r="B29" i="5"/>
  <c r="J23" i="3"/>
  <c r="K23" i="3" s="1"/>
  <c r="I29" i="5" s="1"/>
  <c r="H20" i="5"/>
  <c r="G20" i="5"/>
  <c r="F20" i="5"/>
  <c r="D20" i="5"/>
  <c r="E20" i="5" s="1"/>
  <c r="B20" i="5"/>
  <c r="J14" i="3"/>
  <c r="K14" i="3" s="1"/>
  <c r="I20" i="5" s="1"/>
  <c r="H21" i="5"/>
  <c r="G21" i="5"/>
  <c r="F21" i="5"/>
  <c r="D21" i="5"/>
  <c r="E21" i="5" s="1"/>
  <c r="B21" i="5"/>
  <c r="H17" i="5"/>
  <c r="G17" i="5"/>
  <c r="F17" i="5"/>
  <c r="D17" i="5"/>
  <c r="E17" i="5" s="1"/>
  <c r="B17" i="5"/>
  <c r="J7" i="3"/>
  <c r="K7" i="3" s="1"/>
  <c r="I13" i="5" s="1"/>
  <c r="J8" i="3"/>
  <c r="K8" i="3" s="1"/>
  <c r="I14" i="5" s="1"/>
  <c r="J9" i="3"/>
  <c r="K9" i="3" s="1"/>
  <c r="I15" i="5" s="1"/>
  <c r="J10" i="3"/>
  <c r="K10" i="3" s="1"/>
  <c r="I16" i="5" s="1"/>
  <c r="J11" i="3"/>
  <c r="K11" i="3" s="1"/>
  <c r="I17" i="5" s="1"/>
  <c r="J12" i="3"/>
  <c r="K12" i="3" s="1"/>
  <c r="I18" i="5" s="1"/>
  <c r="J13" i="3"/>
  <c r="K13" i="3" s="1"/>
  <c r="I19" i="5" s="1"/>
  <c r="J15" i="3"/>
  <c r="K15" i="3" s="1"/>
  <c r="I21" i="5" s="1"/>
  <c r="J16" i="3"/>
  <c r="K16" i="3" s="1"/>
  <c r="I22" i="5" s="1"/>
  <c r="J17" i="3"/>
  <c r="K17" i="3" s="1"/>
  <c r="I23" i="5" s="1"/>
  <c r="J18" i="3"/>
  <c r="K18" i="3" s="1"/>
  <c r="I24" i="5" s="1"/>
  <c r="J19" i="3"/>
  <c r="K19" i="3" s="1"/>
  <c r="I25" i="5" s="1"/>
  <c r="J20" i="3"/>
  <c r="K20" i="3" s="1"/>
  <c r="I26" i="5" s="1"/>
  <c r="J21" i="3"/>
  <c r="K21" i="3" s="1"/>
  <c r="I27" i="5" s="1"/>
  <c r="J22" i="3"/>
  <c r="K22" i="3"/>
  <c r="I28" i="5" s="1"/>
  <c r="J24" i="3"/>
  <c r="K24" i="3" s="1"/>
  <c r="I30" i="5" s="1"/>
  <c r="J25" i="3"/>
  <c r="K25" i="3" s="1"/>
  <c r="I31" i="5" s="1"/>
  <c r="J26" i="3"/>
  <c r="K26" i="3" s="1"/>
  <c r="I32" i="5" s="1"/>
  <c r="J27" i="3"/>
  <c r="K27" i="3" s="1"/>
  <c r="I33" i="5" s="1"/>
  <c r="J28" i="3"/>
  <c r="K28" i="3" s="1"/>
  <c r="I34" i="5" s="1"/>
  <c r="J29" i="3"/>
  <c r="K29" i="3" s="1"/>
  <c r="I35" i="5" s="1"/>
  <c r="J31" i="3"/>
  <c r="K31" i="3" s="1"/>
  <c r="I37" i="5" s="1"/>
  <c r="J36" i="3"/>
  <c r="K36" i="3" s="1"/>
  <c r="I42" i="5" s="1"/>
  <c r="J37" i="3"/>
  <c r="K37" i="3"/>
  <c r="I43" i="5" s="1"/>
  <c r="J38" i="3"/>
  <c r="K38" i="3"/>
  <c r="I44" i="5" s="1"/>
  <c r="J42" i="3"/>
  <c r="E47" i="5" s="1"/>
  <c r="L42" i="3"/>
  <c r="J43" i="3"/>
  <c r="E48" i="5" s="1"/>
  <c r="K43" i="3"/>
  <c r="L43" i="3"/>
  <c r="J44" i="3"/>
  <c r="E49" i="5" s="1"/>
  <c r="L44" i="3"/>
  <c r="J45" i="3"/>
  <c r="E50" i="5" s="1"/>
  <c r="K45" i="3"/>
  <c r="L45" i="3"/>
  <c r="J46" i="3"/>
  <c r="E51" i="5" s="1"/>
  <c r="K46" i="3"/>
  <c r="L46" i="3"/>
  <c r="J47" i="3"/>
  <c r="E52" i="5" s="1"/>
  <c r="K47" i="3"/>
  <c r="L47" i="3"/>
  <c r="J48" i="3"/>
  <c r="E53" i="5" s="1"/>
  <c r="K48" i="3"/>
  <c r="L48" i="3"/>
  <c r="J49" i="3"/>
  <c r="E54" i="5" s="1"/>
  <c r="K49" i="3"/>
  <c r="L49" i="3"/>
  <c r="J50" i="3"/>
  <c r="E55" i="5" s="1"/>
  <c r="K50" i="3"/>
  <c r="L50" i="3"/>
  <c r="J51" i="3"/>
  <c r="E56" i="5" s="1"/>
  <c r="K51" i="3"/>
  <c r="L51" i="3"/>
  <c r="J52" i="3"/>
  <c r="E57" i="5" s="1"/>
  <c r="K52" i="3"/>
  <c r="L52" i="3"/>
  <c r="J53" i="3"/>
  <c r="E58" i="5" s="1"/>
  <c r="K53" i="3"/>
  <c r="L53" i="3"/>
  <c r="J54" i="3"/>
  <c r="E59" i="5" s="1"/>
  <c r="K54" i="3"/>
  <c r="L54" i="3"/>
  <c r="J55" i="3"/>
  <c r="E60" i="5" s="1"/>
  <c r="K55" i="3"/>
  <c r="L55" i="3"/>
  <c r="J56" i="3"/>
  <c r="E61" i="5" s="1"/>
  <c r="K56" i="3"/>
  <c r="L56" i="3"/>
  <c r="J57" i="3"/>
  <c r="E62" i="5" s="1"/>
  <c r="K57" i="3"/>
  <c r="L57" i="3"/>
  <c r="J58" i="3"/>
  <c r="E63" i="5" s="1"/>
  <c r="K58" i="3"/>
  <c r="L58" i="3"/>
  <c r="J59" i="3"/>
  <c r="E64" i="5" s="1"/>
  <c r="K59" i="3"/>
  <c r="L59" i="3"/>
  <c r="J60" i="3"/>
  <c r="E65" i="5" s="1"/>
  <c r="K60" i="3"/>
  <c r="L60" i="3"/>
  <c r="J61" i="3"/>
  <c r="E66" i="5" s="1"/>
  <c r="K61" i="3"/>
  <c r="L61" i="3"/>
  <c r="J62" i="3"/>
  <c r="E67" i="5" s="1"/>
  <c r="K62" i="3"/>
  <c r="L62" i="3"/>
  <c r="J63" i="3"/>
  <c r="E68" i="5" s="1"/>
  <c r="K63" i="3"/>
  <c r="L63" i="3"/>
  <c r="J64" i="3"/>
  <c r="E69" i="5" s="1"/>
  <c r="K64" i="3"/>
  <c r="L64" i="3"/>
  <c r="A4" i="2"/>
  <c r="A5" i="2"/>
  <c r="A6" i="2"/>
  <c r="A4" i="4"/>
  <c r="F4" i="4"/>
  <c r="A5" i="4"/>
  <c r="F5" i="4"/>
  <c r="A6" i="4"/>
  <c r="F6" i="4"/>
  <c r="J10" i="4"/>
  <c r="J11" i="4"/>
  <c r="J12" i="4"/>
  <c r="J17" i="4"/>
  <c r="J18" i="4"/>
  <c r="J19" i="4"/>
  <c r="J24" i="4"/>
  <c r="J25" i="4"/>
  <c r="J26" i="4"/>
  <c r="J31" i="4"/>
  <c r="J32" i="4"/>
  <c r="J33" i="4"/>
  <c r="J38" i="4"/>
  <c r="J39" i="4"/>
  <c r="J40" i="4"/>
  <c r="A4" i="5"/>
  <c r="F4" i="5"/>
  <c r="A5" i="5"/>
  <c r="F5" i="5"/>
  <c r="A6" i="5"/>
  <c r="F6" i="5"/>
  <c r="B10" i="5"/>
  <c r="D10" i="5"/>
  <c r="E10" i="5" s="1"/>
  <c r="G10" i="5"/>
  <c r="H10" i="5"/>
  <c r="B11" i="5"/>
  <c r="D11" i="5"/>
  <c r="E11" i="5" s="1"/>
  <c r="G11" i="5"/>
  <c r="H11" i="5"/>
  <c r="B12" i="5"/>
  <c r="D12" i="5"/>
  <c r="E12" i="5" s="1"/>
  <c r="G12" i="5"/>
  <c r="H12" i="5"/>
  <c r="B13" i="5"/>
  <c r="D13" i="5"/>
  <c r="E13" i="5" s="1"/>
  <c r="F13" i="5"/>
  <c r="G13" i="5"/>
  <c r="H13" i="5"/>
  <c r="B14" i="5"/>
  <c r="D14" i="5"/>
  <c r="E14" i="5" s="1"/>
  <c r="F14" i="5"/>
  <c r="G14" i="5"/>
  <c r="H14" i="5"/>
  <c r="B15" i="5"/>
  <c r="D15" i="5"/>
  <c r="E15" i="5" s="1"/>
  <c r="F15" i="5"/>
  <c r="G15" i="5"/>
  <c r="H15" i="5"/>
  <c r="B16" i="5"/>
  <c r="D16" i="5"/>
  <c r="E16" i="5" s="1"/>
  <c r="F16" i="5"/>
  <c r="G16" i="5"/>
  <c r="H16" i="5"/>
  <c r="B18" i="5"/>
  <c r="D18" i="5"/>
  <c r="E18" i="5" s="1"/>
  <c r="F18" i="5"/>
  <c r="G18" i="5"/>
  <c r="H18" i="5"/>
  <c r="B19" i="5"/>
  <c r="D19" i="5"/>
  <c r="E19" i="5" s="1"/>
  <c r="F19" i="5"/>
  <c r="G19" i="5"/>
  <c r="H19" i="5"/>
  <c r="B22" i="5"/>
  <c r="D22" i="5"/>
  <c r="E22" i="5" s="1"/>
  <c r="F22" i="5"/>
  <c r="G22" i="5"/>
  <c r="H22" i="5"/>
  <c r="B23" i="5"/>
  <c r="D23" i="5"/>
  <c r="E23" i="5" s="1"/>
  <c r="F23" i="5"/>
  <c r="G23" i="5"/>
  <c r="H23" i="5"/>
  <c r="B24" i="5"/>
  <c r="D24" i="5"/>
  <c r="E24" i="5" s="1"/>
  <c r="F24" i="5"/>
  <c r="G24" i="5"/>
  <c r="H24" i="5"/>
  <c r="B25" i="5"/>
  <c r="D25" i="5"/>
  <c r="E25" i="5" s="1"/>
  <c r="F25" i="5"/>
  <c r="G25" i="5"/>
  <c r="H25" i="5"/>
  <c r="B26" i="5"/>
  <c r="D26" i="5"/>
  <c r="E26" i="5" s="1"/>
  <c r="F26" i="5"/>
  <c r="G26" i="5"/>
  <c r="H26" i="5"/>
  <c r="B27" i="5"/>
  <c r="D27" i="5"/>
  <c r="E27" i="5" s="1"/>
  <c r="F27" i="5"/>
  <c r="G27" i="5"/>
  <c r="H27" i="5"/>
  <c r="B28" i="5"/>
  <c r="D28" i="5"/>
  <c r="E28" i="5" s="1"/>
  <c r="F28" i="5"/>
  <c r="G28" i="5"/>
  <c r="H28" i="5"/>
  <c r="B30" i="5"/>
  <c r="D30" i="5"/>
  <c r="E30" i="5" s="1"/>
  <c r="F30" i="5"/>
  <c r="G30" i="5"/>
  <c r="H30" i="5"/>
  <c r="B31" i="5"/>
  <c r="D31" i="5"/>
  <c r="E31" i="5"/>
  <c r="F31" i="5"/>
  <c r="G31" i="5"/>
  <c r="H31" i="5"/>
  <c r="B32" i="5"/>
  <c r="D32" i="5"/>
  <c r="E32" i="5" s="1"/>
  <c r="F32" i="5"/>
  <c r="G32" i="5"/>
  <c r="H32" i="5"/>
  <c r="B33" i="5"/>
  <c r="D33" i="5"/>
  <c r="E33" i="5" s="1"/>
  <c r="F33" i="5"/>
  <c r="G33" i="5"/>
  <c r="H33" i="5"/>
  <c r="B34" i="5"/>
  <c r="D34" i="5"/>
  <c r="E34" i="5" s="1"/>
  <c r="F34" i="5"/>
  <c r="G34" i="5"/>
  <c r="H34" i="5"/>
  <c r="B35" i="5"/>
  <c r="D35" i="5"/>
  <c r="E35" i="5" s="1"/>
  <c r="F35" i="5"/>
  <c r="G35" i="5"/>
  <c r="H35" i="5"/>
  <c r="B36" i="5"/>
  <c r="D36" i="5"/>
  <c r="E36" i="5" s="1"/>
  <c r="G36" i="5"/>
  <c r="H36" i="5"/>
  <c r="B37" i="5"/>
  <c r="D37" i="5"/>
  <c r="E37" i="5"/>
  <c r="F37" i="5"/>
  <c r="G37" i="5"/>
  <c r="H37" i="5"/>
  <c r="B42" i="5"/>
  <c r="D42" i="5"/>
  <c r="E42" i="5" s="1"/>
  <c r="F42" i="5"/>
  <c r="G42" i="5"/>
  <c r="H42" i="5"/>
  <c r="B43" i="5"/>
  <c r="D43" i="5"/>
  <c r="E43" i="5" s="1"/>
  <c r="F43" i="5"/>
  <c r="G43" i="5"/>
  <c r="H43" i="5"/>
  <c r="B44" i="5"/>
  <c r="D44" i="5"/>
  <c r="E44" i="5" s="1"/>
  <c r="F44" i="5"/>
  <c r="G44" i="5"/>
  <c r="H44" i="5"/>
  <c r="B47" i="5"/>
  <c r="D47" i="5"/>
  <c r="H47" i="5"/>
  <c r="B48" i="5"/>
  <c r="D48" i="5"/>
  <c r="H48" i="5"/>
  <c r="B49" i="5"/>
  <c r="D49" i="5"/>
  <c r="H49" i="5"/>
  <c r="B50" i="5"/>
  <c r="D50" i="5"/>
  <c r="H50" i="5"/>
  <c r="I50" i="5" s="1"/>
  <c r="J50" i="5" s="1"/>
  <c r="B51" i="5"/>
  <c r="D51" i="5"/>
  <c r="H51" i="5"/>
  <c r="I51" i="5" s="1"/>
  <c r="J51" i="5" s="1"/>
  <c r="B52" i="5"/>
  <c r="D52" i="5"/>
  <c r="H52" i="5"/>
  <c r="I52" i="5" s="1"/>
  <c r="J52" i="5" s="1"/>
  <c r="B53" i="5"/>
  <c r="D53" i="5"/>
  <c r="H53" i="5"/>
  <c r="I53" i="5" s="1"/>
  <c r="J53" i="5" s="1"/>
  <c r="B54" i="5"/>
  <c r="D54" i="5"/>
  <c r="H54" i="5"/>
  <c r="I54" i="5" s="1"/>
  <c r="J54" i="5" s="1"/>
  <c r="B55" i="5"/>
  <c r="D55" i="5"/>
  <c r="H55" i="5"/>
  <c r="I55" i="5" s="1"/>
  <c r="J55" i="5" s="1"/>
  <c r="B56" i="5"/>
  <c r="D56" i="5"/>
  <c r="H56" i="5"/>
  <c r="I56" i="5" s="1"/>
  <c r="J56" i="5" s="1"/>
  <c r="B57" i="5"/>
  <c r="D57" i="5"/>
  <c r="H57" i="5"/>
  <c r="I57" i="5" s="1"/>
  <c r="J57" i="5" s="1"/>
  <c r="B58" i="5"/>
  <c r="D58" i="5"/>
  <c r="H58" i="5"/>
  <c r="I58" i="5" s="1"/>
  <c r="J58" i="5" s="1"/>
  <c r="B59" i="5"/>
  <c r="D59" i="5"/>
  <c r="H59" i="5"/>
  <c r="I59" i="5" s="1"/>
  <c r="J59" i="5" s="1"/>
  <c r="B60" i="5"/>
  <c r="D60" i="5"/>
  <c r="H60" i="5"/>
  <c r="I60" i="5" s="1"/>
  <c r="J60" i="5" s="1"/>
  <c r="B61" i="5"/>
  <c r="D61" i="5"/>
  <c r="H61" i="5"/>
  <c r="I61" i="5" s="1"/>
  <c r="J61" i="5" s="1"/>
  <c r="B62" i="5"/>
  <c r="D62" i="5"/>
  <c r="H62" i="5"/>
  <c r="I62" i="5" s="1"/>
  <c r="J62" i="5" s="1"/>
  <c r="B63" i="5"/>
  <c r="D63" i="5"/>
  <c r="H63" i="5"/>
  <c r="I63" i="5" s="1"/>
  <c r="J63" i="5" s="1"/>
  <c r="B64" i="5"/>
  <c r="D64" i="5"/>
  <c r="H64" i="5"/>
  <c r="I64" i="5" s="1"/>
  <c r="J64" i="5" s="1"/>
  <c r="B65" i="5"/>
  <c r="D65" i="5"/>
  <c r="H65" i="5"/>
  <c r="I65" i="5" s="1"/>
  <c r="J65" i="5" s="1"/>
  <c r="B66" i="5"/>
  <c r="D66" i="5"/>
  <c r="H66" i="5"/>
  <c r="I66" i="5" s="1"/>
  <c r="J66" i="5" s="1"/>
  <c r="B67" i="5"/>
  <c r="D67" i="5"/>
  <c r="H67" i="5"/>
  <c r="I67" i="5" s="1"/>
  <c r="J67" i="5" s="1"/>
  <c r="B68" i="5"/>
  <c r="D68" i="5"/>
  <c r="H68" i="5"/>
  <c r="I68" i="5" s="1"/>
  <c r="J68" i="5" s="1"/>
  <c r="B69" i="5"/>
  <c r="D69" i="5"/>
  <c r="H69" i="5"/>
  <c r="I69" i="5" s="1"/>
  <c r="J69" i="5" s="1"/>
  <c r="F11" i="5"/>
  <c r="J5" i="3"/>
  <c r="K5" i="3" s="1"/>
  <c r="I49" i="5" l="1"/>
  <c r="I48" i="5"/>
  <c r="I47" i="5"/>
  <c r="K33" i="4"/>
  <c r="I11" i="5"/>
  <c r="K18" i="4"/>
  <c r="K11" i="4"/>
  <c r="K19" i="4"/>
  <c r="K39" i="4"/>
  <c r="K40" i="4"/>
  <c r="K25" i="4"/>
  <c r="K32" i="4"/>
  <c r="K26" i="4"/>
  <c r="K42" i="3" l="1"/>
  <c r="K38" i="4"/>
  <c r="K42" i="4" s="1"/>
  <c r="C19" i="4"/>
  <c r="G19" i="4" s="1"/>
  <c r="C25" i="4"/>
  <c r="G25" i="4" s="1"/>
  <c r="C11" i="4"/>
  <c r="G11" i="4" s="1"/>
  <c r="C40" i="4"/>
  <c r="G40" i="4" s="1"/>
  <c r="C32" i="4"/>
  <c r="G32" i="4" s="1"/>
  <c r="J4" i="3"/>
  <c r="K4" i="3" s="1"/>
  <c r="C26" i="4"/>
  <c r="G26" i="4" s="1"/>
  <c r="C38" i="4"/>
  <c r="G38" i="4" s="1"/>
  <c r="C10" i="4"/>
  <c r="G10" i="4" s="1"/>
  <c r="J30" i="3"/>
  <c r="K30" i="3" s="1"/>
  <c r="I36" i="5" s="1"/>
  <c r="F36" i="5"/>
  <c r="C24" i="4"/>
  <c r="G24" i="4" s="1"/>
  <c r="C18" i="4"/>
  <c r="G18" i="4" s="1"/>
  <c r="C17" i="4"/>
  <c r="C12" i="4"/>
  <c r="G12" i="4" s="1"/>
  <c r="C33" i="4"/>
  <c r="G33" i="4" s="1"/>
  <c r="Q4" i="1"/>
  <c r="L14" i="5" s="1"/>
  <c r="F10" i="5"/>
  <c r="J6" i="3"/>
  <c r="K6" i="3" s="1"/>
  <c r="F12" i="5"/>
  <c r="K12" i="4"/>
  <c r="C31" i="4"/>
  <c r="C39" i="4"/>
  <c r="G39" i="4" s="1"/>
  <c r="I10" i="5" l="1"/>
  <c r="Q6" i="1"/>
  <c r="L11" i="5" s="1"/>
  <c r="K44" i="3"/>
  <c r="K24" i="4"/>
  <c r="K28" i="4" s="1"/>
  <c r="K17" i="4"/>
  <c r="K21" i="4" s="1"/>
  <c r="K31" i="4"/>
  <c r="K35" i="4" s="1"/>
  <c r="K10" i="4"/>
  <c r="K14" i="4" s="1"/>
  <c r="G28" i="4"/>
  <c r="I12" i="5"/>
  <c r="C21" i="4"/>
  <c r="C14" i="4"/>
  <c r="G17" i="4"/>
  <c r="G21" i="4" s="1"/>
  <c r="C28" i="4"/>
  <c r="G14" i="4"/>
  <c r="G46" i="4"/>
  <c r="G47" i="4"/>
  <c r="G31" i="4"/>
  <c r="G35" i="4" s="1"/>
  <c r="C35" i="4"/>
  <c r="G42" i="4"/>
  <c r="C42" i="4"/>
  <c r="Q5" i="1" l="1"/>
  <c r="J44" i="5"/>
  <c r="J35" i="5"/>
  <c r="J34" i="5"/>
  <c r="J39" i="5"/>
  <c r="J28" i="5"/>
  <c r="J30" i="5"/>
  <c r="J19" i="5"/>
  <c r="L14" i="4"/>
  <c r="J37" i="5"/>
  <c r="J32" i="5"/>
  <c r="J33" i="5"/>
  <c r="J36" i="5"/>
  <c r="J31" i="5"/>
  <c r="J12" i="5"/>
  <c r="J49" i="5"/>
  <c r="J24" i="5"/>
  <c r="J15" i="5"/>
  <c r="L42" i="4"/>
  <c r="J14" i="5"/>
  <c r="J18" i="5"/>
  <c r="J29" i="5"/>
  <c r="J27" i="5"/>
  <c r="J42" i="5"/>
  <c r="J47" i="5"/>
  <c r="J41" i="5"/>
  <c r="J13" i="5"/>
  <c r="J48" i="5"/>
  <c r="J22" i="5"/>
  <c r="L35" i="4"/>
  <c r="J26" i="5"/>
  <c r="J40" i="5"/>
  <c r="J23" i="5"/>
  <c r="J17" i="5"/>
  <c r="L28" i="4"/>
  <c r="L21" i="4"/>
  <c r="J11" i="5"/>
  <c r="J43" i="5"/>
  <c r="J20" i="5"/>
  <c r="J25" i="5"/>
  <c r="J10" i="5"/>
  <c r="J38" i="5"/>
  <c r="J16" i="5"/>
  <c r="J21" i="5"/>
  <c r="G45" i="4"/>
  <c r="H14" i="4" s="1"/>
  <c r="H28" i="4" l="1"/>
  <c r="H35" i="4"/>
  <c r="H21" i="4"/>
  <c r="H4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Q4" authorId="0" shapeId="0" xr:uid="{00000000-0006-0000-0000-000001000000}">
      <text>
        <r>
          <rPr>
            <b/>
            <sz val="8.5"/>
            <color indexed="63"/>
            <rFont val="Times New Roman"/>
            <family val="1"/>
          </rPr>
          <t xml:space="preserve">Ponto de Função IFPUG: </t>
        </r>
        <r>
          <rPr>
            <sz val="8.5"/>
            <color indexed="63"/>
            <rFont val="Times New Roman"/>
            <family val="1"/>
          </rPr>
          <t>medição baseada nas regras do IFPUG. Não considerada os deflatores nem os itens não mensuráveis. Caso a funcionalidade não tenha sido detalhada, será considerada a estimativa da NESMA.</t>
        </r>
      </text>
    </comment>
    <comment ref="Q5" authorId="0" shapeId="0" xr:uid="{00000000-0006-0000-0000-000002000000}">
      <text>
        <r>
          <rPr>
            <b/>
            <sz val="8.5"/>
            <color indexed="63"/>
            <rFont val="Times New Roman"/>
            <family val="1"/>
          </rPr>
          <t xml:space="preserve">Ponto de Função Local do EM: </t>
        </r>
        <r>
          <rPr>
            <sz val="8.5"/>
            <color indexed="63"/>
            <rFont val="Times New Roman"/>
            <family val="1"/>
          </rPr>
          <t>medição para remuneração do Escritório de Métricas.Equivalente à medição IFPUG. Porém, considera os itens não mensuráveis previstos em contrato.</t>
        </r>
      </text>
    </comment>
    <comment ref="Q6" authorId="0" shapeId="0" xr:uid="{00000000-0006-0000-0000-000003000000}">
      <text>
        <r>
          <rPr>
            <b/>
            <sz val="8.5"/>
            <rFont val="Times New Roman"/>
            <family val="1"/>
          </rPr>
          <t xml:space="preserve">Ponto de Função Local da FS: </t>
        </r>
        <r>
          <rPr>
            <sz val="8.5"/>
            <color indexed="81"/>
            <rFont val="Times New Roman"/>
            <family val="1"/>
          </rPr>
          <t>medição para remuneração da Fábrica de Software. Equivalente à medição IFPUG. Porém, considera os deflatores e os itens não mensuráveis previstos em contrato.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cleriston alvarenga</author>
  </authors>
  <commentList>
    <comment ref="K4" authorId="0" shapeId="0" xr:uid="{00000000-0006-0000-0100-000001000000}">
      <text>
        <r>
          <rPr>
            <b/>
            <sz val="8"/>
            <color indexed="8"/>
            <rFont val="Tahoma"/>
            <family val="2"/>
          </rPr>
          <t xml:space="preserve">Ponto de Função IFPUG:
</t>
        </r>
        <r>
          <rPr>
            <sz val="8"/>
            <color indexed="8"/>
            <rFont val="Tahoma"/>
            <family val="2"/>
          </rPr>
          <t xml:space="preserve">Medição baseada nas regras do IFPUG. Não considerada os deflatores nem os itens não mensuráveis. Caso a funcionalidade não tenha sido detalhada, será considerada a estimativa da NESMA.
</t>
        </r>
      </text>
    </comment>
    <comment ref="K5" authorId="0" shapeId="0" xr:uid="{00000000-0006-0000-0100-000002000000}">
      <text>
        <r>
          <rPr>
            <b/>
            <sz val="8"/>
            <color indexed="8"/>
            <rFont val="Tahoma"/>
            <family val="2"/>
          </rPr>
          <t xml:space="preserve">Ponto de Função Local do EM:
</t>
        </r>
        <r>
          <rPr>
            <sz val="8"/>
            <color indexed="8"/>
            <rFont val="Tahoma"/>
            <family val="2"/>
          </rPr>
          <t>Medição para remuneração do Escritório de Métricas. Equivalente à medição IFPUG. Porém, considera os itens não mensuráveis previstos em contrato.</t>
        </r>
      </text>
    </comment>
    <comment ref="K6" authorId="0" shapeId="0" xr:uid="{00000000-0006-0000-0100-000003000000}">
      <text>
        <r>
          <rPr>
            <b/>
            <sz val="8"/>
            <color indexed="8"/>
            <rFont val="Tahoma"/>
            <family val="2"/>
          </rPr>
          <t xml:space="preserve">Ponto de Função Local da FS:
</t>
        </r>
        <r>
          <rPr>
            <sz val="8"/>
            <color indexed="8"/>
            <rFont val="Tahoma"/>
            <family val="2"/>
          </rPr>
          <t xml:space="preserve">Medição para remuneração da Fábrica de Software. Equivalente à medição IFPUG. Porém, considera os deflatores e os itens não mensuráveis previstos em contrato.
</t>
        </r>
      </text>
    </comment>
    <comment ref="A7" authorId="0" shapeId="0" xr:uid="{00000000-0006-0000-0100-000004000000}">
      <text>
        <r>
          <rPr>
            <b/>
            <sz val="8"/>
            <color indexed="8"/>
            <rFont val="Tahoma"/>
            <family val="2"/>
          </rPr>
          <t xml:space="preserve">Nome da Função:
</t>
        </r>
        <r>
          <rPr>
            <sz val="8"/>
            <color indexed="8"/>
            <rFont val="Tahoma"/>
            <family val="2"/>
          </rPr>
          <t>O processo é a menor unidade de atividade significativa para o usuário?
É auto-contido e deixa o negócio da aplicação em um estado consistente?</t>
        </r>
      </text>
    </comment>
    <comment ref="B7" authorId="0" shapeId="0" xr:uid="{00000000-0006-0000-0100-000005000000}">
      <text>
        <r>
          <rPr>
            <b/>
            <sz val="8"/>
            <color indexed="8"/>
            <rFont val="Tahoma"/>
            <family val="2"/>
          </rPr>
          <t xml:space="preserve">Tipo de Função: 
</t>
        </r>
        <r>
          <rPr>
            <sz val="8"/>
            <color indexed="8"/>
            <rFont val="Tahoma"/>
            <family val="2"/>
          </rPr>
          <t>ALI, AIE, EE, SE, CE
ou
Itens não mensuráveis</t>
        </r>
      </text>
    </comment>
    <comment ref="C7" authorId="0" shapeId="0" xr:uid="{00000000-0006-0000-0100-000006000000}">
      <text>
        <r>
          <rPr>
            <b/>
            <sz val="8"/>
            <color indexed="8"/>
            <rFont val="Tahoma"/>
            <family val="2"/>
          </rPr>
          <t xml:space="preserve">Tipo de Manutenção na função:
</t>
        </r>
        <r>
          <rPr>
            <sz val="8"/>
            <color indexed="8"/>
            <rFont val="Tahoma"/>
            <family val="2"/>
          </rPr>
          <t xml:space="preserve">I, A, E 
ou
Itens não mensuráveis
</t>
        </r>
      </text>
    </comment>
    <comment ref="D7" authorId="0" shapeId="0" xr:uid="{00000000-0006-0000-0100-000007000000}">
      <text>
        <r>
          <rPr>
            <b/>
            <sz val="8"/>
            <color indexed="8"/>
            <rFont val="Tahoma"/>
            <family val="2"/>
          </rPr>
          <t xml:space="preserve">Tipos de Dados (DETs)
</t>
        </r>
      </text>
    </comment>
    <comment ref="E7" authorId="0" shapeId="0" xr:uid="{00000000-0006-0000-0100-000008000000}">
      <text>
        <r>
          <rPr>
            <b/>
            <sz val="8"/>
            <color indexed="8"/>
            <rFont val="Tahoma"/>
            <family val="2"/>
          </rPr>
          <t xml:space="preserve">Arquivos Referenciados / Tipos de Registro
</t>
        </r>
      </text>
    </comment>
    <comment ref="F7" authorId="0" shapeId="0" xr:uid="{00000000-0006-0000-0100-000009000000}">
      <text>
        <r>
          <rPr>
            <b/>
            <sz val="8"/>
            <color indexed="8"/>
            <rFont val="Tahoma"/>
            <family val="2"/>
          </rPr>
          <t xml:space="preserve">Grau de complexidade específico atribuído a uma função.
</t>
        </r>
      </text>
    </comment>
    <comment ref="M7" authorId="0" shapeId="0" xr:uid="{00000000-0006-0000-0100-00000A000000}">
      <text>
        <r>
          <rPr>
            <b/>
            <sz val="8"/>
            <color indexed="8"/>
            <rFont val="Tahoma"/>
            <family val="2"/>
          </rPr>
          <t xml:space="preserve">Normalmente utilizado para contagem de baseline, onde o desenvolvimento foi realizado de forma incremental. Isto indica em qual(is) pacote(s) cada funcionalidade foi impactada. Em algumas situações pode ser informado o número do projeto, demanda ou incremento.
</t>
        </r>
      </text>
    </comment>
    <comment ref="N7" authorId="0" shapeId="0" xr:uid="{00000000-0006-0000-0100-00000B000000}">
      <text>
        <r>
          <rPr>
            <b/>
            <sz val="8"/>
            <color indexed="8"/>
            <rFont val="Tahoma"/>
            <family val="2"/>
          </rPr>
          <t xml:space="preserve">Referência ao documento que justifica a contagem da funcionalidade
</t>
        </r>
      </text>
    </comment>
    <comment ref="D9" authorId="1" shapeId="0" xr:uid="{00000000-0006-0000-0100-00000C000000}">
      <text>
        <r>
          <rPr>
            <sz val="9"/>
            <color indexed="81"/>
            <rFont val="Segoe UI"/>
            <family val="2"/>
          </rPr>
          <t>1. Orgão Entidade
2. Unidade orçamentária
3. Usuario de cadastro
4. Responsável do indicador
5. Tipo de indicador
6. Desdobramento
7. Area
8. SubArea
9. Nome do indicador
10. Justificativa
11. Objetivo
12. Instrumento
13. Exercicio
14. Codigo
15. Descrição
16. Unidade de medida 
17. Periodicidade 
18. Desagregação geográfica
19. Desagragação categórica
20. Metodologia de calculo
21. Descrição
22. Fonte 
23. Imagem
24. Pesquisa
25. Informação
26. Limitação
27. Parametro
28. Recomendação
29. Compreensão
30. Restrição
31. Indicador novo 
32. Termo
33. Data referencia
34. Data apuração
35. Valor apurado
36. Situaçao, 
37. Nº da Proposta, 
38. Arquivo, 
39. Comparação, 
40. Concordancia com os termos
41. flags de restrição 1 
42. flags de restrição 2 
43. flags de restrição 3 
44. flags de restrição 4 
45. ID
46. Versão
47. Tipo da Proposta</t>
        </r>
      </text>
    </comment>
    <comment ref="E9" authorId="1" shapeId="0" xr:uid="{00000000-0006-0000-0100-00000D000000}">
      <text>
        <r>
          <rPr>
            <sz val="9"/>
            <color indexed="81"/>
            <rFont val="Segoe UI"/>
            <family val="2"/>
          </rPr>
          <t>01 - Proposta de Indicadores
02 - Vinculos</t>
        </r>
      </text>
    </comment>
    <comment ref="D10" authorId="1" shapeId="0" xr:uid="{00000000-0006-0000-0100-00000E000000}">
      <text>
        <r>
          <rPr>
            <sz val="9"/>
            <color indexed="81"/>
            <rFont val="Segoe UI"/>
            <family val="2"/>
          </rPr>
          <t>1. Nome
2. CPF</t>
        </r>
      </text>
    </comment>
    <comment ref="E10" authorId="1" shapeId="0" xr:uid="{00000000-0006-0000-0100-00000F000000}">
      <text>
        <r>
          <rPr>
            <sz val="9"/>
            <color indexed="81"/>
            <rFont val="Segoe UI"/>
            <family val="2"/>
          </rPr>
          <t>01 - Servidor</t>
        </r>
      </text>
    </comment>
    <comment ref="D11" authorId="1" shapeId="0" xr:uid="{00000000-0006-0000-0100-000010000000}">
      <text>
        <r>
          <rPr>
            <sz val="9"/>
            <color indexed="81"/>
            <rFont val="Segoe UI"/>
            <family val="2"/>
          </rPr>
          <t>1. ID
2. Orgão Entidade
3. Unidade orçamentária
4. Usuário de cadastro
5. Numero da proposta
6. Nome do indicador
7. Responsável do indicador
8. Tipo de indicador
9. Desdobramento do tipo de indicador
10. Situação
11. Versão
12. Tipo da Proposta
13. CMD
14. MSG</t>
        </r>
      </text>
    </comment>
    <comment ref="E11" authorId="1" shapeId="0" xr:uid="{00000000-0006-0000-0100-000011000000}">
      <text>
        <r>
          <rPr>
            <sz val="9"/>
            <color indexed="81"/>
            <rFont val="Segoe UI"/>
            <family val="2"/>
          </rPr>
          <t xml:space="preserve">1. Proposta de indicadores
2. Orgão
3. Unidade Orçamentária
4. Usuário
</t>
        </r>
      </text>
    </comment>
    <comment ref="D12" authorId="1" shapeId="0" xr:uid="{00000000-0006-0000-0100-000012000000}">
      <text>
        <r>
          <rPr>
            <sz val="9"/>
            <color indexed="81"/>
            <rFont val="Segoe UI"/>
            <family val="2"/>
          </rPr>
          <t>1. Código
2. Descrição
3. CMD</t>
        </r>
      </text>
    </comment>
    <comment ref="E12" authorId="1" shapeId="0" xr:uid="{00000000-0006-0000-0100-000013000000}">
      <text>
        <r>
          <rPr>
            <sz val="9"/>
            <color indexed="81"/>
            <rFont val="Segoe UI"/>
            <family val="2"/>
          </rPr>
          <t>01 - UO</t>
        </r>
      </text>
    </comment>
    <comment ref="D13" authorId="1" shapeId="0" xr:uid="{00000000-0006-0000-0100-000014000000}">
      <text>
        <r>
          <rPr>
            <sz val="9"/>
            <color indexed="81"/>
            <rFont val="Segoe UI"/>
            <family val="2"/>
          </rPr>
          <t xml:space="preserve">1. ID
2. Orgão Entidade
3. Unidade orçamentária
4. Usuário de cadastro
5. Numero da proposta
6. Nome do indicador
7. Responsável do indicador
8. Tipo de indicador
9. Desdobramento do tipo de indicador
10. Situação
11. Versão
12. Tipo da Proposta
13. CMD
14. MSG
</t>
        </r>
      </text>
    </comment>
    <comment ref="E13" authorId="1" shapeId="0" xr:uid="{00000000-0006-0000-0100-000015000000}">
      <text>
        <r>
          <rPr>
            <sz val="9"/>
            <color indexed="81"/>
            <rFont val="Segoe UI"/>
            <family val="2"/>
          </rPr>
          <t xml:space="preserve">1. Proposta de indicadores
2. Orgão
3. Unidade Orçamentária
4. Usuário
</t>
        </r>
      </text>
    </comment>
    <comment ref="D14" authorId="1" shapeId="0" xr:uid="{00000000-0006-0000-0100-000016000000}">
      <text>
        <r>
          <rPr>
            <sz val="9"/>
            <color indexed="81"/>
            <rFont val="Segoe UI"/>
            <family val="2"/>
          </rPr>
          <t xml:space="preserve">1. Orgão Entidade
2. Unidade orçamentária
3. Usuario de cadastro
4. Responsável do indicador
5. Tipo de indicador
6. Desdobramento
7. Area
8. SubArea
9. Nome do indicador
10. Justificativa
11. Objeto
12. Instrumento
13. Exercicio
14. Codigo
15. Descrição
16. Versão
17. Tipo da Proposta
18. CMD
19. MSG
</t>
        </r>
      </text>
    </comment>
    <comment ref="E14" authorId="1" shapeId="0" xr:uid="{00000000-0006-0000-0100-000017000000}">
      <text>
        <r>
          <rPr>
            <sz val="9"/>
            <color indexed="81"/>
            <rFont val="Segoe UI"/>
            <family val="2"/>
          </rPr>
          <t xml:space="preserve">1. Proposta de indicadores
2. Orgão
3. Unidade Orçamentária
4. Usuário
</t>
        </r>
      </text>
    </comment>
    <comment ref="D15" authorId="1" shapeId="0" xr:uid="{00000000-0006-0000-0100-000018000000}">
      <text>
        <r>
          <rPr>
            <sz val="9"/>
            <color indexed="81"/>
            <rFont val="Segoe UI"/>
            <family val="2"/>
          </rPr>
          <t>1. Nome
2. CPF
3. CMD</t>
        </r>
      </text>
    </comment>
    <comment ref="E15" authorId="1" shapeId="0" xr:uid="{00000000-0006-0000-0100-000019000000}">
      <text>
        <r>
          <rPr>
            <sz val="9"/>
            <color indexed="81"/>
            <rFont val="Segoe UI"/>
            <family val="2"/>
          </rPr>
          <t>01 - Servidor</t>
        </r>
      </text>
    </comment>
    <comment ref="D16" authorId="1" shapeId="0" xr:uid="{00000000-0006-0000-0100-00001A000000}">
      <text>
        <r>
          <rPr>
            <sz val="9"/>
            <color indexed="81"/>
            <rFont val="Segoe UI"/>
            <family val="2"/>
          </rPr>
          <t>1. Código
2. Descrição
3. CMD</t>
        </r>
      </text>
    </comment>
    <comment ref="E16" authorId="1" shapeId="0" xr:uid="{00000000-0006-0000-0100-00001B000000}">
      <text>
        <r>
          <rPr>
            <sz val="9"/>
            <color indexed="81"/>
            <rFont val="Segoe UI"/>
            <family val="2"/>
          </rPr>
          <t>01 - Exercício</t>
        </r>
      </text>
    </comment>
    <comment ref="D17" authorId="1" shapeId="0" xr:uid="{00000000-0006-0000-0100-00001C000000}">
      <text>
        <r>
          <rPr>
            <sz val="9"/>
            <color indexed="81"/>
            <rFont val="Segoe UI"/>
            <family val="2"/>
          </rPr>
          <t xml:space="preserve">1. Exercicio
2. Codigo
3. Nome
4. CMD
5. MSG
</t>
        </r>
      </text>
    </comment>
    <comment ref="E17" authorId="1" shapeId="0" xr:uid="{00000000-0006-0000-0100-00001D000000}">
      <text>
        <r>
          <rPr>
            <sz val="9"/>
            <color indexed="81"/>
            <rFont val="Segoe UI"/>
            <family val="2"/>
          </rPr>
          <t>01. Instrumento</t>
        </r>
      </text>
    </comment>
    <comment ref="D18" authorId="1" shapeId="0" xr:uid="{00000000-0006-0000-0100-00001E000000}">
      <text>
        <r>
          <rPr>
            <sz val="9"/>
            <color indexed="81"/>
            <rFont val="Segoe UI"/>
            <family val="2"/>
          </rPr>
          <t xml:space="preserve">1. Unidade de medida 
2. Periodicidade 
3. Desagregação geográfica
4. Desagragação categórica
5. Metodologia de calculo
6. Descrição
7. Fonte 
8. Imagem
9. Pesquisa
10. Informação
11. Limitação
12. Parametro
13. Recomendação
14. Compreensão
15. Restrição a publicação
16. Restrição a publicação de dados do indicador exceto utilização orgão publicos
17. Restrição a publicação exceto utilização dos dados
18. MSG
19. CMD
</t>
        </r>
      </text>
    </comment>
    <comment ref="E18" authorId="1" shapeId="0" xr:uid="{00000000-0006-0000-0100-00001F000000}">
      <text>
        <r>
          <rPr>
            <sz val="9"/>
            <color indexed="81"/>
            <rFont val="Segoe UI"/>
            <family val="2"/>
          </rPr>
          <t xml:space="preserve">1. Proposta de indicadores
</t>
        </r>
      </text>
    </comment>
    <comment ref="D19" authorId="1" shapeId="0" xr:uid="{00000000-0006-0000-0100-000020000000}">
      <text>
        <r>
          <rPr>
            <sz val="9"/>
            <color indexed="81"/>
            <rFont val="Segoe UI"/>
            <family val="2"/>
          </rPr>
          <t>1. Código
2. Descrição
3. CMD</t>
        </r>
      </text>
    </comment>
    <comment ref="E19" authorId="1" shapeId="0" xr:uid="{00000000-0006-0000-0100-000021000000}">
      <text>
        <r>
          <rPr>
            <sz val="9"/>
            <color indexed="81"/>
            <rFont val="Segoe UI"/>
            <family val="2"/>
          </rPr>
          <t xml:space="preserve">01 - Unidade de Medida
</t>
        </r>
      </text>
    </comment>
    <comment ref="D20" authorId="1" shapeId="0" xr:uid="{00000000-0006-0000-0100-000022000000}">
      <text>
        <r>
          <rPr>
            <sz val="9"/>
            <color indexed="81"/>
            <rFont val="Segoe UI"/>
            <family val="2"/>
          </rPr>
          <t>1. Código
2. Descrição
3. CMD</t>
        </r>
      </text>
    </comment>
    <comment ref="E20" authorId="1" shapeId="0" xr:uid="{00000000-0006-0000-0100-000023000000}">
      <text>
        <r>
          <rPr>
            <sz val="9"/>
            <color indexed="81"/>
            <rFont val="Segoe UI"/>
            <family val="2"/>
          </rPr>
          <t xml:space="preserve">01 - Periodicidade
</t>
        </r>
      </text>
    </comment>
    <comment ref="D21" authorId="1" shapeId="0" xr:uid="{00000000-0006-0000-0100-000024000000}">
      <text>
        <r>
          <rPr>
            <sz val="9"/>
            <color indexed="81"/>
            <rFont val="Segoe UI"/>
            <family val="2"/>
          </rPr>
          <t>1. Código
2. Descrição
3. CMD</t>
        </r>
      </text>
    </comment>
    <comment ref="E21" authorId="1" shapeId="0" xr:uid="{00000000-0006-0000-0100-000025000000}">
      <text>
        <r>
          <rPr>
            <sz val="9"/>
            <color indexed="81"/>
            <rFont val="Segoe UI"/>
            <family val="2"/>
          </rPr>
          <t xml:space="preserve">01 - Des. Geografica
</t>
        </r>
      </text>
    </comment>
    <comment ref="D22" authorId="1" shapeId="0" xr:uid="{00000000-0006-0000-0100-000026000000}">
      <text>
        <r>
          <rPr>
            <sz val="9"/>
            <color indexed="81"/>
            <rFont val="Segoe UI"/>
            <family val="2"/>
          </rPr>
          <t>1. Código
2. Descrição
3. CMD</t>
        </r>
      </text>
    </comment>
    <comment ref="E22" authorId="1" shapeId="0" xr:uid="{00000000-0006-0000-0100-000027000000}">
      <text>
        <r>
          <rPr>
            <sz val="9"/>
            <color indexed="81"/>
            <rFont val="Segoe UI"/>
            <family val="2"/>
          </rPr>
          <t xml:space="preserve">01 - Des. Categórica
</t>
        </r>
      </text>
    </comment>
    <comment ref="D23" authorId="1" shapeId="0" xr:uid="{00000000-0006-0000-0100-000028000000}">
      <text>
        <r>
          <rPr>
            <sz val="9"/>
            <color indexed="81"/>
            <rFont val="Segoe UI"/>
            <family val="2"/>
          </rPr>
          <t>1. Código
2. Descrição
3. CMD</t>
        </r>
      </text>
    </comment>
    <comment ref="E23" authorId="1" shapeId="0" xr:uid="{00000000-0006-0000-0100-000029000000}">
      <text>
        <r>
          <rPr>
            <sz val="9"/>
            <color indexed="81"/>
            <rFont val="Segoe UI"/>
            <family val="2"/>
          </rPr>
          <t>01 - Classificação Info</t>
        </r>
      </text>
    </comment>
    <comment ref="D24" authorId="1" shapeId="0" xr:uid="{00000000-0006-0000-0100-00002A000000}">
      <text>
        <r>
          <rPr>
            <sz val="9"/>
            <color indexed="81"/>
            <rFont val="Segoe UI"/>
            <family val="2"/>
          </rPr>
          <t xml:space="preserve">1. ID
2. Indicador novo 
3. Termo
4. Data referencia
5. Data apuração
6. Valor apurado
7. CMD
8. MSG
</t>
        </r>
      </text>
    </comment>
    <comment ref="E24" authorId="1" shapeId="0" xr:uid="{00000000-0006-0000-0100-00002B000000}">
      <text>
        <r>
          <rPr>
            <sz val="9"/>
            <color indexed="81"/>
            <rFont val="Segoe UI"/>
            <family val="2"/>
          </rPr>
          <t xml:space="preserve">1. Proposta de indicadores
</t>
        </r>
      </text>
    </comment>
    <comment ref="D25" authorId="1" shapeId="0" xr:uid="{00000000-0006-0000-0100-00002C000000}">
      <text>
        <r>
          <rPr>
            <sz val="9"/>
            <color indexed="81"/>
            <rFont val="Segoe UI"/>
            <family val="2"/>
          </rPr>
          <t xml:space="preserve">1. ID
2. Orgão Entidade
3. Unidade orçamentária
4. Usuario de cadastro
5. Responsável do indicador
6. Tipo de indicador
7. Desdobramento
8. Area
9. SubArea
10. Nome do indicador
11. Justificativa
12. Objeto
13. Instrumento
14. Exercicio
15. Codigo
16. Descrição
17. CMD
18. MSG
</t>
        </r>
      </text>
    </comment>
    <comment ref="E25" authorId="1" shapeId="0" xr:uid="{00000000-0006-0000-0100-00002D000000}">
      <text>
        <r>
          <rPr>
            <sz val="9"/>
            <color indexed="81"/>
            <rFont val="Segoe UI"/>
            <family val="2"/>
          </rPr>
          <t xml:space="preserve">1. Proposta de indicadores
2. Orgão
3. Unidade Orçamentária
4. Usuário
</t>
        </r>
      </text>
    </comment>
    <comment ref="D26" authorId="1" shapeId="0" xr:uid="{00000000-0006-0000-0100-00002E000000}">
      <text>
        <r>
          <rPr>
            <sz val="9"/>
            <color indexed="81"/>
            <rFont val="Segoe UI"/>
            <family val="2"/>
          </rPr>
          <t xml:space="preserve">1. ID
2. Orgão Entidade
3. Unidade orçamentária
4. Usuario de cadastro
5. Responsável do indicador
6. Tipo de indicador
7. Desdobramento
8. Area
9. SubArea
10. Nome do indicador
11. Justificativa
12. Objeto
13. Instrumento
14. Exercicio
15. Codigo
16. Descrição
</t>
        </r>
      </text>
    </comment>
    <comment ref="E26" authorId="1" shapeId="0" xr:uid="{00000000-0006-0000-0100-00002F000000}">
      <text>
        <r>
          <rPr>
            <sz val="9"/>
            <color indexed="81"/>
            <rFont val="Segoe UI"/>
            <family val="2"/>
          </rPr>
          <t xml:space="preserve">1. Proposta de indicadores
2. Orgão
3. Unidade Orçamentária
4. Usuário
</t>
        </r>
      </text>
    </comment>
    <comment ref="D27" authorId="1" shapeId="0" xr:uid="{00000000-0006-0000-0100-000030000000}">
      <text>
        <r>
          <rPr>
            <sz val="9"/>
            <color indexed="81"/>
            <rFont val="Segoe UI"/>
            <family val="2"/>
          </rPr>
          <t xml:space="preserve">1. ID
2. Unidade de medida 
3. Periodicidade 
4. Desagregação geográfica
5. Desagragação categórica
6. Metodologia de calculo
7. Descrição
8. Fonte 
9. Imagem
10. Pesquisa
11. Informação
12. Limitação
13. Parametro
14. Recomendação
15. Compreensão
16. Restrição
17. CMD
18. MSG
</t>
        </r>
      </text>
    </comment>
    <comment ref="E27" authorId="1" shapeId="0" xr:uid="{00000000-0006-0000-0100-000031000000}">
      <text>
        <r>
          <rPr>
            <sz val="9"/>
            <color indexed="81"/>
            <rFont val="Segoe UI"/>
            <family val="2"/>
          </rPr>
          <t xml:space="preserve">1. Proposta de indicadores
</t>
        </r>
      </text>
    </comment>
    <comment ref="D28" authorId="1" shapeId="0" xr:uid="{00000000-0006-0000-0100-000032000000}">
      <text>
        <r>
          <rPr>
            <sz val="9"/>
            <color indexed="81"/>
            <rFont val="Segoe UI"/>
            <family val="2"/>
          </rPr>
          <t xml:space="preserve">1. ID
2. Unidade de medida 
3. Periodicidade 
4. Desagregação geográfica
5. Desagragação categórica
6. Metodologia de calculo
7. Descrição
8. Fonte 
9. Imagem
10. Pesquisa
11. Informação
12. Limitação
13. Parametro
14. Recomendação
15. Compreensão
16. Restrição
</t>
        </r>
      </text>
    </comment>
    <comment ref="E28" authorId="1" shapeId="0" xr:uid="{00000000-0006-0000-0100-000033000000}">
      <text>
        <r>
          <rPr>
            <sz val="9"/>
            <color indexed="81"/>
            <rFont val="Segoe UI"/>
            <family val="2"/>
          </rPr>
          <t xml:space="preserve">1. Proposta de indicadores
</t>
        </r>
      </text>
    </comment>
    <comment ref="D29" authorId="1" shapeId="0" xr:uid="{00000000-0006-0000-0100-000034000000}">
      <text>
        <r>
          <rPr>
            <sz val="9"/>
            <color indexed="81"/>
            <rFont val="Segoe UI"/>
            <family val="2"/>
          </rPr>
          <t xml:space="preserve">1. ID
2. Indicador novo 
3. Termo
4. Data referencia
5. Data apuração
6. Valor apurado
7. CMD
8. MSG
</t>
        </r>
      </text>
    </comment>
    <comment ref="E29" authorId="1" shapeId="0" xr:uid="{00000000-0006-0000-0100-000035000000}">
      <text>
        <r>
          <rPr>
            <sz val="9"/>
            <color indexed="81"/>
            <rFont val="Segoe UI"/>
            <family val="2"/>
          </rPr>
          <t xml:space="preserve">1. Proposta de indicadores
</t>
        </r>
      </text>
    </comment>
    <comment ref="D30" authorId="1" shapeId="0" xr:uid="{00000000-0006-0000-0100-000036000000}">
      <text>
        <r>
          <rPr>
            <sz val="9"/>
            <color indexed="81"/>
            <rFont val="Segoe UI"/>
            <family val="2"/>
          </rPr>
          <t xml:space="preserve">1. ID
2. Indicador novo 
3. Termo
4. Data referencia
5. Data apuração
6. Valor apurado
</t>
        </r>
      </text>
    </comment>
    <comment ref="E30" authorId="1" shapeId="0" xr:uid="{00000000-0006-0000-0100-000037000000}">
      <text>
        <r>
          <rPr>
            <sz val="9"/>
            <color indexed="81"/>
            <rFont val="Segoe UI"/>
            <family val="2"/>
          </rPr>
          <t xml:space="preserve">1. Proposta de indicadores
</t>
        </r>
      </text>
    </comment>
    <comment ref="D31" authorId="1" shapeId="0" xr:uid="{00000000-0006-0000-0100-000038000000}">
      <text>
        <r>
          <rPr>
            <sz val="9"/>
            <color indexed="81"/>
            <rFont val="Segoe UI"/>
            <family val="2"/>
          </rPr>
          <t>1. Codigo
2. CMD
3. MSG</t>
        </r>
      </text>
    </comment>
    <comment ref="E31" authorId="1" shapeId="0" xr:uid="{00000000-0006-0000-0100-000039000000}">
      <text>
        <r>
          <rPr>
            <sz val="9"/>
            <color indexed="81"/>
            <rFont val="Segoe UI"/>
            <family val="2"/>
          </rPr>
          <t xml:space="preserve">1. Proposta de indicadores
</t>
        </r>
      </text>
    </comment>
    <comment ref="D32" authorId="1" shapeId="0" xr:uid="{00000000-0006-0000-0100-00003A000000}">
      <text>
        <r>
          <rPr>
            <sz val="9"/>
            <color indexed="81"/>
            <rFont val="Segoe UI"/>
            <family val="2"/>
          </rPr>
          <t>1. Codigo
2. CMD
3. MSG</t>
        </r>
      </text>
    </comment>
    <comment ref="E32" authorId="1" shapeId="0" xr:uid="{00000000-0006-0000-0100-00003B000000}">
      <text>
        <r>
          <rPr>
            <sz val="9"/>
            <color indexed="81"/>
            <rFont val="Segoe UI"/>
            <family val="2"/>
          </rPr>
          <t xml:space="preserve">1. Proposta de indicadores
</t>
        </r>
      </text>
    </comment>
    <comment ref="D33" authorId="1" shapeId="0" xr:uid="{00000000-0006-0000-0100-00003C000000}">
      <text>
        <r>
          <rPr>
            <sz val="9"/>
            <color indexed="81"/>
            <rFont val="Segoe UI"/>
            <family val="2"/>
          </rPr>
          <t>1. Status
2. Motivo
3. CMD
4. MSG</t>
        </r>
      </text>
    </comment>
    <comment ref="E33" authorId="1" shapeId="0" xr:uid="{00000000-0006-0000-0100-00003D000000}">
      <text>
        <r>
          <rPr>
            <sz val="9"/>
            <color indexed="81"/>
            <rFont val="Segoe UI"/>
            <family val="2"/>
          </rPr>
          <t xml:space="preserve">1. Proposta de indicadores
</t>
        </r>
      </text>
    </comment>
    <comment ref="D34" authorId="1" shapeId="0" xr:uid="{00000000-0006-0000-0100-00003E000000}">
      <text>
        <r>
          <rPr>
            <sz val="9"/>
            <color indexed="81"/>
            <rFont val="Segoe UI"/>
            <family val="2"/>
          </rPr>
          <t xml:space="preserve">1. ID
2. Orgão Entidade
3. Unidade orçamentária
4. Usuario de cadastro
5. Responsável do indicador
6. Tipo de indicador
7. Desdobramento
8. Area
9. SubArea
10. Nome do indicador
11. Justificativa
12. Objeto
13. Instrumento
14. Exercicio
15. Codigo
16. Descrição
17. CMD
18. MSG
</t>
        </r>
      </text>
    </comment>
    <comment ref="E34" authorId="1" shapeId="0" xr:uid="{00000000-0006-0000-0100-00003F000000}">
      <text>
        <r>
          <rPr>
            <sz val="9"/>
            <color indexed="81"/>
            <rFont val="Segoe UI"/>
            <family val="2"/>
          </rPr>
          <t xml:space="preserve">1. Proposta de indicadores
2. Orgão
3. Unidade Orçamentária
4. Usuário
</t>
        </r>
      </text>
    </comment>
    <comment ref="D35" authorId="1" shapeId="0" xr:uid="{00000000-0006-0000-0100-000040000000}">
      <text>
        <r>
          <rPr>
            <sz val="9"/>
            <color indexed="81"/>
            <rFont val="Segoe UI"/>
            <family val="2"/>
          </rPr>
          <t xml:space="preserve">1. ID
2. Unidade de medida 
3. Periodicidade 
4. Desagregação geográfica
5. Desagragação categórica
6. Metodologia de calculo
7. Descrição
8. Fonte 
9. Imagem
10. Pesquisa
11. Informação
12. Limitação
13. Parametro
14. Recomendação
15. Compreensão
16. Restrição
17. CMD
18. MSG
</t>
        </r>
      </text>
    </comment>
    <comment ref="E35" authorId="1" shapeId="0" xr:uid="{00000000-0006-0000-0100-000041000000}">
      <text>
        <r>
          <rPr>
            <sz val="9"/>
            <color indexed="81"/>
            <rFont val="Segoe UI"/>
            <family val="2"/>
          </rPr>
          <t xml:space="preserve">1. Proposta de indicadores
</t>
        </r>
      </text>
    </comment>
    <comment ref="D36" authorId="1" shapeId="0" xr:uid="{00000000-0006-0000-0100-000042000000}">
      <text>
        <r>
          <rPr>
            <sz val="9"/>
            <color indexed="81"/>
            <rFont val="Segoe UI"/>
            <family val="2"/>
          </rPr>
          <t xml:space="preserve">1. ID
2. Indicador novo 
3. Termo
4. Data referencia
5. Data apuração
6. Valor apurado
7. CMD
8. MSG
</t>
        </r>
      </text>
    </comment>
    <comment ref="E36" authorId="1" shapeId="0" xr:uid="{00000000-0006-0000-0100-000043000000}">
      <text>
        <r>
          <rPr>
            <sz val="9"/>
            <color indexed="81"/>
            <rFont val="Segoe UI"/>
            <family val="2"/>
          </rPr>
          <t xml:space="preserve">1. Proposta de indicadores
</t>
        </r>
      </text>
    </comment>
    <comment ref="D37" authorId="1" shapeId="0" xr:uid="{00000000-0006-0000-0100-000044000000}">
      <text>
        <r>
          <rPr>
            <sz val="9"/>
            <color indexed="81"/>
            <rFont val="Segoe UI"/>
            <family val="2"/>
          </rPr>
          <t>1. ID
2. Status
3. Numero Proposta
4. Nome da propsota
5. CMD
6. MSG</t>
        </r>
      </text>
    </comment>
    <comment ref="E37" authorId="1" shapeId="0" xr:uid="{00000000-0006-0000-0100-000045000000}">
      <text>
        <r>
          <rPr>
            <sz val="9"/>
            <color indexed="81"/>
            <rFont val="Segoe UI"/>
            <family val="2"/>
          </rPr>
          <t xml:space="preserve">1. Proposta de indicadores
</t>
        </r>
      </text>
    </comment>
    <comment ref="D40" authorId="1" shapeId="0" xr:uid="{00000000-0006-0000-0100-000046000000}">
      <text>
        <r>
          <rPr>
            <sz val="9"/>
            <color indexed="81"/>
            <rFont val="Segoe UI"/>
            <family val="2"/>
          </rPr>
          <t>1. N da proposta
2. Nome do indicador Analista negocial
3. Status
4. Nome
5. Data
6. Cobertura
7. OBS
8. Desagregabiliadade
9. OBS
10. Comparabilidade
11. OBS
12. Historicidade
13. OBS
14. Periodicidade na avaliação
15. OBS
16. Comunicabilidade
17. OBS
18. Replicabilidade
19. OBS
20. Viabilidade
21. OBS
22. Esforço
23. OBS
24. Resultado
25. OBS
26. Adequadabilidade
27. OBS
28. Avaliação de resultado
29. OBS
30. Parecer negocial
31. OBS
32. Confiabilidade
33. OBS
34. ID
35. Versão
36. Tipo da Proposta</t>
        </r>
      </text>
    </comment>
    <comment ref="E40" authorId="1" shapeId="0" xr:uid="{00000000-0006-0000-0100-000047000000}">
      <text>
        <r>
          <rPr>
            <sz val="9"/>
            <color indexed="81"/>
            <rFont val="Segoe UI"/>
            <family val="2"/>
          </rPr>
          <t>1. Análise Negocial</t>
        </r>
      </text>
    </comment>
    <comment ref="D41" authorId="1" shapeId="0" xr:uid="{00000000-0006-0000-0100-000048000000}">
      <text>
        <r>
          <rPr>
            <sz val="9"/>
            <color indexed="81"/>
            <rFont val="Segoe UI"/>
            <family val="2"/>
          </rPr>
          <t>1. Descrição Orgão
2. Codigo</t>
        </r>
      </text>
    </comment>
    <comment ref="E41" authorId="1" shapeId="0" xr:uid="{00000000-0006-0000-0100-000049000000}">
      <text>
        <r>
          <rPr>
            <sz val="9"/>
            <color indexed="81"/>
            <rFont val="Segoe UI"/>
            <family val="2"/>
          </rPr>
          <t xml:space="preserve">1. Orgão
</t>
        </r>
      </text>
    </comment>
    <comment ref="D42" authorId="1" shapeId="0" xr:uid="{00000000-0006-0000-0100-00004A000000}">
      <text>
        <r>
          <rPr>
            <sz val="9"/>
            <color indexed="81"/>
            <rFont val="Segoe UI"/>
            <family val="2"/>
          </rPr>
          <t xml:space="preserve">1. ID
2. Orgão Entidade
3. Usuario de cadastro da proposta 
4. Analista negocial
5. N da proposta
6. Nome do indicador
7. Situação da Análise
8. Parecer Negocial
9. Resp Cadastro
10. Versão
11. Tipo da Proposta
12. CMD
13. MSG
</t>
        </r>
      </text>
    </comment>
    <comment ref="E42" authorId="1" shapeId="0" xr:uid="{00000000-0006-0000-0100-00004B000000}">
      <text>
        <r>
          <rPr>
            <sz val="9"/>
            <color indexed="81"/>
            <rFont val="Segoe UI"/>
            <family val="2"/>
          </rPr>
          <t xml:space="preserve">01 - Proposta de Indicadores
02 - Analise Negocial
03 - Orgão
04 - Usuario
</t>
        </r>
      </text>
    </comment>
    <comment ref="D43" authorId="1" shapeId="0" xr:uid="{00000000-0006-0000-0100-00004C000000}">
      <text>
        <r>
          <rPr>
            <sz val="9"/>
            <color indexed="81"/>
            <rFont val="Segoe UI"/>
            <family val="2"/>
          </rPr>
          <t xml:space="preserve">1. ID
2. Orgão Entidade
3. Unidade de cadastro da proposta 
4. Analista negocial
5. N da proposta
6. Nome do indicador
7. Situação da Análise
8. Parecer Negocial
9. Resp Cadastro
10. Versão
11. Tipo da Proposta
12. Comando
13. Mensagem
</t>
        </r>
      </text>
    </comment>
    <comment ref="E43" authorId="1" shapeId="0" xr:uid="{00000000-0006-0000-0100-00004D000000}">
      <text>
        <r>
          <rPr>
            <sz val="9"/>
            <color indexed="81"/>
            <rFont val="Segoe UI"/>
            <family val="2"/>
          </rPr>
          <t xml:space="preserve">01 - Proposta de Indicadores
02 - Analise Negocial
03 - Orgão
04 - Usuario
</t>
        </r>
      </text>
    </comment>
    <comment ref="D44" authorId="1" shapeId="0" xr:uid="{00000000-0006-0000-0100-00004E000000}">
      <text>
        <r>
          <rPr>
            <sz val="9"/>
            <color indexed="81"/>
            <rFont val="Segoe UI"/>
            <family val="2"/>
          </rPr>
          <t>1. ID
2. Status
3. CMD
4. MSG</t>
        </r>
      </text>
    </comment>
    <comment ref="E44" authorId="1" shapeId="0" xr:uid="{00000000-0006-0000-0100-00004F000000}">
      <text>
        <r>
          <rPr>
            <sz val="9"/>
            <color indexed="81"/>
            <rFont val="Segoe UI"/>
            <family val="2"/>
          </rPr>
          <t>1. Análise Negocial</t>
        </r>
      </text>
    </comment>
    <comment ref="D45" authorId="1" shapeId="0" xr:uid="{00000000-0006-0000-0100-000050000000}">
      <text>
        <r>
          <rPr>
            <sz val="9"/>
            <color indexed="81"/>
            <rFont val="Segoe UI"/>
            <family val="2"/>
          </rPr>
          <t>1. ID
2. N da proposta
3. Nome do indicador Analista negocial
4. Status
5. Nome
6. Data
7. Cobertura
8. OBS
9. Desagregabiliadade
10. OBS
11. Comparabilidade
12. OBS
13. Historicidade
14. OBS
15. Periodicidade na avaliação
16. OBS
17. Comunicabilidade
18. OBS
19. Replicabilidade
20. OBS
21. Viabilidade
22. OBS
23. Esforço
24. OBS
25. Resultado
26. OBS
27. Adequadabilidade
28. OBS
29. Avaliação de resultado
30. OBS
31. Parecer negocial
32. OBS
33. Versão
34. Tipo da Proposta
35. CMD
36. MSG</t>
        </r>
      </text>
    </comment>
    <comment ref="E45" authorId="1" shapeId="0" xr:uid="{00000000-0006-0000-0100-000051000000}">
      <text>
        <r>
          <rPr>
            <sz val="9"/>
            <color indexed="81"/>
            <rFont val="Segoe UI"/>
            <family val="2"/>
          </rPr>
          <t xml:space="preserve">01 - Proposta de Indicadores
02 - Analise Negocial
</t>
        </r>
      </text>
    </comment>
    <comment ref="D46" authorId="1" shapeId="0" xr:uid="{00000000-0006-0000-0100-000052000000}">
      <text>
        <r>
          <rPr>
            <sz val="9"/>
            <color indexed="81"/>
            <rFont val="Segoe UI"/>
            <family val="2"/>
          </rPr>
          <t>1. ID
2. Status
3. CMD
4. MSG</t>
        </r>
      </text>
    </comment>
    <comment ref="E46" authorId="1" shapeId="0" xr:uid="{00000000-0006-0000-0100-000053000000}">
      <text>
        <r>
          <rPr>
            <sz val="9"/>
            <color indexed="81"/>
            <rFont val="Segoe UI"/>
            <family val="2"/>
          </rPr>
          <t>1. Análise Negocial</t>
        </r>
      </text>
    </comment>
    <comment ref="D47" authorId="1" shapeId="0" xr:uid="{00000000-0006-0000-0100-000054000000}">
      <text>
        <r>
          <rPr>
            <sz val="9"/>
            <color indexed="81"/>
            <rFont val="Segoe UI"/>
            <family val="2"/>
          </rPr>
          <t xml:space="preserve">1. ID
2. N da proposta
3. Nome do indicador Analista negocial
4. Status
5. Nome
6. Data
7. Cobertura
8. OBS
9. Desagregabiliadade
10. OBS
11. Comparabilidade
12. OBS
13. Historicidade
14. OBS
15. Periodicidade na avaliação
16. OBS
17. Comunicabilidade
18. OBS
19. Replicabilidade
20. OBS
21. Viabilidade
22. OBS
23. Esforço
24. OBS
25. Resultado
26. OBS
27. Adequadabilidade
28. OBS
29. Avaliação de resultado
30. OBS
31. Parecer negocial
32. OBS
33. CMD
34. MSG
</t>
        </r>
      </text>
    </comment>
    <comment ref="E47" authorId="1" shapeId="0" xr:uid="{00000000-0006-0000-0100-000055000000}">
      <text>
        <r>
          <rPr>
            <sz val="9"/>
            <color indexed="81"/>
            <rFont val="Segoe UI"/>
            <family val="2"/>
          </rPr>
          <t xml:space="preserve">01 - Proposta de Indicadores
02 - Analise Negocial
</t>
        </r>
      </text>
    </comment>
    <comment ref="D48" authorId="1" shapeId="0" xr:uid="{00000000-0006-0000-0100-000056000000}">
      <text>
        <r>
          <rPr>
            <sz val="9"/>
            <color indexed="81"/>
            <rFont val="Segoe UI"/>
            <family val="2"/>
          </rPr>
          <t xml:space="preserve">1. ID
2. N da proposta
3. Nome do indicador Analista negocial
4. Status
5. Nome
6. Data
7. Cobertura
8. OBS
9. Desagregabiliadade
10. OBS
11. Comparabilidade
12. OBS
13. Historicidade
14. OBS
15. Periodicidade na avaliação
16. OBS
17. Comunicabilidade
18. OBS
19. Replicabilidade
20. OBS
21. Viabilidade
22. OBS
23. Esforço
24. OBS
25. Resultado
26. OBS
27. Adequadabilidade
28. OBS
29. Avaliação de resultado
30. OBS
31. Parecer negocial
32. OBS
</t>
        </r>
      </text>
    </comment>
    <comment ref="E48" authorId="1" shapeId="0" xr:uid="{00000000-0006-0000-0100-000057000000}">
      <text>
        <r>
          <rPr>
            <sz val="9"/>
            <color indexed="81"/>
            <rFont val="Segoe UI"/>
            <family val="2"/>
          </rPr>
          <t xml:space="preserve">01 - Proposta de Indicadores
02 - Analise Negocial
</t>
        </r>
      </text>
    </comment>
    <comment ref="D49" authorId="1" shapeId="0" xr:uid="{00000000-0006-0000-0100-000058000000}">
      <text>
        <r>
          <rPr>
            <sz val="9"/>
            <color indexed="81"/>
            <rFont val="Segoe UI"/>
            <family val="2"/>
          </rPr>
          <t>1. Código
2. Descrição Orgão
3. CMD</t>
        </r>
      </text>
    </comment>
    <comment ref="E49" authorId="1" shapeId="0" xr:uid="{00000000-0006-0000-0100-000059000000}">
      <text>
        <r>
          <rPr>
            <sz val="9"/>
            <color indexed="81"/>
            <rFont val="Segoe UI"/>
            <family val="2"/>
          </rPr>
          <t xml:space="preserve">1. Orgão
</t>
        </r>
      </text>
    </comment>
    <comment ref="D50" authorId="1" shapeId="0" xr:uid="{00000000-0006-0000-0100-00005A000000}">
      <text>
        <r>
          <rPr>
            <sz val="9"/>
            <color indexed="81"/>
            <rFont val="Segoe UI"/>
            <family val="2"/>
          </rPr>
          <t>1. Código
2. Nome
3. CMD</t>
        </r>
      </text>
    </comment>
    <comment ref="E50" authorId="1" shapeId="0" xr:uid="{00000000-0006-0000-0100-00005B000000}">
      <text>
        <r>
          <rPr>
            <sz val="9"/>
            <color indexed="81"/>
            <rFont val="Segoe UI"/>
            <family val="2"/>
          </rPr>
          <t xml:space="preserve">1. Proposta de Indicadore
2. Servidor
</t>
        </r>
      </text>
    </comment>
    <comment ref="D51" authorId="1" shapeId="0" xr:uid="{00000000-0006-0000-0100-00005C000000}">
      <text>
        <r>
          <rPr>
            <sz val="9"/>
            <color indexed="81"/>
            <rFont val="Segoe UI"/>
            <family val="2"/>
          </rPr>
          <t>1. Código
2. Nome
3. CMD</t>
        </r>
      </text>
    </comment>
    <comment ref="E51" authorId="1" shapeId="0" xr:uid="{00000000-0006-0000-0100-00005D000000}">
      <text>
        <r>
          <rPr>
            <sz val="9"/>
            <color indexed="81"/>
            <rFont val="Segoe UI"/>
            <family val="2"/>
          </rPr>
          <t xml:space="preserve">1. Proposta de Indicadore
2. Servidor
</t>
        </r>
      </text>
    </comment>
    <comment ref="D54" authorId="1" shapeId="0" xr:uid="{00000000-0006-0000-0100-00005E000000}">
      <text>
        <r>
          <rPr>
            <sz val="9"/>
            <color indexed="81"/>
            <rFont val="Segoe UI"/>
            <family val="2"/>
          </rPr>
          <t xml:space="preserve">1. N da proposta
2. Nome do indicador Analista negocial
3. Status
4. Nome
5. Data
6. Nome indicador
7. OBS
8. Metodologia
9. OBS
10. Unidade medida
11. OBS
12. Interpretação do indicador
13. OBS
14. Compressão do resultado
15. OBS
16. Propriedades
17. OBS
18. Ficha de metadados
19. Verificação
20. Parecer positivo
21. Não possui
22. Não apresenta
23. Não possui parecer 
24. Manifestação Tecnica
25.  Validação Metodologica
26. ID
27. Versão
28. Tipo da Proposta
</t>
        </r>
      </text>
    </comment>
    <comment ref="E54" authorId="1" shapeId="0" xr:uid="{00000000-0006-0000-0100-00005F000000}">
      <text>
        <r>
          <rPr>
            <sz val="9"/>
            <color indexed="81"/>
            <rFont val="Segoe UI"/>
            <family val="2"/>
          </rPr>
          <t>01 - Analise Metodologica</t>
        </r>
      </text>
    </comment>
    <comment ref="D55" authorId="1" shapeId="0" xr:uid="{00000000-0006-0000-0100-000060000000}">
      <text>
        <r>
          <rPr>
            <sz val="9"/>
            <color indexed="81"/>
            <rFont val="Segoe UI"/>
            <family val="2"/>
          </rPr>
          <t xml:space="preserve">1. ID
2. Orgão Entidade
3. Usuario de cadastro da proposta 
4. Analista Metodologico
5. N da proposta
6. Nome do indicador
7. Situação da Análise
8. Parecer Metodologico
9. Resp Cadastro
10. Versão
11. Tipo da Proposta
12. CMD
13. MSG
</t>
        </r>
      </text>
    </comment>
    <comment ref="E55" authorId="1" shapeId="0" xr:uid="{00000000-0006-0000-0100-000061000000}">
      <text>
        <r>
          <rPr>
            <sz val="9"/>
            <color indexed="81"/>
            <rFont val="Segoe UI"/>
            <family val="2"/>
          </rPr>
          <t xml:space="preserve">01 - Proposta de Indicadores
02 - Analise Metodologica
03 - Orgão
04 - Usuario
</t>
        </r>
      </text>
    </comment>
    <comment ref="D56" authorId="1" shapeId="0" xr:uid="{00000000-0006-0000-0100-000062000000}">
      <text>
        <r>
          <rPr>
            <sz val="9"/>
            <color indexed="81"/>
            <rFont val="Segoe UI"/>
            <family val="2"/>
          </rPr>
          <t xml:space="preserve">1. ID
2. Orgão Entidade
3. Usuario de cadastro da proposta 
4. Analista Metodologico
5. N da proposta
6. Nome do indicador
7. Situação da Análise
8. Parecer Metodologico
9. Resp Cadastro
10. Versão
11. Tipo da Proposta
12. CMD
13. MSG
</t>
        </r>
      </text>
    </comment>
    <comment ref="E56" authorId="1" shapeId="0" xr:uid="{00000000-0006-0000-0100-000063000000}">
      <text>
        <r>
          <rPr>
            <sz val="9"/>
            <color indexed="81"/>
            <rFont val="Segoe UI"/>
            <family val="2"/>
          </rPr>
          <t xml:space="preserve">01 - Proposta de Indicadores
02 - Analise Metodologica
03 - Orgão
04 - Usuario
</t>
        </r>
      </text>
    </comment>
    <comment ref="D57" authorId="1" shapeId="0" xr:uid="{00000000-0006-0000-0100-000064000000}">
      <text>
        <r>
          <rPr>
            <sz val="9"/>
            <color indexed="81"/>
            <rFont val="Segoe UI"/>
            <family val="2"/>
          </rPr>
          <t>1. ID
2. Status
3. Tipo da Proposta
4. CMD
5. MSG</t>
        </r>
      </text>
    </comment>
    <comment ref="E57" authorId="1" shapeId="0" xr:uid="{00000000-0006-0000-0100-000065000000}">
      <text>
        <r>
          <rPr>
            <sz val="9"/>
            <color indexed="81"/>
            <rFont val="Segoe UI"/>
            <family val="2"/>
          </rPr>
          <t xml:space="preserve">1. Análise Metodológica
</t>
        </r>
      </text>
    </comment>
    <comment ref="D58" authorId="1" shapeId="0" xr:uid="{00000000-0006-0000-0100-000066000000}">
      <text>
        <r>
          <rPr>
            <sz val="9"/>
            <color indexed="81"/>
            <rFont val="Segoe UI"/>
            <family val="2"/>
          </rPr>
          <t xml:space="preserve">1. ID
2. N da proposta
3. Nome do indicador Analista negocial
4. Status
5. Nome
6. Data
7. Nome indicador
8. OBS
9. Metodologia
10. OBS
11. Unidade medida
12. OBS
13. Interpretação do indicador
14. OBS
15. Compressão do resultado
16. OBS
17. Propriedades
18. OBS
19. Ficha de metadados
20. Verificação
21. Parecer positivo
22. Não possui
23. Não apresenta
24. Não possui parecer 
25. Manifestação Tecnica
26. Versão
27. Tipo da Proposta
28. CMD
29. MSG
</t>
        </r>
      </text>
    </comment>
    <comment ref="E58" authorId="1" shapeId="0" xr:uid="{00000000-0006-0000-0100-000067000000}">
      <text>
        <r>
          <rPr>
            <sz val="9"/>
            <color indexed="81"/>
            <rFont val="Segoe UI"/>
            <family val="2"/>
          </rPr>
          <t xml:space="preserve">01 - Proposta de Indicadores
02 - Analise Metodologica
</t>
        </r>
      </text>
    </comment>
    <comment ref="D59" authorId="1" shapeId="0" xr:uid="{00000000-0006-0000-0100-000068000000}">
      <text>
        <r>
          <rPr>
            <sz val="9"/>
            <color indexed="81"/>
            <rFont val="Segoe UI"/>
            <family val="2"/>
          </rPr>
          <t>1. ID
2. Status
3. Data Análise
4. CMD
5. MSG</t>
        </r>
      </text>
    </comment>
    <comment ref="E59" authorId="1" shapeId="0" xr:uid="{00000000-0006-0000-0100-000069000000}">
      <text>
        <r>
          <rPr>
            <sz val="9"/>
            <color indexed="81"/>
            <rFont val="Segoe UI"/>
            <family val="2"/>
          </rPr>
          <t xml:space="preserve">1. Análise Metodológica
</t>
        </r>
      </text>
    </comment>
    <comment ref="D60" authorId="1" shapeId="0" xr:uid="{00000000-0006-0000-0100-00006A000000}">
      <text>
        <r>
          <rPr>
            <sz val="9"/>
            <color indexed="81"/>
            <rFont val="Segoe UI"/>
            <family val="2"/>
          </rPr>
          <t>1. ID
2. N da proposta
3. Nome do indicador Analista negocial
4. Status
5. Nome
6. Data
7. Nome indicador
8. OBS
9. Metodologia
10. OBS
11. Unidade medida
12. OBS
13. Interpretação do indicador
14. OBS
15. Compressão do resultado
16. OBS
17. Propriedades
18. OBS
19. Ficha de metadados
20. Verificação
21. Parecer positivo
22. Não possui
23. Não apresenta
24. Não possui parecer 
25. Manifestação Tecnica
26. CMD
27. MSG</t>
        </r>
      </text>
    </comment>
    <comment ref="E60" authorId="1" shapeId="0" xr:uid="{00000000-0006-0000-0100-00006B000000}">
      <text>
        <r>
          <rPr>
            <sz val="9"/>
            <color indexed="81"/>
            <rFont val="Segoe UI"/>
            <family val="2"/>
          </rPr>
          <t xml:space="preserve">01 - Proposta de Indicadores
02 - Analise Metodologica
</t>
        </r>
      </text>
    </comment>
    <comment ref="D61" authorId="1" shapeId="0" xr:uid="{00000000-0006-0000-0100-00006C000000}">
      <text>
        <r>
          <rPr>
            <sz val="9"/>
            <color indexed="81"/>
            <rFont val="Segoe UI"/>
            <family val="2"/>
          </rPr>
          <t>1. ID
2. N da proposta
3. Nome do indicador Analista negocial
4. Status
5. Nome
6. Data
7. Nome indicador
8. OBS
9. Metodologia
10. OBS
11. Unidade medida
12. OBS
13. Interpretação do indicador
14. OBS
15. Compressão do resultado
16. OBS
17. Propriedades
18. OBS
19. Ficha de metadados
20. Verificação
21. Parecer positivo
22. Não possui
23. Não apresenta
24. Não possui parecer 
25. Manifestação Tecnica</t>
        </r>
      </text>
    </comment>
    <comment ref="E61" authorId="1" shapeId="0" xr:uid="{00000000-0006-0000-0100-00006D000000}">
      <text>
        <r>
          <rPr>
            <sz val="9"/>
            <color indexed="81"/>
            <rFont val="Segoe UI"/>
            <family val="2"/>
          </rPr>
          <t xml:space="preserve">01 - Proposta de Indicadores
02 - Analise Metodologica
</t>
        </r>
      </text>
    </comment>
    <comment ref="D64" authorId="1" shapeId="0" xr:uid="{00000000-0006-0000-0100-00006E000000}">
      <text>
        <r>
          <rPr>
            <sz val="9"/>
            <color indexed="81"/>
            <rFont val="Segoe UI"/>
            <family val="2"/>
          </rPr>
          <t xml:space="preserve">1. ID
2. N da proposta
3. Nome do indicador 
4. Status
5. Titulo
6. Data
7. Usuario
8. Situacao da proposta
9. Titulo Relatório
10. Arquivo Relatorio
11. Registro de reprovação
12. Versão
13. Tipo da Proposta
14. CMD
15. MSG
</t>
        </r>
      </text>
    </comment>
    <comment ref="E64" authorId="1" shapeId="0" xr:uid="{00000000-0006-0000-0100-00006F000000}">
      <text>
        <r>
          <rPr>
            <sz val="9"/>
            <color indexed="81"/>
            <rFont val="Segoe UI"/>
            <family val="2"/>
          </rPr>
          <t>1. Proposta de indicadores
2. Servidor</t>
        </r>
      </text>
    </comment>
    <comment ref="D67" authorId="1" shapeId="0" xr:uid="{00000000-0006-0000-0100-000070000000}">
      <text>
        <r>
          <rPr>
            <sz val="9"/>
            <color indexed="81"/>
            <rFont val="Segoe UI"/>
            <family val="2"/>
          </rPr>
          <t>1. ID
2. Orgão Entidade
3. Unidade orçamentária
4. Usuario de cadastro
5. Responsável do indicador
6. Tipo de indicador
7. Desdobramento
8. Area
9. SubArea
10. Nome do indicador
11. 0 Justificativa
12. Objeto
13. Instrumento
14. Exercicio
15. Codigo
16. Descrição
17. Unidade de medida 
18. Periodicidade 
19. Desagregação geográfica
20. Desagragação categórica
21. Metodologia de calculo
22. Descrição
23. Fonte 
24. Imagem
25. Pesquisa
26. 0 Informação
27. Limitação
28. Parametro
29. Recomendação
30. Compreensão
31. Restrição
32. Indicador novo 
33. Termo
34. Data referencia
35. Data apuração
36. Valor apurado
37. CMD
38. MSG</t>
        </r>
      </text>
    </comment>
    <comment ref="E67" authorId="1" shapeId="0" xr:uid="{00000000-0006-0000-0100-000071000000}">
      <text>
        <r>
          <rPr>
            <sz val="9"/>
            <color indexed="81"/>
            <rFont val="Segoe UI"/>
            <family val="2"/>
          </rPr>
          <t xml:space="preserve">1. Proposta de indicadores
2. Orgão
3. Unidade Orçamentária
4. Usuário
</t>
        </r>
      </text>
    </comment>
    <comment ref="D70" authorId="1" shapeId="0" xr:uid="{00000000-0006-0000-0100-000072000000}">
      <text>
        <r>
          <rPr>
            <sz val="9"/>
            <color indexed="81"/>
            <rFont val="Segoe UI"/>
            <family val="2"/>
          </rPr>
          <t>1. ID
2. N da proposta
3. Nome do indicador Analista negocial
4. Status
5. Nome
6. Data
7. Cobertura
8. OBS
9. Desagregabiliadade
10. OBS
11. Comparabilidade
12. OBS
13. Historicidade
14. OBS
15. Periodicidade na avaliação
16. OBS
17. Comunicabilidade
18. OBS
19. Replicabilidade
20. OBS
21. Viabilidade
22. OBS
23. Esforço
24. OBS
25. Resultado
26. OBS
27. Adequadabilidade
28. OBS
29. Avaliação de resultado
30. OBS
31. Parecer negocial
32. OBS
33. CMD
34. MSG</t>
        </r>
      </text>
    </comment>
    <comment ref="E70" authorId="1" shapeId="0" xr:uid="{00000000-0006-0000-0100-000073000000}">
      <text>
        <r>
          <rPr>
            <sz val="9"/>
            <color indexed="81"/>
            <rFont val="Segoe UI"/>
            <family val="2"/>
          </rPr>
          <t xml:space="preserve">01 - Proposta de Indicadores
02 - Analise Metodologica
03 - Orgão
04 - Usuario
</t>
        </r>
      </text>
    </comment>
    <comment ref="D73" authorId="1" shapeId="0" xr:uid="{00000000-0006-0000-0100-000074000000}">
      <text>
        <r>
          <rPr>
            <sz val="9"/>
            <color indexed="81"/>
            <rFont val="Segoe UI"/>
            <family val="2"/>
          </rPr>
          <t>1. ID
2. N da proposta
3. Nome do indicador Analista negocial
4. Status
5. Nome
6. Data
7. Nome indicador
8. OBS
9. Metodologia
10. OBS
11. Unidade medida
12. OBS
13. Interpretação do indicador
14. OBS
15. Compressão do resultado
16. OBS
17. Propriedades
18. OBS
19. Ficha de metadados
20. Verificação
21. Parecer positivo
22. Não possui
23. Não apresenta
24. Não possui parecer 
25. Manifestação Tecnica
26. CMD
27. MSG</t>
        </r>
      </text>
    </comment>
    <comment ref="E73" authorId="1" shapeId="0" xr:uid="{00000000-0006-0000-0100-000075000000}">
      <text>
        <r>
          <rPr>
            <sz val="9"/>
            <color indexed="81"/>
            <rFont val="Segoe UI"/>
            <family val="2"/>
          </rPr>
          <t xml:space="preserve">01 - Proposta de Indicadores
02 - Analise Metodologica
03 - Orgão
04 - Usuario
</t>
        </r>
      </text>
    </comment>
    <comment ref="D76" authorId="1" shapeId="0" xr:uid="{23C4024D-6ED6-4E29-A4F6-E9DBB18F08C3}">
      <text>
        <r>
          <rPr>
            <sz val="9"/>
            <color indexed="81"/>
            <rFont val="Segoe UI"/>
            <family val="2"/>
          </rPr>
          <t>1. ID
2. N da proposta
3. Nome do indicador Analista negocial
4. Status
5. Nome
6. Data
7. Nome indicador
8. OBS
9. Metodologia
10. OBS
11. Unidade medida
12. OBS
13. Interpretação do indicador
14. OBS
15. Compressão do resultado
16. OBS
17. Propriedades
18. OBS
19. Ficha de metadados
20. Verificação
21. Parecer positivo
22. Não possui
23. Não apresenta
24. Não possui parecer 
25. Manifestação Tecnica
26. CMD
27. MSG</t>
        </r>
      </text>
    </comment>
    <comment ref="E76" authorId="1" shapeId="0" xr:uid="{98C8804D-D7CF-472F-9054-C943E03C6C4E}">
      <text>
        <r>
          <rPr>
            <sz val="9"/>
            <color indexed="81"/>
            <rFont val="Segoe UI"/>
            <family val="2"/>
          </rPr>
          <t xml:space="preserve">01 - Proposta de Indicadores
02 - Analise Metodologica
03 - Orgão
04 - Usuario
</t>
        </r>
      </text>
    </comment>
    <comment ref="D79" authorId="1" shapeId="0" xr:uid="{12A39765-CDDD-4F67-A473-C5EB8D0E3396}">
      <text>
        <r>
          <rPr>
            <sz val="9"/>
            <color indexed="81"/>
            <rFont val="Segoe UI"/>
            <family val="2"/>
          </rPr>
          <t>* Indicadores
1. Orgão Entidade
2. Unidade orçamentária
3. Usuario de cadastro
4. Responsável do indicador
5. Tipo de indicador
6. Desdobramento
7. Area
8. SubArea
9. Nome do indicador
10. Justificativa
11. Objetivo
12. Instrumento
13. Exercicio
14. Codigo
15. Descrição
16. Unidade de medida 
17. Periodicidade 
18. Desagregação geográfica
19. Desagragação categórica
20. Metodologia de calculo
21. Descrição
22. Fonte 
23. Imagem
24. Pesquisa
25. Informação
26. Limitação
27. Parametro
28. Recomendação
29. Compreensão
30. Restrição
31. Indicador novo 
32. Termo
33. Data referencia
34. Data apuração
35. Valor apurado
36. Situaçao, 
37. Nº da Proposta, 
38. Arquivo, 
39. Comparação, 
40. Concordancia com os termos
41. flags de restrição 1 
42. flags de restrição 2 
43. flags de restrição 3 
44. flags de restrição 4 
45. ID
46. Versão
47. Tipo da Proposta
48. Código da Proposta
49. Justificativa da inativação
* Histórico de Versões
50. Orgão Entidade
51. Unidade orçamentária
52. Usuario de cadastro
53. Responsável do indicador
54. Tipo de indicador
55. Desdobramento
56. Area
57. SubArea
58. Nome do indicador
59. Justificativa
60. Objetivo
61. Instrumento
62. Exercicio
63. Codigo
64. Descrição
65. Unidade de medida 
66. Periodicidade 
67. Desagregação geográfica
68. Desagragação categórica
69. Metodologia de calculo
70. Descrição
71. Fonte 
72. Imagem
73. Pesquisa
74. Informação
75. Limitação
76. Parametro
77. Recomendação
78. Compreensão
79. Restrição
80. Indicador novo 
81. Termo
82. Data referencia
83. Data apuração
84. Valor apurado
85. Situaçao, 
86. Nº da Proposta, 
87. Arquivo, 
88. Comparação, 
89. Concordancia com os termos
90. flags de restrição 1 
91. flags de restrição 2 
92. flags de restrição 3 
93. flags de restrição 4 
94. ID
95. Versão
96. Tipo da Proposta
97. Código da Proposta
98. Justificativa da inativação
* Histórico de Situações
99. Código do indicador
100. Código proposta
101. Data 
102. Usuario
103. Situacao
104. Versão
105. Ação Executada
106. Justificativa</t>
        </r>
      </text>
    </comment>
    <comment ref="E79" authorId="1" shapeId="0" xr:uid="{71783323-02DC-4C16-95FE-BB101FAA3F3D}">
      <text>
        <r>
          <rPr>
            <sz val="9"/>
            <color indexed="81"/>
            <rFont val="Segoe UI"/>
            <family val="2"/>
          </rPr>
          <t>01 - Indicadores
02 - Vinculos
03 - Historico Versão
04  -Historico Situação</t>
        </r>
      </text>
    </comment>
    <comment ref="D80" authorId="1" shapeId="0" xr:uid="{B173426E-18A9-4248-99FB-9BD527A3876A}">
      <text>
        <r>
          <rPr>
            <sz val="9"/>
            <color indexed="81"/>
            <rFont val="Segoe UI"/>
            <family val="2"/>
          </rPr>
          <t xml:space="preserve">1. Orgão
2. Codigo
3. Nome
4. Responsável
5. Situação
6. Tipo de indicador
7. Versão
8. Responsável
9. Versão
10. Próxima apuração
11. CMD
12. MSG
</t>
        </r>
      </text>
    </comment>
    <comment ref="E80" authorId="1" shapeId="0" xr:uid="{EA0F731A-A9C6-4696-B8AB-83D5B140E1DF}">
      <text>
        <r>
          <rPr>
            <sz val="9"/>
            <color indexed="81"/>
            <rFont val="Segoe UI"/>
            <family val="2"/>
          </rPr>
          <t xml:space="preserve">01 - Usuario
02 - Orgão
03 - Indicadores
</t>
        </r>
      </text>
    </comment>
    <comment ref="D81" authorId="1" shapeId="0" xr:uid="{02A1145C-0668-4A30-86C4-D8580834CE8D}">
      <text>
        <r>
          <rPr>
            <sz val="9"/>
            <color indexed="81"/>
            <rFont val="Segoe UI"/>
            <family val="2"/>
          </rPr>
          <t xml:space="preserve">1. Nome do indicador
2. Codigo
3. Código proposta
4. Versão indicador
5. Situacao
6. Próxima Apuração
7. CMD
8. MSG
</t>
        </r>
      </text>
    </comment>
    <comment ref="E81" authorId="1" shapeId="0" xr:uid="{60079F64-59D6-48A2-9BFC-13A85C7853E2}">
      <text>
        <r>
          <rPr>
            <sz val="9"/>
            <color indexed="81"/>
            <rFont val="Segoe UI"/>
            <family val="2"/>
          </rPr>
          <t xml:space="preserve">1 - Usuario
2 - Orgão
3 - Vínculo
4 - Indicadores
</t>
        </r>
      </text>
    </comment>
    <comment ref="D82" authorId="1" shapeId="0" xr:uid="{008BB1E1-8854-446C-8FE0-81C396C801D0}">
      <text>
        <r>
          <rPr>
            <sz val="9"/>
            <color indexed="81"/>
            <rFont val="Segoe UI"/>
            <family val="2"/>
          </rPr>
          <t xml:space="preserve">1. Orgão
2. UO
3. Usuario cadastro
4. Responsável indicador
5. Tipo indicador
6. Desdobramento
7. Area
8. Sub Area
9. Justificativa
10. Objetivo
11. Instrumento
12. Exercício
13. Codigo Vinculo
14. Descrição Vinculo
15. Próxima Apuração
16. CMD
17. MSG
</t>
        </r>
      </text>
    </comment>
    <comment ref="E82" authorId="1" shapeId="0" xr:uid="{37361E64-4C6F-4007-8FF4-CC4F42C9C4FE}">
      <text>
        <r>
          <rPr>
            <sz val="9"/>
            <color indexed="81"/>
            <rFont val="Segoe UI"/>
            <family val="2"/>
          </rPr>
          <t xml:space="preserve">1 - Usuario
2 - Orgão
3 - Vínculo
4 - Indicadores
</t>
        </r>
      </text>
    </comment>
    <comment ref="D83" authorId="1" shapeId="0" xr:uid="{F3F1C619-6A7C-4FFF-84B9-1FCE43904124}">
      <text>
        <r>
          <rPr>
            <sz val="9"/>
            <color indexed="81"/>
            <rFont val="Segoe UI"/>
            <family val="2"/>
          </rPr>
          <t xml:space="preserve">1. Unidade Medida
2. Periodicidade
3. Desagregação
4. Desagregação categórica
5. Metodologia
6. Descrição
7. Fonte
8. Pesquesa
9. Informações 
10. Limitação
11. Parametro
12. Recomendação
13. Compreensão
14. Existe restrição
15. Existe alguma restrição órgão públicos
16. Existe alguma restrição Dados indicador
17. CMD
18. MSG
</t>
        </r>
      </text>
    </comment>
    <comment ref="E83" authorId="1" shapeId="0" xr:uid="{F2258E9B-A7E8-4B54-8F1F-2ECACABDD9AA}">
      <text>
        <r>
          <rPr>
            <sz val="9"/>
            <color indexed="81"/>
            <rFont val="Segoe UI"/>
            <family val="2"/>
          </rPr>
          <t xml:space="preserve">1 - Usuario
2 - Orgão
3 - Indicadores
</t>
        </r>
      </text>
    </comment>
    <comment ref="D84" authorId="1" shapeId="0" xr:uid="{67C628F2-C8AD-4AA0-9DEB-01919F57493D}">
      <text>
        <r>
          <rPr>
            <sz val="9"/>
            <color indexed="81"/>
            <rFont val="Segoe UI"/>
            <family val="2"/>
          </rPr>
          <t xml:space="preserve">1. Indicador novo
2. Termo consentimento
3. Data referencia
4. Data de apuração
5. Valor apurado
6. CMD
7. MSG
</t>
        </r>
      </text>
    </comment>
    <comment ref="E84" authorId="1" shapeId="0" xr:uid="{12014BD9-7414-4F51-9FB8-D499ED3669C4}">
      <text>
        <r>
          <rPr>
            <sz val="9"/>
            <color indexed="81"/>
            <rFont val="Segoe UI"/>
            <family val="2"/>
          </rPr>
          <t xml:space="preserve">1 - Indicadores
</t>
        </r>
      </text>
    </comment>
    <comment ref="D85" authorId="1" shapeId="0" xr:uid="{5C183F59-4176-4C9F-9105-6DFBCCAA0F05}">
      <text>
        <r>
          <rPr>
            <sz val="9"/>
            <color indexed="81"/>
            <rFont val="Segoe UI"/>
            <family val="2"/>
          </rPr>
          <t xml:space="preserve">1. Orgão
2. Codigo
3. Nome
4. Responsável
5. Situação
6. Tipo de indicador
7. Versão
8. Responsável
9. Versão
10. Próxima apuração
11. CMD
12. MSG
</t>
        </r>
      </text>
    </comment>
    <comment ref="E85" authorId="1" shapeId="0" xr:uid="{5A93604A-4862-48E7-BC09-81505EB38439}">
      <text>
        <r>
          <rPr>
            <sz val="9"/>
            <color indexed="81"/>
            <rFont val="Segoe UI"/>
            <family val="2"/>
          </rPr>
          <t xml:space="preserve">01 - Usuario
02 - Analise Metodologica
03 - Orgão
04 - Proposta de Indicadores
</t>
        </r>
      </text>
    </comment>
    <comment ref="D86" authorId="1" shapeId="0" xr:uid="{27FB9174-C942-45B8-A615-0D1901DDFAA6}">
      <text>
        <r>
          <rPr>
            <sz val="9"/>
            <color indexed="81"/>
            <rFont val="Segoe UI"/>
            <family val="2"/>
          </rPr>
          <t>1- Código
2-Situação
3-CMD
4-MSG</t>
        </r>
      </text>
    </comment>
    <comment ref="E86" authorId="1" shapeId="0" xr:uid="{8C7C9AB0-2294-45B8-A10A-7C82FF94B0BB}">
      <text>
        <r>
          <rPr>
            <sz val="9"/>
            <color indexed="81"/>
            <rFont val="Segoe UI"/>
            <family val="2"/>
          </rPr>
          <t xml:space="preserve">1 - Indicadores
</t>
        </r>
      </text>
    </comment>
    <comment ref="D87" authorId="1" shapeId="0" xr:uid="{9F6145DA-CC06-414C-866A-6EAA7A1E8021}">
      <text>
        <r>
          <rPr>
            <sz val="9"/>
            <color indexed="81"/>
            <rFont val="Segoe UI"/>
            <family val="2"/>
          </rPr>
          <t>1- Código
2- Situação
3- Justificativa da inativação
4- CMD
5- MSG</t>
        </r>
      </text>
    </comment>
    <comment ref="E87" authorId="1" shapeId="0" xr:uid="{559C3FFA-8FCC-44D5-83CD-C21F3DF9133A}">
      <text>
        <r>
          <rPr>
            <sz val="9"/>
            <color indexed="81"/>
            <rFont val="Segoe UI"/>
            <family val="2"/>
          </rPr>
          <t xml:space="preserve">1 - Indicadores
</t>
        </r>
      </text>
    </comment>
    <comment ref="D90" authorId="1" shapeId="0" xr:uid="{539C64C5-0B46-4600-898E-510F4F5FE017}">
      <text>
        <r>
          <rPr>
            <sz val="9"/>
            <color indexed="81"/>
            <rFont val="Segoe UI"/>
            <family val="2"/>
          </rPr>
          <t xml:space="preserve">1. Código proposta
2. Versão indicador
3. Última alteração
4. Usuário alteração
5. Situacao
6. Analista metodologico
7. Analista negocial 
8. CMD
9. MSG
</t>
        </r>
      </text>
    </comment>
    <comment ref="E90" authorId="1" shapeId="0" xr:uid="{FF87B78F-BBE6-4B12-B8DE-FB2C9AD35DE8}">
      <text>
        <r>
          <rPr>
            <sz val="9"/>
            <color indexed="81"/>
            <rFont val="Segoe UI"/>
            <family val="2"/>
          </rPr>
          <t xml:space="preserve">01 - Proposta de Indicadores
</t>
        </r>
      </text>
    </comment>
    <comment ref="D91" authorId="1" shapeId="0" xr:uid="{26D9F871-571F-4656-8C78-4093ED6DA9D8}">
      <text>
        <r>
          <rPr>
            <sz val="9"/>
            <color indexed="81"/>
            <rFont val="Segoe UI"/>
            <family val="2"/>
          </rPr>
          <t xml:space="preserve">1. Código
2. Responsável indicador
3. Tipo indicador
4. Desdobramento
5. Area
6. Sub Area
7. Nome do Indicador
8. Justificativa
9. Objetivo
10. Instrumento
11. Exercício
12. Codigo Vinculo
13. Descrição Vinculo
14. CMD
15. MSG
</t>
        </r>
      </text>
    </comment>
    <comment ref="E91" authorId="1" shapeId="0" xr:uid="{E1D62CD1-4D3F-40C2-9FD4-3F2A84F6BFDE}">
      <text>
        <r>
          <rPr>
            <sz val="9"/>
            <color indexed="81"/>
            <rFont val="Segoe UI"/>
            <family val="2"/>
          </rPr>
          <t xml:space="preserve">1 - Usuario
2 - Orgão
3 - Vínculo
4 - Proposta de Indicadores
</t>
        </r>
      </text>
    </comment>
    <comment ref="D92" authorId="1" shapeId="0" xr:uid="{2927CDFE-9EB7-49E5-B6DF-254294A9B824}">
      <text>
        <r>
          <rPr>
            <sz val="9"/>
            <color indexed="81"/>
            <rFont val="Segoe UI"/>
            <family val="2"/>
          </rPr>
          <t xml:space="preserve">1. Código
2. Responsável indicador
3. Tipo indicador
4. Desdobramento
5. Area
6. Sub Area
7. Nome do Indicador
8. Justificativa
9. Objetivo
10. Instrumento
11. Exercício
12. Codigo Vinculo
13. Descrição Vinculo
</t>
        </r>
      </text>
    </comment>
    <comment ref="E92" authorId="1" shapeId="0" xr:uid="{D716EE9F-7043-4811-9BE7-017112F42ABF}">
      <text>
        <r>
          <rPr>
            <sz val="9"/>
            <color indexed="81"/>
            <rFont val="Segoe UI"/>
            <family val="2"/>
          </rPr>
          <t xml:space="preserve">1 - Vínculo
2- Proposta de Indicadores
</t>
        </r>
      </text>
    </comment>
    <comment ref="D93" authorId="1" shapeId="0" xr:uid="{98139F6A-0AC4-4935-988C-AD3839DED072}">
      <text>
        <r>
          <rPr>
            <sz val="9"/>
            <color indexed="81"/>
            <rFont val="Segoe UI"/>
            <family val="2"/>
          </rPr>
          <t xml:space="preserve">1. Unidade de medida 
2. Periodicidade 
3. Desagregação geográfica
4. Desagragação categórica
5. Metodologia de calculo
6. Descrição
7. Fonte 
8. Imagem
9. Pesquisa
10. Informação
11. Limitação
12. Parametro
13. Recomendação
14. Compreensão
15. Restrição a publicação
16. Restrição a publicação de dados do indicador exceto utilização orgão publicos
17. Restrição a publicação exceto utilização dos dados
18. MSG
19. CMD
</t>
        </r>
      </text>
    </comment>
    <comment ref="E93" authorId="1" shapeId="0" xr:uid="{478BFA45-EAE9-492B-8976-6F7A1D83D5A0}">
      <text>
        <r>
          <rPr>
            <sz val="9"/>
            <color indexed="81"/>
            <rFont val="Segoe UI"/>
            <family val="2"/>
          </rPr>
          <t xml:space="preserve">1. Proposta de indicadores
</t>
        </r>
      </text>
    </comment>
    <comment ref="D94" authorId="1" shapeId="0" xr:uid="{9DEED1C0-B9E7-403A-BF4E-B34E2CBD173D}">
      <text>
        <r>
          <rPr>
            <sz val="9"/>
            <color indexed="81"/>
            <rFont val="Segoe UI"/>
            <family val="2"/>
          </rPr>
          <t xml:space="preserve">1. ID
2. Unidade de medida 
3. Periodicidade 
4. Desagregação geográfica
5. Desagragação categórica
6. Metodologia de calculo
7. Descrição
8. Fonte 
9. Imagem
10. Pesquisa
11. Informação
12. Limitação
13. Parametro
14. Recomendação
15. Compreensão
16. Restrição
</t>
        </r>
      </text>
    </comment>
    <comment ref="E94" authorId="1" shapeId="0" xr:uid="{1F4A3A12-6CDE-43FC-9F27-6727EB4646A3}">
      <text>
        <r>
          <rPr>
            <sz val="9"/>
            <color indexed="81"/>
            <rFont val="Segoe UI"/>
            <family val="2"/>
          </rPr>
          <t xml:space="preserve">1. Proposta de indicadores
</t>
        </r>
      </text>
    </comment>
    <comment ref="D95" authorId="1" shapeId="0" xr:uid="{B53AB660-AF53-4CA7-B311-71CBD49CB03E}">
      <text>
        <r>
          <rPr>
            <sz val="9"/>
            <color indexed="81"/>
            <rFont val="Segoe UI"/>
            <family val="2"/>
          </rPr>
          <t xml:space="preserve">1. ID
2. Indicador novo 
3. Termo
4. Data referencia
5. Data apuração
6. Valor apurado
7. CMD
8. MSG
</t>
        </r>
      </text>
    </comment>
    <comment ref="E95" authorId="1" shapeId="0" xr:uid="{AEE67338-89A9-440D-BB8E-649BB765091B}">
      <text>
        <r>
          <rPr>
            <sz val="9"/>
            <color indexed="81"/>
            <rFont val="Segoe UI"/>
            <family val="2"/>
          </rPr>
          <t xml:space="preserve">1. Proposta de indicadores
</t>
        </r>
      </text>
    </comment>
    <comment ref="D96" authorId="1" shapeId="0" xr:uid="{7BF0268C-9C58-4195-9B06-973DFA9823A1}">
      <text>
        <r>
          <rPr>
            <sz val="9"/>
            <color indexed="81"/>
            <rFont val="Segoe UI"/>
            <family val="2"/>
          </rPr>
          <t xml:space="preserve">1. ID
2. Indicador novo 
3. Termo
4. Data referencia
5. Data apuração
6. Valor apurado
</t>
        </r>
      </text>
    </comment>
    <comment ref="E96" authorId="1" shapeId="0" xr:uid="{BE37B62F-5B41-44C9-A2D0-634190A7F0EB}">
      <text>
        <r>
          <rPr>
            <sz val="9"/>
            <color indexed="81"/>
            <rFont val="Segoe UI"/>
            <family val="2"/>
          </rPr>
          <t xml:space="preserve">1. Proposta de indicadores
</t>
        </r>
      </text>
    </comment>
    <comment ref="D99" authorId="1" shapeId="0" xr:uid="{DCCDA330-09D0-4CEF-9559-5DE20AB0351B}">
      <text>
        <r>
          <rPr>
            <sz val="9"/>
            <color indexed="81"/>
            <rFont val="Segoe UI"/>
            <family val="2"/>
          </rPr>
          <t>1. Codigo do indicador
2. Codigo Proposta de alteração
3. Versão atual
4. Versão da proposta 
5. Usuario de cadastro
6. Usuario de alteração 
7. Nome do indicador
8. Data da proposta
9. Responsável indicador
10. Tipo indicador
11. Desdobramento
12. Area
13. Sub Area
14. Nome do Indicador
15. Justificativa
16. Objetivo
17. Instrumento
18. Exercício
19. Codigo Vinculo
20. Descrição Vinculo
21. Unidade Medida
22. Periodicidade
23. Desagregação
24. Desagregação categórica
25. Metodologia
26. Arquivo
27. Descrição
28. Fonte
29. Pesquisa
30. Informações 
31. Limitação
32. Parametro
33. Recomendação
34. Compreensão
35. Existe restrição
36. Existe alguma restrição órgão públicos
37. Existe alguma restrição Dados indicador
38. Indicador novo
39. Termo consentimento
40. Data referencia
41. Data de apuração
42. Valor apurado
43. Responsável indicador alterado
44. Tipo indicador alterado
45. Desdobramento alterado
46. Area alterado
47. Sub Area alterado
48. Nome do Indicador alterado
49. Justificativa alterado
50. Objetivo alterado
51. Instrumento alterado
52. Exercício alterado
53. Codigo Vinculo alterado
54. Descrição Vinculo alterado
55. Unidade Medida alterado
56. Periodicidade alterado
57. Desagregação alterado
58. Desagregação categórica alterado
59. Metodologia alterado
60. Arquivo alterado
61. Descrição alterado
62. Fonte alterado
63. Pesquisa alterado
64. Informações alterado
65. Limitação alterado
66. Parametro alterado
67. Recomendação alterado
68. Compreensão alterado
69. Existe restrição alterado
70. Existe alguma restrição órgão públicos alterado
71. Existe alguma restrição Dados indicador alterado
72. Indicador novo alterado
73. Termo consentimento alterado
74. Data referencia alterado
75. Data de apuração alterado
76. Valor apurado alterado
77. CMD
78. MSG</t>
        </r>
      </text>
    </comment>
    <comment ref="E99" authorId="1" shapeId="0" xr:uid="{84B3F684-3B93-42E5-930E-5ED8425241BA}">
      <text>
        <r>
          <rPr>
            <sz val="9"/>
            <color indexed="81"/>
            <rFont val="Segoe UI"/>
            <family val="2"/>
          </rPr>
          <t>1. Proposta de indicadores
2. Usuário
3. Indicadores</t>
        </r>
      </text>
    </comment>
    <comment ref="D102" authorId="1" shapeId="0" xr:uid="{81A7D0FA-604E-4D1B-9302-F7CAA038A925}">
      <text>
        <r>
          <rPr>
            <sz val="9"/>
            <color indexed="81"/>
            <rFont val="Segoe UI"/>
            <family val="2"/>
          </rPr>
          <t xml:space="preserve">1. Nome do indicador
2. Codigo
3. Código proposta
4. Versão indicador
5. Situacao
6. Orgão
7. UO
8. Usuario cadastro
9. Responsável indicador
10. Tipo indicador
11. Desdobramento
12. Area
13. Sub Area
14. Justificativa
15. Objetivo
16. Instrumento
17. Exercício
18. Codigo Vinculo
19. Descrição Vinculo 
20. Unidade de medida 
21. Perodicidade 
22. Desagregação geográfica 
23. Desagragação categórica 
24. Metodologia
25. Descrição
26. Fonte
27. Pesquisa
28. Informação complementar
29. Limitação
30. Parametro
31. Recomendação
32. Compreensão
33. Restrição
34. Existe restrição a publicação
35. Existe alguma restrição
36. Existe alguma restrição dados indicador
37. Indicador novo  
38. Termo 
39. Data referencia 
40. Data apuração 
41. Valor apurado 
42. CMD
43. MSG
</t>
        </r>
      </text>
    </comment>
    <comment ref="E102" authorId="1" shapeId="0" xr:uid="{4450DE5B-A21E-4A3D-80E8-4FC56080CCA4}">
      <text>
        <r>
          <rPr>
            <sz val="9"/>
            <color indexed="81"/>
            <rFont val="Segoe UI"/>
            <family val="2"/>
          </rPr>
          <t xml:space="preserve">1 - Usuario
2 - Orgão
3 -  Indicadores
</t>
        </r>
      </text>
    </comment>
    <comment ref="D105" authorId="1" shapeId="0" xr:uid="{9DFF6E7D-D1F7-4159-9D3D-76E6556BCFE8}">
      <text>
        <r>
          <rPr>
            <sz val="9"/>
            <color indexed="81"/>
            <rFont val="Segoe UI"/>
            <family val="2"/>
          </rPr>
          <t>1. Codigo
2. Meta
3. Previsão de apuração
4. Unidade de medida
5. Periodicidade
6. Situação da Meta
7. Número da Meta
8. Analista Negocial</t>
        </r>
      </text>
    </comment>
    <comment ref="E105" authorId="1" shapeId="0" xr:uid="{7B2DE2C1-FF6B-4153-98B1-A775C97D4124}">
      <text>
        <r>
          <rPr>
            <sz val="9"/>
            <color indexed="81"/>
            <rFont val="Segoe UI"/>
            <family val="2"/>
          </rPr>
          <t xml:space="preserve">1-Meta e Resultados
</t>
        </r>
      </text>
    </comment>
    <comment ref="D106" authorId="1" shapeId="0" xr:uid="{F6A331EE-5890-49FF-B588-5B3B98926AD5}">
      <text>
        <r>
          <rPr>
            <sz val="9"/>
            <color indexed="81"/>
            <rFont val="Segoe UI"/>
            <family val="2"/>
          </rPr>
          <t>1. Código
2. Numero Meta
3. Usuario
4. Periodicidade
5. Unidade de medida
6. Meta
7. Previsão de apuração
8. Situação da Meta
9. Analista Negocial
10. CMD
11. MSG</t>
        </r>
      </text>
    </comment>
    <comment ref="E106" authorId="1" shapeId="0" xr:uid="{832C2A7E-F4F0-4EE9-B54E-FE9CDD94334D}">
      <text>
        <r>
          <rPr>
            <sz val="9"/>
            <color indexed="81"/>
            <rFont val="Segoe UI"/>
            <family val="2"/>
          </rPr>
          <t>1-Meta e Resultados
2-Usuario
3-Indicador</t>
        </r>
      </text>
    </comment>
    <comment ref="D107" authorId="1" shapeId="0" xr:uid="{C36EDFBF-3FE3-4D84-BDB6-D62B14DE91EC}">
      <text>
        <r>
          <rPr>
            <sz val="9"/>
            <color indexed="81"/>
            <rFont val="Segoe UI"/>
            <family val="2"/>
          </rPr>
          <t>1. Código
2. Numero Meta
3. Usuario
4. Periodicidade
5. Unidade de medida
6. Meta
7. Previsão de apuração
8. Situação da Meta
9. Analista Negocial
10. CMD
11. MSG</t>
        </r>
      </text>
    </comment>
    <comment ref="E107" authorId="1" shapeId="0" xr:uid="{1A5D7443-A4A3-4EA4-B85D-9AB169F080EB}">
      <text>
        <r>
          <rPr>
            <sz val="9"/>
            <color indexed="81"/>
            <rFont val="Segoe UI"/>
            <family val="2"/>
          </rPr>
          <t>1-Meta e Resultados
2-Usuario
3-Indicador</t>
        </r>
      </text>
    </comment>
    <comment ref="D108" authorId="1" shapeId="0" xr:uid="{8730EDFE-239C-4876-9BAF-4FD24D682673}">
      <text>
        <r>
          <rPr>
            <sz val="9"/>
            <color indexed="81"/>
            <rFont val="Segoe UI"/>
            <family val="2"/>
          </rPr>
          <t xml:space="preserve">1. Código
2. Meta
3. Previsão de apuração
4. Unidade de medida
5. Periodicidade
6. Situação da Meta
7. CMD
8. MSG
</t>
        </r>
      </text>
    </comment>
    <comment ref="E108" authorId="1" shapeId="0" xr:uid="{608E1AA7-8ED7-44A1-A736-108E21CE554B}">
      <text>
        <r>
          <rPr>
            <sz val="9"/>
            <color indexed="81"/>
            <rFont val="Segoe UI"/>
            <family val="2"/>
          </rPr>
          <t>1-Meta e Resultados
2-Usuario
3 - Indicadores</t>
        </r>
      </text>
    </comment>
    <comment ref="D109" authorId="1" shapeId="0" xr:uid="{3BD9FCC5-B46B-496D-A0A9-34599A3BD08B}">
      <text>
        <r>
          <rPr>
            <sz val="9"/>
            <color indexed="81"/>
            <rFont val="Segoe UI"/>
            <family val="2"/>
          </rPr>
          <t xml:space="preserve">1. Código
2. Meta
3. Previsão de apuração
4. Descrição
5. CMD
6. MSG
</t>
        </r>
      </text>
    </comment>
    <comment ref="E109" authorId="1" shapeId="0" xr:uid="{5CA4D9A2-77D7-4D8E-9B0E-75EEDA24FD24}">
      <text>
        <r>
          <rPr>
            <sz val="9"/>
            <color indexed="81"/>
            <rFont val="Segoe UI"/>
            <family val="2"/>
          </rPr>
          <t>1-Meta e Resultados
2-Usuario
3 - Indicadores</t>
        </r>
      </text>
    </comment>
    <comment ref="D110" authorId="1" shapeId="0" xr:uid="{3346BF3D-CDD4-411C-AD36-12CA5F44085F}">
      <text>
        <r>
          <rPr>
            <sz val="9"/>
            <color indexed="81"/>
            <rFont val="Segoe UI"/>
            <family val="2"/>
          </rPr>
          <t xml:space="preserve">1. Código
2. Meta
3. Previsão de apuração
4. Unidade de medida
5. Periodicidade
6. Situação da Meta
</t>
        </r>
      </text>
    </comment>
    <comment ref="E110" authorId="1" shapeId="0" xr:uid="{CBFCE93F-065D-40FE-A0D6-567E0177DA14}">
      <text>
        <r>
          <rPr>
            <sz val="9"/>
            <color indexed="81"/>
            <rFont val="Segoe UI"/>
            <family val="2"/>
          </rPr>
          <t>1-Meta e Resultados
2-Usuario
3 - Indicadores</t>
        </r>
      </text>
    </comment>
    <comment ref="D111" authorId="1" shapeId="0" xr:uid="{C48972D8-6B9C-40F3-8E13-8FB86CE368B1}">
      <text>
        <r>
          <rPr>
            <sz val="9"/>
            <color indexed="81"/>
            <rFont val="Segoe UI"/>
            <family val="2"/>
          </rPr>
          <t xml:space="preserve">1. Código
2. Situacao
3. CMD
4. MSG
</t>
        </r>
      </text>
    </comment>
    <comment ref="E111" authorId="1" shapeId="0" xr:uid="{B641A7D8-C225-4E91-A4C5-C102F9B9CCBD}">
      <text>
        <r>
          <rPr>
            <sz val="9"/>
            <color indexed="81"/>
            <rFont val="Segoe UI"/>
            <family val="2"/>
          </rPr>
          <t>1-Meta e Resultados
2-Usuario
3 - Indicadores</t>
        </r>
      </text>
    </comment>
    <comment ref="D112" authorId="1" shapeId="0" xr:uid="{DD0BAC81-C6AE-4CDB-BCB2-C675680F8196}">
      <text>
        <r>
          <rPr>
            <sz val="9"/>
            <color indexed="81"/>
            <rFont val="Segoe UI"/>
            <family val="2"/>
          </rPr>
          <t xml:space="preserve">1. Codigo
2. CMD
3. MSG
</t>
        </r>
      </text>
    </comment>
    <comment ref="E112" authorId="1" shapeId="0" xr:uid="{537D04C9-CB17-42BE-AAB7-63BCA5D5C2C1}">
      <text>
        <r>
          <rPr>
            <sz val="9"/>
            <color indexed="81"/>
            <rFont val="Segoe UI"/>
            <family val="2"/>
          </rPr>
          <t xml:space="preserve">1-Meta e Resultados
</t>
        </r>
      </text>
    </comment>
    <comment ref="D113" authorId="1" shapeId="0" xr:uid="{CAC14034-EA4A-4B54-9EBB-DC1D5FEEF24C}">
      <text>
        <r>
          <rPr>
            <sz val="9"/>
            <color indexed="81"/>
            <rFont val="Segoe UI"/>
            <family val="2"/>
          </rPr>
          <t xml:space="preserve">1. Código
2. Justificativa
3. Usuario
4. Data do cancelamento
5. CMD
6. MSG
</t>
        </r>
      </text>
    </comment>
    <comment ref="E113" authorId="1" shapeId="0" xr:uid="{0EAC1A3D-A35A-46A5-95BB-2AD9415B9008}">
      <text>
        <r>
          <rPr>
            <sz val="9"/>
            <color indexed="81"/>
            <rFont val="Segoe UI"/>
            <family val="2"/>
          </rPr>
          <t>1-Meta e Resultados
2-Usuario</t>
        </r>
      </text>
    </comment>
    <comment ref="D114" authorId="1" shapeId="0" xr:uid="{FD79C07E-AECD-4AFB-B6BA-398670E15651}">
      <text>
        <r>
          <rPr>
            <sz val="9"/>
            <color indexed="81"/>
            <rFont val="Segoe UI"/>
            <family val="2"/>
          </rPr>
          <t xml:space="preserve">1. Código
2. Justificativa
3. Usuario
4. Data do cancelamento
5. CMD
6. MSG
</t>
        </r>
      </text>
    </comment>
    <comment ref="E114" authorId="1" shapeId="0" xr:uid="{A503DCE3-DCD2-4BEE-BBFB-AFE314C2039D}">
      <text>
        <r>
          <rPr>
            <sz val="9"/>
            <color indexed="81"/>
            <rFont val="Segoe UI"/>
            <family val="2"/>
          </rPr>
          <t>1-Meta e Resultados
2-Usuario</t>
        </r>
      </text>
    </comment>
    <comment ref="D117" authorId="1" shapeId="0" xr:uid="{FE5A07D6-9CD4-4851-9D89-3BA669A0D66A}">
      <text>
        <r>
          <rPr>
            <sz val="9"/>
            <color indexed="81"/>
            <rFont val="Segoe UI"/>
            <family val="2"/>
          </rPr>
          <t>1. Código do indicador
2. Versão
3. Tipo
4. Data
5. Analista Metodologico
6. Analista Negocial
7. Código Proposta
8. Nome do Indicador
9. Tipo do indicador
10. Responsável
11. CMD
12. MSG</t>
        </r>
      </text>
    </comment>
    <comment ref="E117" authorId="1" shapeId="0" xr:uid="{B05BB1FC-EBE9-41ED-A817-BDD0050D1E2B}">
      <text>
        <r>
          <rPr>
            <sz val="9"/>
            <color indexed="81"/>
            <rFont val="Segoe UI"/>
            <family val="2"/>
          </rPr>
          <t>1-Indicador
2-Usuario
3- Proposta de Indicadores
4- Analise Negocial
5- Analise Metodologica</t>
        </r>
      </text>
    </comment>
    <comment ref="D118" authorId="1" shapeId="0" xr:uid="{65F236D0-FDD5-4A8D-B2F7-89A5BD47D051}">
      <text>
        <r>
          <rPr>
            <sz val="9"/>
            <color indexed="81"/>
            <rFont val="Segoe UI"/>
            <family val="2"/>
          </rPr>
          <t xml:space="preserve">1. Código
2. Responsável indicador
3. Tipo indicador
4. Desdobramento
5. Area
6. Sub Area
7. Nome do Indicador
8. Justificativa
9. Objetivo
10. Instrumento
11. Exercício
12. Codigo Vinculo
13. Descrição Vinculo
14. CMD
15. MSG
</t>
        </r>
      </text>
    </comment>
    <comment ref="E118" authorId="1" shapeId="0" xr:uid="{422CE295-3F0E-498F-97F8-C6A779244BED}">
      <text>
        <r>
          <rPr>
            <sz val="9"/>
            <color indexed="81"/>
            <rFont val="Segoe UI"/>
            <family val="2"/>
          </rPr>
          <t>1- Indicadores</t>
        </r>
      </text>
    </comment>
    <comment ref="D119" authorId="1" shapeId="0" xr:uid="{BC712C57-35C8-4BA5-B606-8DE7672FF54E}">
      <text>
        <r>
          <rPr>
            <sz val="9"/>
            <color indexed="81"/>
            <rFont val="Segoe UI"/>
            <family val="2"/>
          </rPr>
          <t xml:space="preserve">1. Código
2. Unidade de medida 
3. Periodicidade 
4. Desagregação geográfica
5. Desagragação categórica
6. Metodologia de calculo
7. Arquivo
8. Descrição
9. Fonte 
10. Pesquisa
11. Informação
12. Limitação
13. Parametro
14. Recomendação
15. Compreensão
17. Restrição a publicação
17. Restrição a publicação de dados do indicador exceto utilização orgão publicos
18. Restrição a publicação exceto utilização dos dados
19. MSG
20. CMD
</t>
        </r>
      </text>
    </comment>
    <comment ref="E119" authorId="1" shapeId="0" xr:uid="{D0D4E233-8897-42E5-A380-F08D42ACCA98}">
      <text>
        <r>
          <rPr>
            <sz val="9"/>
            <color indexed="81"/>
            <rFont val="Segoe UI"/>
            <family val="2"/>
          </rPr>
          <t>1- Indicadores</t>
        </r>
      </text>
    </comment>
    <comment ref="D120" authorId="1" shapeId="0" xr:uid="{4C91BB2F-6A2D-4280-8147-50C70B8B79F8}">
      <text>
        <r>
          <rPr>
            <sz val="9"/>
            <color indexed="81"/>
            <rFont val="Segoe UI"/>
            <family val="2"/>
          </rPr>
          <t>1. Código
2. Indicador novo 
3. Termo
4. Data referencia
5. Data apuração
6. Valor apurado
7. CMD
8. MSG</t>
        </r>
      </text>
    </comment>
    <comment ref="E120" authorId="1" shapeId="0" xr:uid="{81FA56CB-B1E3-4B4C-BB2E-E6B5D8D55659}">
      <text>
        <r>
          <rPr>
            <sz val="9"/>
            <color indexed="81"/>
            <rFont val="Segoe UI"/>
            <family val="2"/>
          </rPr>
          <t>1- Indicadores</t>
        </r>
      </text>
    </comment>
    <comment ref="D121" authorId="1" shapeId="0" xr:uid="{59CECA07-BE45-4252-B10F-29E626D5DACA}">
      <text>
        <r>
          <rPr>
            <sz val="9"/>
            <color indexed="81"/>
            <rFont val="Segoe UI"/>
            <family val="2"/>
          </rPr>
          <t>1. Código do indicador
2. Versão
3. Tipo
4. Data
5. Analista Metodologico
6. Analista Negocial
7. Código Proposta
8. Nome do Indicador
9. Tipo do indicador
10. Responsável
11. CMD
12. MSG</t>
        </r>
      </text>
    </comment>
    <comment ref="E121" authorId="1" shapeId="0" xr:uid="{2E76840B-DB58-462D-A5AC-FC408C13E2D4}">
      <text>
        <r>
          <rPr>
            <sz val="9"/>
            <color indexed="81"/>
            <rFont val="Segoe UI"/>
            <family val="2"/>
          </rPr>
          <t>1-Indicador
2-Usuario
3- Proposta de Indicadores
4- Analise Negocial
5- Analise Metodologica</t>
        </r>
      </text>
    </comment>
    <comment ref="D122" authorId="1" shapeId="0" xr:uid="{02681A85-FD20-4AD8-94E0-ADF9A7E42173}">
      <text>
        <r>
          <rPr>
            <sz val="9"/>
            <color indexed="81"/>
            <rFont val="Segoe UI"/>
            <family val="2"/>
          </rPr>
          <t>1. Código do indicador
2. Data 
3. Usuario
4. Situacao
5. Versão
6. Ação Executada
7. Justificativa
8. CMD
9. MSG</t>
        </r>
      </text>
    </comment>
    <comment ref="E122" authorId="1" shapeId="0" xr:uid="{FF07A8D3-6D75-4719-912B-51F539E5D17F}">
      <text>
        <r>
          <rPr>
            <sz val="9"/>
            <color indexed="81"/>
            <rFont val="Segoe UI"/>
            <family val="2"/>
          </rPr>
          <t>1- Usuario
2- Indicadores</t>
        </r>
      </text>
    </comment>
    <comment ref="D123" authorId="1" shapeId="0" xr:uid="{63E472D4-A7A9-4ABB-974F-6DE6CB24EEF3}">
      <text>
        <r>
          <rPr>
            <sz val="9"/>
            <color indexed="81"/>
            <rFont val="Segoe UI"/>
            <family val="2"/>
          </rPr>
          <t>1. Código do indicador
2. Data 
3. Usuario
4. Situacao
5. Versão
6. Ação Executada
7. Justificativa
8. CMD
9. MSG</t>
        </r>
      </text>
    </comment>
    <comment ref="E123" authorId="1" shapeId="0" xr:uid="{78E21EAD-6E39-40F8-8311-F5DE366AEC42}">
      <text>
        <r>
          <rPr>
            <sz val="9"/>
            <color indexed="81"/>
            <rFont val="Segoe UI"/>
            <family val="2"/>
          </rPr>
          <t>1 - Usuario
2 - Indicadores</t>
        </r>
      </text>
    </comment>
    <comment ref="D126" authorId="1" shapeId="0" xr:uid="{CD5628E8-EB03-4DC5-9C9C-DF257C78FD83}">
      <text>
        <r>
          <rPr>
            <sz val="9"/>
            <color indexed="81"/>
            <rFont val="Segoe UI"/>
            <family val="2"/>
          </rPr>
          <t>1. Código
2. Justificativa
3. Número Da Solicitação
4. Órgão
5. Código Indicador
6. Data
7. Usuário
8. Tipo
9. Situação
10. Analista Negocial
11. Data Validação
12. Parecer Negocial
13. Manifestação</t>
        </r>
      </text>
    </comment>
    <comment ref="E126" authorId="1" shapeId="0" xr:uid="{345B93E7-0B17-4B6C-A298-764D28958243}">
      <text>
        <r>
          <rPr>
            <sz val="9"/>
            <color indexed="81"/>
            <rFont val="Segoe UI"/>
            <family val="2"/>
          </rPr>
          <t xml:space="preserve">1- Análise Solicitação desativar/reativar indicador
</t>
        </r>
      </text>
    </comment>
    <comment ref="D127" authorId="1" shapeId="0" xr:uid="{35BF138F-4F19-42B6-AE30-DF1C85895F3E}">
      <text>
        <r>
          <rPr>
            <sz val="9"/>
            <color indexed="81"/>
            <rFont val="Segoe UI"/>
            <family val="2"/>
          </rPr>
          <t>1. Código
2. Órgão
3. Usuário de Solicitação
4. Analista Negocial
5. Tipo
6. Situação
7. Código Indicador
8. Nome Indicador
9. Número
10. Data
11. Data Validação</t>
        </r>
      </text>
    </comment>
    <comment ref="E127" authorId="1" shapeId="0" xr:uid="{4F61DD4F-FB37-462F-9F42-D88E4636F920}">
      <text>
        <r>
          <rPr>
            <sz val="9"/>
            <color indexed="81"/>
            <rFont val="Segoe UI"/>
            <family val="2"/>
          </rPr>
          <t>1-Análise Solicitação desativar/reativar indicador
2-Usuario
3-Orgão</t>
        </r>
      </text>
    </comment>
    <comment ref="D128" authorId="1" shapeId="0" xr:uid="{0B608356-34A0-41F9-B4BB-C83C413AFDEA}">
      <text>
        <r>
          <rPr>
            <sz val="9"/>
            <color indexed="81"/>
            <rFont val="Segoe UI"/>
            <family val="2"/>
          </rPr>
          <t>1. Código
2. Órgão
3. Usuário de Solicitação
4. Analista Negocial
5. Tipo
6. Situação
7. Código Indicador
8. Nome Indicador
9. Número
10. Data
11. Data Validação</t>
        </r>
      </text>
    </comment>
    <comment ref="E128" authorId="1" shapeId="0" xr:uid="{3876EC5F-118A-40AD-AC73-8B2A2A7A44DC}">
      <text>
        <r>
          <rPr>
            <sz val="9"/>
            <color indexed="81"/>
            <rFont val="Segoe UI"/>
            <family val="2"/>
          </rPr>
          <t>1-Análise Solicitação desativar/reativar indicador
2-Usuario
3-Orgão</t>
        </r>
      </text>
    </comment>
    <comment ref="D129" authorId="1" shapeId="0" xr:uid="{A93F3651-1C0C-4B73-8D32-3DC69E457E49}">
      <text>
        <r>
          <rPr>
            <sz val="9"/>
            <color indexed="81"/>
            <rFont val="Segoe UI"/>
            <family val="2"/>
          </rPr>
          <t>1. Código
2. Parecer Negocial
3. Manifestação
4. Situação da Solicitação
5. Situação do Indicador
6. CMD
7. MSG</t>
        </r>
      </text>
    </comment>
    <comment ref="E129" authorId="1" shapeId="0" xr:uid="{D9D60F66-0462-480C-BEE0-F17C5586C849}">
      <text>
        <r>
          <rPr>
            <sz val="9"/>
            <color indexed="81"/>
            <rFont val="Segoe UI"/>
            <family val="2"/>
          </rPr>
          <t xml:space="preserve">1- Análise Solicitação desativar/reativar indicador
2- Indicadores
</t>
        </r>
      </text>
    </comment>
    <comment ref="D130" authorId="1" shapeId="0" xr:uid="{6CBBD54A-75D9-4142-BA75-F09FBFD57772}">
      <text>
        <r>
          <rPr>
            <sz val="9"/>
            <color indexed="81"/>
            <rFont val="Segoe UI"/>
            <family val="2"/>
          </rPr>
          <t xml:space="preserve">1. Codigo indicador
2. Nome Indicador
3. Data
4. Usuario
5. Tipo
6. Justificativa
7. Parecer
8. Manifestação
</t>
        </r>
      </text>
    </comment>
    <comment ref="E130" authorId="1" shapeId="0" xr:uid="{7C1039F6-8B18-447C-B7B2-15C733AF9BCC}">
      <text>
        <r>
          <rPr>
            <sz val="9"/>
            <color indexed="81"/>
            <rFont val="Segoe UI"/>
            <family val="2"/>
          </rPr>
          <t>1- Análise Solicitação desativar/reativar indicador
2- Usuário
3- Indicadores</t>
        </r>
      </text>
    </comment>
    <comment ref="D131" authorId="1" shapeId="0" xr:uid="{02558864-B55E-43C9-820F-C8324F91F493}">
      <text>
        <r>
          <rPr>
            <sz val="9"/>
            <color indexed="81"/>
            <rFont val="Segoe UI"/>
            <family val="2"/>
          </rPr>
          <t xml:space="preserve">1. Codigo indicador
2. Nome Indicador
3. Data
4. Usuario
5. Tipo
6. Justificativa
7. Parecer
8. Manifestação
9. CMD
10. Msg
</t>
        </r>
      </text>
    </comment>
    <comment ref="E131" authorId="1" shapeId="0" xr:uid="{E1C0A09F-4674-43F3-8598-2F64A946C431}">
      <text>
        <r>
          <rPr>
            <sz val="9"/>
            <color indexed="81"/>
            <rFont val="Segoe UI"/>
            <family val="2"/>
          </rPr>
          <t>1- Análise Solicitação desativar/reativar indicador
2- Usuário
3- Indicadores</t>
        </r>
      </text>
    </comment>
    <comment ref="D134" authorId="1" shapeId="0" xr:uid="{FE64984E-4BE7-45D2-9435-0582F46B8A45}">
      <text>
        <r>
          <rPr>
            <sz val="9"/>
            <color indexed="81"/>
            <rFont val="Segoe UI"/>
            <family val="2"/>
          </rPr>
          <t>1. Codigo indicador
2. Nome Indicador
3. Versão
4. Situacao
5. Cod Proposta
6. Proxima apuração
7. CMD
8. MSG</t>
        </r>
      </text>
    </comment>
    <comment ref="E134" authorId="1" shapeId="0" xr:uid="{A14D5653-BE0C-45F4-AC2A-597D99964332}">
      <text>
        <r>
          <rPr>
            <sz val="9"/>
            <color indexed="81"/>
            <rFont val="Segoe UI"/>
            <family val="2"/>
          </rPr>
          <t>1- Indicadores</t>
        </r>
      </text>
    </comment>
    <comment ref="D137" authorId="1" shapeId="0" xr:uid="{3AE23E39-4308-48DF-B664-CED10BBE22DC}">
      <text>
        <r>
          <rPr>
            <sz val="9"/>
            <color indexed="81"/>
            <rFont val="Segoe UI"/>
            <family val="2"/>
          </rPr>
          <t>1. Código
2. Código do Indicador
3. Nome do Indicador
4. Data
5. Usuário da Solicitação
6. N° da Meta
7. Meta
8. Previsão de Apuração
9. Descrição da Meta
10. Unidade de Medida
11. Situação
12. Analista Negocial
13. Data de Validação
14. Parecer Negocial
15. Manifestação Técnica</t>
        </r>
      </text>
    </comment>
    <comment ref="E137" authorId="1" shapeId="0" xr:uid="{357ECBAD-8356-422F-BE4F-13113FD724CC}">
      <text>
        <r>
          <rPr>
            <sz val="9"/>
            <color indexed="81"/>
            <rFont val="Segoe UI"/>
            <family val="2"/>
          </rPr>
          <t xml:space="preserve">1-Análise Proposta de Meta
</t>
        </r>
      </text>
    </comment>
    <comment ref="D138" authorId="1" shapeId="0" xr:uid="{2BD3C088-CCB1-49D9-9622-FF8B8E125406}">
      <text>
        <r>
          <rPr>
            <sz val="9"/>
            <color indexed="81"/>
            <rFont val="Segoe UI"/>
            <family val="2"/>
          </rPr>
          <t>1. Código
2. Usuário Solicitação
3. Analista Negocial
4. Situação
5. Codigo do indicador
6. Nome do Indicaodr
7. Nº Meta
8. Meta
9. Apuração
10. Data Validação 
11. CMD
12. MSG</t>
        </r>
      </text>
    </comment>
    <comment ref="E138" authorId="1" shapeId="0" xr:uid="{1F6AA6A2-36EF-4F43-9C50-4B13A62E90AD}">
      <text>
        <r>
          <rPr>
            <sz val="9"/>
            <color indexed="81"/>
            <rFont val="Segoe UI"/>
            <family val="2"/>
          </rPr>
          <t>1-Análise proposta da meta
2-Usuario
3-Metas e Resultados 
4- Indicadores</t>
        </r>
      </text>
    </comment>
    <comment ref="D139" authorId="1" shapeId="0" xr:uid="{759D7C58-A5BA-4A40-A0CC-3579BCDCA66E}">
      <text>
        <r>
          <rPr>
            <sz val="9"/>
            <color indexed="81"/>
            <rFont val="Segoe UI"/>
            <family val="2"/>
          </rPr>
          <t>1. Código
2. Usuário Solicitação
3. Analista Negocial
4. Situação
5. Codigo do indicador
6. Nome do Indicaodr
7. Nº Meta
8. Meta
9. Apuração
10. Data Validação 
11. CMD
12. MSG</t>
        </r>
      </text>
    </comment>
    <comment ref="E139" authorId="1" shapeId="0" xr:uid="{830991C5-7487-4212-B361-9E39508D605A}">
      <text>
        <r>
          <rPr>
            <sz val="9"/>
            <color indexed="81"/>
            <rFont val="Segoe UI"/>
            <family val="2"/>
          </rPr>
          <t>1-Análise proposta da meta
2-Usuario
3-Metas e Resultados 
4- Indicadores</t>
        </r>
      </text>
    </comment>
    <comment ref="D140" authorId="1" shapeId="0" xr:uid="{DA95764D-9453-4541-9801-87AA0E21183E}">
      <text>
        <r>
          <rPr>
            <sz val="9"/>
            <color indexed="81"/>
            <rFont val="Segoe UI"/>
            <family val="2"/>
          </rPr>
          <t>1. Código
2. Parecer Negocial
3. Manifestação
4. Situação da Solicitação
5. Situação do Meta
6. CMD
7. MSG</t>
        </r>
      </text>
    </comment>
    <comment ref="E140" authorId="1" shapeId="0" xr:uid="{888D631E-D61F-4EF6-B861-99CDC59EC445}">
      <text>
        <r>
          <rPr>
            <sz val="9"/>
            <color indexed="81"/>
            <rFont val="Segoe UI"/>
            <family val="2"/>
          </rPr>
          <t xml:space="preserve">1-Análise Proposta de Meta
2- Meta
</t>
        </r>
      </text>
    </comment>
    <comment ref="D141" authorId="1" shapeId="0" xr:uid="{E2050699-231D-4DBB-8A3A-0CABF17D9695}">
      <text>
        <r>
          <rPr>
            <sz val="9"/>
            <color indexed="81"/>
            <rFont val="Segoe UI"/>
            <family val="2"/>
          </rPr>
          <t xml:space="preserve">1. Codigo indicador
2. Nome Indicador
3. Data
4. Usuario
5. Meta
6. Previsao
7. Unidade
8. Periodicidade
9. Situacao
10. Parecer
11. Manifestação
</t>
        </r>
      </text>
    </comment>
    <comment ref="E141" authorId="1" shapeId="0" xr:uid="{97D4AA22-DB25-432F-BC92-26CBF8378676}">
      <text>
        <r>
          <rPr>
            <sz val="9"/>
            <color indexed="81"/>
            <rFont val="Segoe UI"/>
            <family val="2"/>
          </rPr>
          <t>1-Análise proposta da meta
2-Usuario
3-Metas e Resultados 
4- Indicadores</t>
        </r>
      </text>
    </comment>
    <comment ref="D142" authorId="1" shapeId="0" xr:uid="{6D14A707-F975-499A-A823-FE077C762669}">
      <text>
        <r>
          <rPr>
            <sz val="9"/>
            <color indexed="81"/>
            <rFont val="Segoe UI"/>
            <family val="2"/>
          </rPr>
          <t>1. Codigo indicador
2. Nome Indicador
3. Data
4. Usuario
5. Meta
6. Previsao
7. Unidade
8. Periodicidade
9. Situacao
10. Parecer
11. Manifestação
12. CMD
13. MSG</t>
        </r>
      </text>
    </comment>
    <comment ref="E142" authorId="1" shapeId="0" xr:uid="{41E277BB-2037-4C3C-85C4-F6BA7440A6B2}">
      <text>
        <r>
          <rPr>
            <sz val="9"/>
            <color indexed="81"/>
            <rFont val="Segoe UI"/>
            <family val="2"/>
          </rPr>
          <t>1-Análise proposta da meta
2-Usuario
3-Metas e Resultados 
4- Indicadores</t>
        </r>
      </text>
    </comment>
    <comment ref="D145" authorId="1" shapeId="0" xr:uid="{68F0EA78-7018-4FF6-9652-2231A3FE7C9D}">
      <text>
        <r>
          <rPr>
            <sz val="9"/>
            <color indexed="81"/>
            <rFont val="Segoe UI"/>
            <family val="2"/>
          </rPr>
          <t>1. Código
2. Data de referencia
3. Data apuração
4. Valor apurado
5. Usuario
6. Avulso</t>
        </r>
      </text>
    </comment>
    <comment ref="E145" authorId="1" shapeId="0" xr:uid="{6AD91FF4-64C5-45C1-9C94-E0AEAFD46834}">
      <text>
        <r>
          <rPr>
            <sz val="9"/>
            <color indexed="81"/>
            <rFont val="Segoe UI"/>
            <family val="2"/>
          </rPr>
          <t xml:space="preserve">1 -  Apuração de Resultados </t>
        </r>
      </text>
    </comment>
    <comment ref="D146" authorId="1" shapeId="0" xr:uid="{64CBBB33-D8F6-495A-BFD9-490557795FE4}">
      <text>
        <r>
          <rPr>
            <sz val="9"/>
            <color indexed="81"/>
            <rFont val="Segoe UI"/>
            <family val="2"/>
          </rPr>
          <t xml:space="preserve">1. Código
2. Meta
3. Previsão
4. Periodicidade
5. Unidade 
6. Valor
7. Data Referência avulso
8. Data Apuração avulso
9. Valor Apurado avulso
10. Usuário avulso
11. CMD
12. MSG 
</t>
        </r>
      </text>
    </comment>
    <comment ref="E146" authorId="1" shapeId="0" xr:uid="{7B34F03A-3F3E-44BD-8AF8-3B1DD6695DEF}">
      <text>
        <r>
          <rPr>
            <sz val="9"/>
            <color indexed="81"/>
            <rFont val="Segoe UI"/>
            <family val="2"/>
          </rPr>
          <t xml:space="preserve">1 -  Apuração de Resultados </t>
        </r>
      </text>
    </comment>
    <comment ref="D147" authorId="1" shapeId="0" xr:uid="{327E8DBF-63D4-4757-92F2-22B564690A0D}">
      <text>
        <r>
          <rPr>
            <sz val="9"/>
            <color indexed="81"/>
            <rFont val="Segoe UI"/>
            <family val="2"/>
          </rPr>
          <t xml:space="preserve">1. Código
2. Data Referência
3. Data Apuração
4. Valor Apurado 
5. Usuário 
6. CMD
7. MSG </t>
        </r>
      </text>
    </comment>
    <comment ref="E147" authorId="1" shapeId="0" xr:uid="{204B5A7A-63FC-41CA-9F06-665A12737E3D}">
      <text>
        <r>
          <rPr>
            <sz val="9"/>
            <color indexed="81"/>
            <rFont val="Segoe UI"/>
            <family val="2"/>
          </rPr>
          <t>1 -  Apuração de Resultados 
2 - Usuário</t>
        </r>
      </text>
    </comment>
    <comment ref="D148" authorId="1" shapeId="0" xr:uid="{9BE15356-569E-481B-96BC-7209EEEB798B}">
      <text>
        <r>
          <rPr>
            <sz val="9"/>
            <color indexed="81"/>
            <rFont val="Segoe UI"/>
            <family val="2"/>
          </rPr>
          <t xml:space="preserve">1. Código
2. Data de referencia
3. Data apuração
4. Valor apurado
5. Usuario
6. CMD
7. MSG 
</t>
        </r>
      </text>
    </comment>
    <comment ref="E148" authorId="1" shapeId="0" xr:uid="{442CE861-BFD7-471C-9D85-FB5704E58B1A}">
      <text>
        <r>
          <rPr>
            <sz val="9"/>
            <color indexed="81"/>
            <rFont val="Segoe UI"/>
            <family val="2"/>
          </rPr>
          <t>1- Apuração Resultado
2- Indicadores
3- Meta e Resultado
4- Avaliação Resultado
5- Usuário</t>
        </r>
      </text>
    </comment>
    <comment ref="D149" authorId="1" shapeId="0" xr:uid="{A1F88760-0E82-46C4-8893-D8ECEC356B7F}">
      <text>
        <r>
          <rPr>
            <sz val="9"/>
            <color indexed="81"/>
            <rFont val="Segoe UI"/>
            <family val="2"/>
          </rPr>
          <t xml:space="preserve">1. Código
2. Data de referencia
3. Data apuração
4. Valor apurado
5. Usuario
6. CMD
7. MSG 
</t>
        </r>
      </text>
    </comment>
    <comment ref="E149" authorId="1" shapeId="0" xr:uid="{68568FCB-0B04-4BD9-92AD-7AB456C8E5A9}">
      <text>
        <r>
          <rPr>
            <sz val="9"/>
            <color indexed="81"/>
            <rFont val="Segoe UI"/>
            <family val="2"/>
          </rPr>
          <t>1- Apuração Resultado
2- Indicadores
3- Meta e Resultado
4- Avaliação Resultado
5- Usuário</t>
        </r>
      </text>
    </comment>
    <comment ref="D150" authorId="1" shapeId="0" xr:uid="{65384097-20F5-4996-BA52-DABBC4AA31B9}">
      <text>
        <r>
          <rPr>
            <sz val="9"/>
            <color indexed="81"/>
            <rFont val="Segoe UI"/>
            <family val="2"/>
          </rPr>
          <t xml:space="preserve">1. Código
2. Data de referencia
3. Data apuração
4. Valor apurado
5. Usuario
</t>
        </r>
      </text>
    </comment>
    <comment ref="E150" authorId="1" shapeId="0" xr:uid="{7AA11DB4-435B-46B4-8406-4D27B582C199}">
      <text>
        <r>
          <rPr>
            <sz val="9"/>
            <color indexed="81"/>
            <rFont val="Segoe UI"/>
            <family val="2"/>
          </rPr>
          <t>1- Apuração Resultado
2- Indicadores
3- Meta e Resultado
4- Avaliação Resultado
5- Usuário</t>
        </r>
      </text>
    </comment>
    <comment ref="D151" authorId="1" shapeId="0" xr:uid="{B175BD7E-2ADD-4AEE-8443-B50A3A1C8302}">
      <text>
        <r>
          <rPr>
            <sz val="9"/>
            <color indexed="81"/>
            <rFont val="Segoe UI"/>
            <family val="2"/>
          </rPr>
          <t xml:space="preserve">1. Código
2. Data de referencia
3. Data apuração
4. Valor apurado
5. Usuario
6. CMD
7. MSG 
</t>
        </r>
      </text>
    </comment>
    <comment ref="E151" authorId="1" shapeId="0" xr:uid="{9B207AC0-0165-44E1-B5C0-5B69F346160F}">
      <text>
        <r>
          <rPr>
            <sz val="9"/>
            <color indexed="81"/>
            <rFont val="Segoe UI"/>
            <family val="2"/>
          </rPr>
          <t>1- Apuração Resultado
2- Indicadores
3- Meta e Resultado
4- Avaliação Resultado
5- Usuário</t>
        </r>
      </text>
    </comment>
    <comment ref="D152" authorId="1" shapeId="0" xr:uid="{06F5A232-EEEB-478D-A416-530D400FCE4C}">
      <text>
        <r>
          <rPr>
            <sz val="9"/>
            <color indexed="81"/>
            <rFont val="Segoe UI"/>
            <family val="2"/>
          </rPr>
          <t xml:space="preserve">1. Codigo
2. CMD
3. MSG 
</t>
        </r>
      </text>
    </comment>
    <comment ref="E152" authorId="1" shapeId="0" xr:uid="{63FCD553-4B30-4B00-A822-DFD98493065D}">
      <text>
        <r>
          <rPr>
            <sz val="9"/>
            <color indexed="81"/>
            <rFont val="Segoe UI"/>
            <family val="2"/>
          </rPr>
          <t xml:space="preserve">1 -  Apuração de Resultados </t>
        </r>
      </text>
    </comment>
    <comment ref="D155" authorId="1" shapeId="0" xr:uid="{4A0C574C-A421-44E4-8B21-1EE2454013B7}">
      <text>
        <r>
          <rPr>
            <sz val="9"/>
            <color indexed="81"/>
            <rFont val="Segoe UI"/>
            <family val="2"/>
          </rPr>
          <t xml:space="preserve">1. Código
2. Avaliação
3. Situacao
4. Data
5. Usuário
</t>
        </r>
      </text>
    </comment>
    <comment ref="E155" authorId="1" shapeId="0" xr:uid="{881B7A32-AA26-4BFC-A166-481F6D5A7C27}">
      <text>
        <r>
          <rPr>
            <sz val="9"/>
            <color indexed="81"/>
            <rFont val="Segoe UI"/>
            <family val="2"/>
          </rPr>
          <t>1 -  Avaliação do Resultado</t>
        </r>
      </text>
    </comment>
    <comment ref="D156" authorId="1" shapeId="0" xr:uid="{2916E481-95D9-4EDB-A8C3-0F3D29DD2734}">
      <text>
        <r>
          <rPr>
            <sz val="9"/>
            <color indexed="81"/>
            <rFont val="Segoe UI"/>
            <family val="2"/>
          </rPr>
          <t xml:space="preserve">1. Código
2. Meta
3. Previsão
4. Periodicidade
5. Unidade 
6. Valor
7. CMD
8. MSG </t>
        </r>
      </text>
    </comment>
    <comment ref="E156" authorId="1" shapeId="0" xr:uid="{34AF34B2-9282-4C45-BCA9-5025C58CC0B8}">
      <text>
        <r>
          <rPr>
            <sz val="9"/>
            <color indexed="81"/>
            <rFont val="Segoe UI"/>
            <family val="2"/>
          </rPr>
          <t xml:space="preserve">1 -  Apuração de Resultados 
2 - Meta e Resultado
3 - Usuário
</t>
        </r>
      </text>
    </comment>
    <comment ref="D157" authorId="1" shapeId="0" xr:uid="{72099666-8F90-42AB-975B-E42E189416E8}">
      <text>
        <r>
          <rPr>
            <sz val="9"/>
            <color indexed="81"/>
            <rFont val="Segoe UI"/>
            <family val="2"/>
          </rPr>
          <t xml:space="preserve">1. Código
2. Meta
3. Previsão
4. Periodicidade
5. Unidade 
6. Valor
7. Data referencia
8. Data apuração
9. Valor apurado
10. Usuario
11. Avaliação
12. Situacao
13. Data
14. Usuario
15. CMD
16. MSG
</t>
        </r>
      </text>
    </comment>
    <comment ref="E157" authorId="1" shapeId="0" xr:uid="{DFFCBF95-6C36-40F1-A2D0-8614AD75D7A8}">
      <text>
        <r>
          <rPr>
            <sz val="9"/>
            <color indexed="81"/>
            <rFont val="Segoe UI"/>
            <family val="2"/>
          </rPr>
          <t>1 -  Apuração de Resultados 
2 - Meta e Resultado
3 - Usuário
4 - Avaliação do Resultado</t>
        </r>
      </text>
    </comment>
    <comment ref="D158" authorId="1" shapeId="0" xr:uid="{EE82D951-2DDD-465A-ADC8-C75CC4454CB6}">
      <text>
        <r>
          <rPr>
            <sz val="9"/>
            <color indexed="81"/>
            <rFont val="Segoe UI"/>
            <family val="2"/>
          </rPr>
          <t xml:space="preserve">1. Código
2. Avaliação
3. Data
4. Usuário
5. CMD
6. MSG </t>
        </r>
      </text>
    </comment>
    <comment ref="E158" authorId="1" shapeId="0" xr:uid="{4798EB58-8F01-4733-8DDD-5F295EFF31ED}">
      <text>
        <r>
          <rPr>
            <sz val="9"/>
            <color indexed="81"/>
            <rFont val="Segoe UI"/>
            <family val="2"/>
          </rPr>
          <t>1 -  Avaliação do Resultado
2 - Usuário</t>
        </r>
      </text>
    </comment>
    <comment ref="D159" authorId="1" shapeId="0" xr:uid="{95C459C6-01F0-418C-BB77-19B1E8D5D8A1}">
      <text>
        <r>
          <rPr>
            <sz val="9"/>
            <color indexed="81"/>
            <rFont val="Segoe UI"/>
            <family val="2"/>
          </rPr>
          <t xml:space="preserve">1. Código
2. Avaliação
3. Data
4. Usuário
</t>
        </r>
      </text>
    </comment>
    <comment ref="E159" authorId="1" shapeId="0" xr:uid="{FA345513-3492-40B2-AEFC-3545380C03F0}">
      <text>
        <r>
          <rPr>
            <sz val="9"/>
            <color indexed="81"/>
            <rFont val="Segoe UI"/>
            <family val="2"/>
          </rPr>
          <t>1 -  Avaliação do Resultado
2 - Usuário</t>
        </r>
      </text>
    </comment>
    <comment ref="D160" authorId="1" shapeId="0" xr:uid="{95C8485E-3840-4E88-B397-484F8667D6D2}">
      <text>
        <r>
          <rPr>
            <sz val="9"/>
            <color indexed="81"/>
            <rFont val="Segoe UI"/>
            <family val="2"/>
          </rPr>
          <t xml:space="preserve">1. Código
2. Avaliação
3. Situação
4. Data
5. Usuário
6. CMD
7. MSG </t>
        </r>
      </text>
    </comment>
    <comment ref="E160" authorId="1" shapeId="0" xr:uid="{3F498D87-D79B-4546-AD65-98D1824382F0}">
      <text>
        <r>
          <rPr>
            <sz val="9"/>
            <color indexed="81"/>
            <rFont val="Segoe UI"/>
            <family val="2"/>
          </rPr>
          <t>1 -  Avaliação do Resultado
2 - Usuário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46" authorId="0" shapeId="0" xr:uid="{00000000-0006-0000-0300-000001000000}">
      <text>
        <r>
          <rPr>
            <b/>
            <sz val="8"/>
            <color indexed="8"/>
            <rFont val="Tahoma"/>
            <family val="2"/>
          </rPr>
          <t xml:space="preserve">Técnica de estimativa do tamanho desenvolvida pela NESMA. Assume que os arquivos lógicos são de complexidade baixa e as transações são de complexidade média. 
</t>
        </r>
      </text>
    </comment>
    <comment ref="B47" authorId="0" shapeId="0" xr:uid="{00000000-0006-0000-0300-000002000000}">
      <text>
        <r>
          <rPr>
            <b/>
            <sz val="8"/>
            <color indexed="8"/>
            <rFont val="Tahoma"/>
            <family val="2"/>
          </rPr>
          <t xml:space="preserve">Técnica de estimativa do tamanho desenvolvida pela NESMA. É baseada apenas nos arquivos lógicos. Assume que cada ALI tem um peso de 35 PF e cada AIE um peso de 15 PF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H9" authorId="0" shapeId="0" xr:uid="{00000000-0006-0000-0400-000001000000}">
      <text>
        <r>
          <rPr>
            <b/>
            <sz val="8"/>
            <color indexed="8"/>
            <rFont val="Tahoma"/>
            <family val="2"/>
          </rPr>
          <t xml:space="preserve">Contribuição fixa em PF independentemente do tipo da funcionalidade
</t>
        </r>
      </text>
    </comment>
    <comment ref="H46" authorId="0" shapeId="0" xr:uid="{00000000-0006-0000-0400-000002000000}">
      <text>
        <r>
          <rPr>
            <b/>
            <sz val="8"/>
            <color indexed="8"/>
            <rFont val="Tahoma"/>
            <family val="2"/>
          </rPr>
          <t xml:space="preserve">Contribuição fixa em PF para o item não funcional
</t>
        </r>
      </text>
    </comment>
  </commentList>
</comments>
</file>

<file path=xl/sharedStrings.xml><?xml version="1.0" encoding="utf-8"?>
<sst xmlns="http://schemas.openxmlformats.org/spreadsheetml/2006/main" count="693" uniqueCount="314">
  <si>
    <t>Identificação da Contagem</t>
  </si>
  <si>
    <t>Empresa</t>
  </si>
  <si>
    <t>Secretaria de Estado de Planejamento e Gestão de Mato Grosso</t>
  </si>
  <si>
    <t>PF IFPUG</t>
  </si>
  <si>
    <t>Aplicação</t>
  </si>
  <si>
    <t>PF Local do EM</t>
  </si>
  <si>
    <t>Tipo de Contagem</t>
  </si>
  <si>
    <t>Projeto de Desenvolvimento</t>
  </si>
  <si>
    <t>PF Local da FS</t>
  </si>
  <si>
    <t>Nível de Detalhe</t>
  </si>
  <si>
    <t>Detalhada (IFPUG)</t>
  </si>
  <si>
    <t>Tecnologia</t>
  </si>
  <si>
    <t>Java</t>
  </si>
  <si>
    <t>Projeto</t>
  </si>
  <si>
    <t>SEI</t>
  </si>
  <si>
    <t>Versão do Guia</t>
  </si>
  <si>
    <t>4.3.1</t>
  </si>
  <si>
    <t>Responsável</t>
  </si>
  <si>
    <t>Ana Karyna da Silva Teixeira</t>
  </si>
  <si>
    <t>Criação</t>
  </si>
  <si>
    <t>Revisor</t>
  </si>
  <si>
    <t>Luana Alves de Araújo Passos Aguiar</t>
  </si>
  <si>
    <t>Revisão</t>
  </si>
  <si>
    <t>Propósito da Contagem</t>
  </si>
  <si>
    <r>
      <t xml:space="preserve">Contagem de Pontos de Função para subsidiar o planejamento, execução e monitoramento do projeto </t>
    </r>
    <r>
      <rPr>
        <i/>
        <sz val="10"/>
        <color rgb="FF00B0F0"/>
        <rFont val="Franklin Gothic Medium"/>
        <family val="2"/>
      </rPr>
      <t>SEI - Sistema Estadual de Indicadores</t>
    </r>
    <r>
      <rPr>
        <sz val="10"/>
        <rFont val="Franklin Gothic Medium"/>
        <family val="2"/>
      </rPr>
      <t xml:space="preserve"> e atender os requisitos do </t>
    </r>
    <r>
      <rPr>
        <b/>
        <sz val="10"/>
        <rFont val="Franklin Gothic Medium"/>
        <family val="2"/>
      </rPr>
      <t>CONTRATO Nº 014/2022/SEPLAG</t>
    </r>
    <r>
      <rPr>
        <sz val="10"/>
        <rFont val="Franklin Gothic Medium"/>
        <family val="2"/>
      </rPr>
      <t xml:space="preserve"> e seus anexos. Com destaque:
- Dar suporte à análise de qualidade e produtividade;
- Estimar o custo e recursos requeridos para o desenvolvimento, melhoria e manutenção do software;
- Fornecer um fator de normalização para a comparação de software;
- Determinar o tamanho de um pacote de aplicação adquirido, por meio do dimensionamento funcional de todas as funções incluídas no mesmo;
- Ajudar os usuários a determinar o benefício provido por um pacote de aplicação para a sua organização, por meio do dimensionamento funcional das funções que correspondam especificamente aos seus requisitos.</t>
    </r>
  </si>
  <si>
    <t>Escopo da Contagem</t>
  </si>
  <si>
    <t xml:space="preserve">Essa contagem contempla a primeira entrega das histórias de usuários especificadas do projeto SEI - Sistema Estadual de Indicadores, conforme listadas a seguir:
[US_8096] Propostas de Indicadores
[US_11830] Status da Proposta
[US_8096] Propostas de Indicadores
[US_11830] Status da Proposta
[US_11831] Relatório - Proposta de Indicador
[US_11832] Relatório - Análise Negocial Atual
[US_11833] Relatório - Análise Metodológica Atual
</t>
  </si>
  <si>
    <t>Documentação Utilizada na Análise</t>
  </si>
  <si>
    <t>Para realizar a conagem de pontos de função em questão, foram utilizadas as histórias e usuários listadas a seguir:
[US_8096] Propostas de Indicadores
[US_11830] Status da Proposta
[US_8096] Propostas de Indicadores
[US_11830] Status da Proposta
[US_11831] Relatório - Proposta de Indicador
[US_11832] Relatório - Análise Negocial Atual
[US_11833] Relatório - Análise Metodológica Atual</t>
  </si>
  <si>
    <t>Planilha de contagem de ponto de função - Versão 2.4</t>
  </si>
  <si>
    <t>Nome da Função</t>
  </si>
  <si>
    <t>Tipo</t>
  </si>
  <si>
    <t>Manutenção</t>
  </si>
  <si>
    <t>TD</t>
  </si>
  <si>
    <t>AR/TR</t>
  </si>
  <si>
    <t>Complex.</t>
  </si>
  <si>
    <t>ctl</t>
  </si>
  <si>
    <t>C</t>
  </si>
  <si>
    <t>ctl2</t>
  </si>
  <si>
    <t>Pacote</t>
  </si>
  <si>
    <t>Referência</t>
  </si>
  <si>
    <t>Observações</t>
  </si>
  <si>
    <t>Proposta de Indicadores</t>
  </si>
  <si>
    <t>ALI</t>
  </si>
  <si>
    <t>I</t>
  </si>
  <si>
    <t>ok</t>
  </si>
  <si>
    <t>Servidor</t>
  </si>
  <si>
    <t>AIE</t>
  </si>
  <si>
    <t>Proposta de Indicadores - Pesquisar</t>
  </si>
  <si>
    <t>CE</t>
  </si>
  <si>
    <t>Proposta de Indicadores - COMBO UO</t>
  </si>
  <si>
    <t>Proposta de Indicadores - Exportar</t>
  </si>
  <si>
    <t>Proposta de Indicadores - Dados Gerais - Incluir</t>
  </si>
  <si>
    <t>EE</t>
  </si>
  <si>
    <t>Proposta de Indicadores - Dados Gerais - COMBO Responsável Indicador</t>
  </si>
  <si>
    <t>Proposta de Indicadores - Dados Gerais - COMBO Exercício</t>
  </si>
  <si>
    <t>Proposta de Indicadores - Dados Gerais - Pesquisar Instrumento</t>
  </si>
  <si>
    <t>Proposta de Indicadores - Dados Complementares - Incluir</t>
  </si>
  <si>
    <t>Proposta de Indicadores - Dados Complementares - COMBO Unidade de Medida</t>
  </si>
  <si>
    <t>Proposta de Indicadores - Dados Complementares - COMBO Periodicidade</t>
  </si>
  <si>
    <t>Proposta de Indicadores - Dados Complementares - COMBO Des. Geografica</t>
  </si>
  <si>
    <t>Proposta de Indicadores - Dados Complementares - COMBO Des. Categórica</t>
  </si>
  <si>
    <t>Proposta de Indicadores - Dados Complementares - COMBO Restrição ao uso da informação</t>
  </si>
  <si>
    <t>Proposta de Indicadores - Série Histórica - Incluir</t>
  </si>
  <si>
    <t>Proposta de Indicadores - Dados Gerais - Alterar</t>
  </si>
  <si>
    <t>Proposta de Indicadores - Dados Gerais - Alterar - Consulta Implicita</t>
  </si>
  <si>
    <t>Proposta de Indicadores - Dados Complementares - Alterar</t>
  </si>
  <si>
    <t>Proposta de Indicadores - Dados Complementares - Alterar - Consulta Implicita</t>
  </si>
  <si>
    <t>Proposta de Indicadores - Série Histórica - Alterar</t>
  </si>
  <si>
    <t>Proposta de Indicadores - Série Histórica - Alterar - Consulta Implicita</t>
  </si>
  <si>
    <t>Proposta de Indicadores - Série Histórica - Excluir</t>
  </si>
  <si>
    <t>Proposta de Indicadores - Excluir</t>
  </si>
  <si>
    <t>Proposta de Indicadores - Cancelar</t>
  </si>
  <si>
    <t>Proposta de Indicadores - Dados Gerais - Visualizar</t>
  </si>
  <si>
    <t>Proposta de Indicadores - Dados Complementares - Visualizar</t>
  </si>
  <si>
    <t>Proposta de Indicadores - Série Histórica - Visualizar</t>
  </si>
  <si>
    <t>Proposta de Indicadores - Enviar para Análise Negocial</t>
  </si>
  <si>
    <t xml:space="preserve">Analise Negocial </t>
  </si>
  <si>
    <t>Orgão</t>
  </si>
  <si>
    <t>Analise Negocial - Exportar</t>
  </si>
  <si>
    <t>Analise Negocial - Analisar</t>
  </si>
  <si>
    <t xml:space="preserve">Analise Negocial - Incluir </t>
  </si>
  <si>
    <t>Analise Negocial - Finalizar Análise Negocial</t>
  </si>
  <si>
    <t xml:space="preserve">Analise Negocial - Alterar </t>
  </si>
  <si>
    <t>Analise Negocial - Alterar  - Consulta Implicita</t>
  </si>
  <si>
    <t>Analise Negocial - COMBO - Orgão Entidade</t>
  </si>
  <si>
    <t>Analise Negocial - COMBO - Usuario Cadastro Proposta</t>
  </si>
  <si>
    <t>Analise Negocial - COMBO - Analista Negocial</t>
  </si>
  <si>
    <t>Análise Metodológica</t>
  </si>
  <si>
    <t>Análise Metodológica - Exportar</t>
  </si>
  <si>
    <t>Análise Metodológica - Analisar</t>
  </si>
  <si>
    <t>Análise Metodológica - Incluir</t>
  </si>
  <si>
    <t>Análise Metodológica - Finalizar Análise Metodologica</t>
  </si>
  <si>
    <t>Análise Metodológica - Alterar</t>
  </si>
  <si>
    <t>Análise Metodológica - Alterar - Consulta Implicita</t>
  </si>
  <si>
    <t>Status da Proposta - Listar</t>
  </si>
  <si>
    <t>Emitir Relatório - Proposta de Indicador</t>
  </si>
  <si>
    <t>Emitir Relatório - Análise Negocial Atual</t>
  </si>
  <si>
    <t>Emitir Relatório - Análise Metodológica Atual</t>
  </si>
  <si>
    <t>Indicadores</t>
  </si>
  <si>
    <t>Listar Meus Indicadores</t>
  </si>
  <si>
    <t>Exibir Cabeçalho</t>
  </si>
  <si>
    <t>SE</t>
  </si>
  <si>
    <t>Visualizar Dados Gerais</t>
  </si>
  <si>
    <t>Visualizar Dados Complementares</t>
  </si>
  <si>
    <t>Visualizar Serie Histórica</t>
  </si>
  <si>
    <t>Exportar Meus Indicadores</t>
  </si>
  <si>
    <t>Ativar Indicador</t>
  </si>
  <si>
    <t>Inativar Indicador</t>
  </si>
  <si>
    <t>[US_8137] Alterar Indicador Proposta de Alteração</t>
  </si>
  <si>
    <t>Alterar Indicador - Dados Gerais</t>
  </si>
  <si>
    <t>[US_8139] Relatório-Resumo da Proposta de Alteração</t>
  </si>
  <si>
    <t>Emitir Relatório Resumo da Proposta de Alteração</t>
  </si>
  <si>
    <t>[US_8140] Relatório-Dados do Indicador</t>
  </si>
  <si>
    <t>[US_8141] Metas e Resultados</t>
  </si>
  <si>
    <t xml:space="preserve">Metas e Resultados </t>
  </si>
  <si>
    <t xml:space="preserve">Metas e Resultados - Exportar </t>
  </si>
  <si>
    <t xml:space="preserve">Metas e Resultados - Incluir </t>
  </si>
  <si>
    <t xml:space="preserve">Metas e Resultados - Alterar </t>
  </si>
  <si>
    <t>Metas e Resultados - Alterar - Consulta Implicita</t>
  </si>
  <si>
    <t>Metas e Resultados - Enviar para Análise Negocial</t>
  </si>
  <si>
    <t>Metas e Resultados - Excluir</t>
  </si>
  <si>
    <t>Metas e Resultados - Cancelar</t>
  </si>
  <si>
    <t>Metas e Resultados - Consulta Implicita Cancelar</t>
  </si>
  <si>
    <t>[US_8206] Histórico do Indicador</t>
  </si>
  <si>
    <t>Histórico do Indicador - Visualizar Histórico de Versões</t>
  </si>
  <si>
    <t>Histórico do Indicador - Visualizar Histórico Dados Gerais</t>
  </si>
  <si>
    <t>Histórico do Indicador - Visualizar Histórico Dados Complementares</t>
  </si>
  <si>
    <t>Histórico do Indicador - Visualizar Histórico Série Histórica</t>
  </si>
  <si>
    <t>Histórico do Indicador - Exportar Histórico de Versões</t>
  </si>
  <si>
    <t>Histórico do Indicador - Visualizar Histórico de Situações</t>
  </si>
  <si>
    <t>Histórico do Indicador - Exportar Histórico de Situações</t>
  </si>
  <si>
    <t>[US_17206] Solicitações de Desativar-Reativar Indicador</t>
  </si>
  <si>
    <t>Análise Solicitação desativar/reativar indicador</t>
  </si>
  <si>
    <t>Solicitações de Desativar-Reativar Indicador - Exportar</t>
  </si>
  <si>
    <t>Solicitações de Desativar-Reativar Indicador - Analisar</t>
  </si>
  <si>
    <t>Solicitações de Desativar-Reativar Indicador - Analisar - Consulta Implicita</t>
  </si>
  <si>
    <t>Solicitações de Desativar-Reativar Indicador - Analisar - Visualizar</t>
  </si>
  <si>
    <t>[US_18013] Estrutura de Tela - Indicadores</t>
  </si>
  <si>
    <t xml:space="preserve"> Estrutura de Tela - Indicadores -  Informações do Indicador </t>
  </si>
  <si>
    <t>[US_18389] Analisar Proposta de Metas</t>
  </si>
  <si>
    <t>Análise Proposta de Meta</t>
  </si>
  <si>
    <t xml:space="preserve"> Analisar Proposta de Metas - Exportar</t>
  </si>
  <si>
    <t xml:space="preserve"> Analisar Proposta de Metas - Analisar</t>
  </si>
  <si>
    <t xml:space="preserve"> Analisar Proposta de Metas - Analisar - Consulta Implicita</t>
  </si>
  <si>
    <t xml:space="preserve"> Analisar Proposta de Metas- Analisar - Visualizar</t>
  </si>
  <si>
    <t>[US_18498] Apuração de Resultados</t>
  </si>
  <si>
    <t xml:space="preserve"> Apuração de Resultados - Listar</t>
  </si>
  <si>
    <t xml:space="preserve"> Apuração de Resultados - Listar - expandir apuração de resultados</t>
  </si>
  <si>
    <t xml:space="preserve"> Apuração de Resultados - Salvar</t>
  </si>
  <si>
    <t xml:space="preserve"> Apuração de Resultados - Editar</t>
  </si>
  <si>
    <t xml:space="preserve"> Apuração de Resultados - Consulta implícita</t>
  </si>
  <si>
    <t xml:space="preserve"> Apuração de Resultados - Visualizar</t>
  </si>
  <si>
    <t xml:space="preserve"> Apuração de Resultados - Excluir Avulso</t>
  </si>
  <si>
    <t>[US_18515] Avaliação do Resultado</t>
  </si>
  <si>
    <t>Avaliação do Resultado</t>
  </si>
  <si>
    <t>Avaliação do Resultado - Listar</t>
  </si>
  <si>
    <t>Avaliação do Resultado - Listar - Expandir apuração de resultados</t>
  </si>
  <si>
    <t>Avaliação do Resultado - Finalizar</t>
  </si>
  <si>
    <t>Itens Não Mensuráveis</t>
  </si>
  <si>
    <t>Tipo de Manutenção na Função</t>
  </si>
  <si>
    <t>Sigla</t>
  </si>
  <si>
    <t>Contribuição em PF Local</t>
  </si>
  <si>
    <t>PF Local FS</t>
  </si>
  <si>
    <t>Contrato</t>
  </si>
  <si>
    <t>Descrição</t>
  </si>
  <si>
    <t>Origem</t>
  </si>
  <si>
    <t>Percentual (%)</t>
  </si>
  <si>
    <t>Fixa (PF)</t>
  </si>
  <si>
    <t>Adicionada</t>
  </si>
  <si>
    <t>Inclusão</t>
  </si>
  <si>
    <t>Alterada</t>
  </si>
  <si>
    <t>Alteração (sem conhecimento do Fator de Impacto)</t>
  </si>
  <si>
    <t>SISP – 4.2 Projeto de Melhoria</t>
  </si>
  <si>
    <t>A</t>
  </si>
  <si>
    <t>Excluída</t>
  </si>
  <si>
    <t>Exclusão</t>
  </si>
  <si>
    <t>E</t>
  </si>
  <si>
    <t>Alteração (50%) de função desenvolvida ou já alterada pela empresa atual</t>
  </si>
  <si>
    <t>A50</t>
  </si>
  <si>
    <t>Alteração (75%) de função não desenv. e ainda não alterada pela empresa atual</t>
  </si>
  <si>
    <t>A75</t>
  </si>
  <si>
    <t>Alteração (75%+15%): o mesmo acima + redocumentar a função</t>
  </si>
  <si>
    <t>A90</t>
  </si>
  <si>
    <t>Migração de Dados</t>
  </si>
  <si>
    <t>SISP – 4.3 Projetos de Migração de Dados</t>
  </si>
  <si>
    <t>PMD</t>
  </si>
  <si>
    <t>Corretiva (sem conhecimento do Fator de Impacto)</t>
  </si>
  <si>
    <t>SISP – 4.4 Manutenção Corretiva</t>
  </si>
  <si>
    <t>COR</t>
  </si>
  <si>
    <t>Corretiva (50%) - Fora da garantia (mesma empresa)</t>
  </si>
  <si>
    <t>COR50</t>
  </si>
  <si>
    <t>Corretiva (75%) - Fora da garantia (outra empresa)</t>
  </si>
  <si>
    <t>COR75</t>
  </si>
  <si>
    <t>Corretiva (75%+15%) - Fora da garantia (outra empresa) + Redocumentação</t>
  </si>
  <si>
    <t>COR90</t>
  </si>
  <si>
    <t>Corretiva em Garantia</t>
  </si>
  <si>
    <t>GAR</t>
  </si>
  <si>
    <t>Mudança de Plataforma - Linguagem de Programação</t>
  </si>
  <si>
    <t>SISP – 4.5.1 Mudança de Plataforma – Linguagem de Programação</t>
  </si>
  <si>
    <t>MLP</t>
  </si>
  <si>
    <t>Mudança de Plataforma - Banco de Dados (outro paradigma)</t>
  </si>
  <si>
    <t>SISP – 4.5.2 Mudança de Plataforma – Banco de Dados</t>
  </si>
  <si>
    <t>MBO</t>
  </si>
  <si>
    <t>Mudança de Plataforma - Banco de Dados (mesmo paradigma com alterações)</t>
  </si>
  <si>
    <t>MBM</t>
  </si>
  <si>
    <t>Atualização de Versão – Linguagem de Programação</t>
  </si>
  <si>
    <t>SISP – 4.6.1 Atualização de Versão – Linguagem de Programação</t>
  </si>
  <si>
    <t>ALP</t>
  </si>
  <si>
    <t>Atualização de Versão – Browser</t>
  </si>
  <si>
    <t>SISP – 4.6.2 Atualização de Versão – Browser</t>
  </si>
  <si>
    <t>AVB</t>
  </si>
  <si>
    <t>Atualização de Versão – Banco de Dados</t>
  </si>
  <si>
    <t>SISP – 4.6.3 Atualização de Versão – Banco de Dados</t>
  </si>
  <si>
    <t>ABD</t>
  </si>
  <si>
    <t>Manutenção Cosmética</t>
  </si>
  <si>
    <t>SISP – 4.7 Manutenção Cosmética</t>
  </si>
  <si>
    <t>COS</t>
  </si>
  <si>
    <t>Adaptação em Funcionalidades sem Alteração de Requisitos Funcionais
(sem conhecimento do Fator de Impacto)</t>
  </si>
  <si>
    <t>SISP – 4.8 Adaptação em Funcionalidades sem Alteração de Requisitos Funcionais</t>
  </si>
  <si>
    <t>ARN</t>
  </si>
  <si>
    <t>Adaptação em Funcionalidades sem Alteração de Requisitos Funcionais (50%)
(em função desenvolvida ou já alterada pela empresa atual)</t>
  </si>
  <si>
    <t>ARN50</t>
  </si>
  <si>
    <t>Adaptação em Funcionalidades sem Alteração de Requisitos Funcionais (75%)
(em função não desenvolvida e ainda não alterada pela empresa atual)</t>
  </si>
  <si>
    <t>ARN75</t>
  </si>
  <si>
    <t>Atualização de Dados sem Consulta Prévia</t>
  </si>
  <si>
    <t>SISP – 4.9.1 Apuração Especial – Base de Dados</t>
  </si>
  <si>
    <t>ADS</t>
  </si>
  <si>
    <t>Consulta Prévia sem Atualização</t>
  </si>
  <si>
    <t>CPA</t>
  </si>
  <si>
    <t>Atualização de Dados com Consulta Prévia</t>
  </si>
  <si>
    <t>ADC</t>
  </si>
  <si>
    <t>Apuração Especial – Geração de Relatórios</t>
  </si>
  <si>
    <t>SISP – 4.9.2 Apuração Especial – Geração de Relatórios</t>
  </si>
  <si>
    <t>AGR</t>
  </si>
  <si>
    <t>Apuração Especial – Reexecução</t>
  </si>
  <si>
    <t>SISP – 4.9.3 Apuração Especial – Reexecução</t>
  </si>
  <si>
    <t>AER</t>
  </si>
  <si>
    <t>Atualização de Dados</t>
  </si>
  <si>
    <t>SISP – 4.10 Atualização de Dados</t>
  </si>
  <si>
    <t>ATD</t>
  </si>
  <si>
    <t>Manutenção de Documentação de Sistemas Legados</t>
  </si>
  <si>
    <t>SISP – 4.12 Manutenção de Documentação de Sistemas Legados</t>
  </si>
  <si>
    <t>MSL</t>
  </si>
  <si>
    <t>Verificação de Erros (Sem Documentação de Teste existente)</t>
  </si>
  <si>
    <t>SISP – 4.13 Verificação de Erros</t>
  </si>
  <si>
    <t>VES</t>
  </si>
  <si>
    <t>Verificação de Erros (Com Documentação de Teste existente)</t>
  </si>
  <si>
    <t>VEC</t>
  </si>
  <si>
    <t>Pontos de Função de Teste</t>
  </si>
  <si>
    <t>SISP – 4.14 Pontos de Função de Teste</t>
  </si>
  <si>
    <t>PFT</t>
  </si>
  <si>
    <t>Componente Interno Reusável</t>
  </si>
  <si>
    <t>SISP – 4.15 Componente Interno Reusável</t>
  </si>
  <si>
    <t>CIR</t>
  </si>
  <si>
    <t xml:space="preserve">           .</t>
  </si>
  <si>
    <t>Quantidade</t>
  </si>
  <si>
    <t>Páginas Estáticas</t>
  </si>
  <si>
    <t>SISP – 4.11 Desenvolvimento, Manutenção e Publicação de Paginas Estáticas de Intranet, Internet ou Portal</t>
  </si>
  <si>
    <t>PAG</t>
  </si>
  <si>
    <t>Manutenção Cosmética (atrelada a algo não funcional)</t>
  </si>
  <si>
    <t>COSNF</t>
  </si>
  <si>
    <t>Dados de Código</t>
  </si>
  <si>
    <t>DC</t>
  </si>
  <si>
    <t>Sumário da Contagem</t>
  </si>
  <si>
    <t>Tipo de Função</t>
  </si>
  <si>
    <t>Complexidade Funcional</t>
  </si>
  <si>
    <t>Total PF IFPUG por Complexidade</t>
  </si>
  <si>
    <t>%</t>
  </si>
  <si>
    <t>Total PF Local FS por tipo de manutenção básica</t>
  </si>
  <si>
    <t>Baixa</t>
  </si>
  <si>
    <t>x 3</t>
  </si>
  <si>
    <t>Média</t>
  </si>
  <si>
    <t>x 4</t>
  </si>
  <si>
    <t>Alta</t>
  </si>
  <si>
    <t>x 6</t>
  </si>
  <si>
    <t>Qtd Total</t>
  </si>
  <si>
    <t>Total</t>
  </si>
  <si>
    <t>x 5</t>
  </si>
  <si>
    <t>x 7</t>
  </si>
  <si>
    <t>x 10</t>
  </si>
  <si>
    <t>x 15</t>
  </si>
  <si>
    <t>Total PF não ajustados (contagem detalhada)</t>
  </si>
  <si>
    <t>Total PF não ajustados (contagem estimativa)</t>
  </si>
  <si>
    <t>Total PF não ajustados (contagem indicativa)</t>
  </si>
  <si>
    <t>Sumário por Deflatores e Itens não mensuráveis</t>
  </si>
  <si>
    <t>Deflatores aplicados a Itens Funcionais</t>
  </si>
  <si>
    <t>Deflator</t>
  </si>
  <si>
    <t>Contrib. Fixa</t>
  </si>
  <si>
    <t>% LOCAL</t>
  </si>
  <si>
    <t>Total IFPUG</t>
  </si>
  <si>
    <t>Itens não Funcionais (Tipo de Função)</t>
  </si>
  <si>
    <t>[US_8096] Propostas de Indicadores_1.00</t>
  </si>
  <si>
    <t>[US_8070] Análise Negocial_1.00</t>
  </si>
  <si>
    <t>[US_8071] Análise Metodológica_1.00</t>
  </si>
  <si>
    <t>[US_11830] Status da Proposta_1.00</t>
  </si>
  <si>
    <t>[US_11831] Relatório - Proposta de Indicador_1.00</t>
  </si>
  <si>
    <t>[US_11832] Relatório - Análise Negocial Atual_1.00</t>
  </si>
  <si>
    <t>[US_11833] Relatório - Análise Metodológica Atual_1.00</t>
  </si>
  <si>
    <t>[US_8072] Meus Indicadores</t>
  </si>
  <si>
    <t>Dados da proposta de alteração do indicador - cabeçalho</t>
  </si>
  <si>
    <t>Alterar Indicador - Dados Gerais - Consulta Implícita</t>
  </si>
  <si>
    <t xml:space="preserve">Alterar Indicador - Dados Complementares </t>
  </si>
  <si>
    <t>Alterar Indicador - Dados Complementares - Consulta Implicita</t>
  </si>
  <si>
    <t>Alterar Indicador - Série Histórica</t>
  </si>
  <si>
    <t>Alterar Indicador -   Série Histórica - Consulta Implicita</t>
  </si>
  <si>
    <t xml:space="preserve">Metas e Resultados - Listagem </t>
  </si>
  <si>
    <t>Solicitações de Desativar-Reativar Indicador - Listagem</t>
  </si>
  <si>
    <t xml:space="preserve"> Analisar Proposta de Metas - Listagem</t>
  </si>
  <si>
    <t xml:space="preserve">Apuração de Resultados </t>
  </si>
  <si>
    <t>Avaliação do Resultado -  Incluir/Alterar</t>
  </si>
  <si>
    <t>Avaliação do Resultado -  Consulta implícita</t>
  </si>
  <si>
    <t>Análise Metodológica - Listagem</t>
  </si>
  <si>
    <t>Analise Negocial - Listagem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</si>
</sst>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0.00\ ;* \(#,##0.00\);* \-#\ ;@\ "/>
    <numFmt numFmtId="165" formatCode="dd/mm/yy"/>
    <numFmt numFmtId="166" formatCode="0.0000"/>
    <numFmt numFmtId="167" formatCode="0.0%"/>
  </numFmts>
  <fonts count="23" x14ac:knownFonts="1">
    <font>
      <sz val="10"/>
      <name val="Arial"/>
      <family val="2"/>
    </font>
    <font>
      <b/>
      <sz val="15"/>
      <color indexed="56"/>
      <name val="Calibri"/>
      <family val="2"/>
    </font>
    <font>
      <sz val="10"/>
      <name val="Franklin Gothic Medium"/>
      <family val="2"/>
    </font>
    <font>
      <b/>
      <sz val="12"/>
      <name val="Franklin Gothic Medium"/>
      <family val="2"/>
    </font>
    <font>
      <sz val="9"/>
      <color indexed="12"/>
      <name val="Franklin Gothic Medium"/>
      <family val="2"/>
    </font>
    <font>
      <sz val="9"/>
      <name val="Franklin Gothic Medium"/>
      <family val="2"/>
    </font>
    <font>
      <b/>
      <sz val="10"/>
      <name val="Franklin Gothic Medium"/>
      <family val="2"/>
    </font>
    <font>
      <b/>
      <sz val="8.5"/>
      <color indexed="63"/>
      <name val="Times New Roman"/>
      <family val="1"/>
    </font>
    <font>
      <sz val="8.5"/>
      <color indexed="63"/>
      <name val="Times New Roman"/>
      <family val="1"/>
    </font>
    <font>
      <b/>
      <sz val="8.5"/>
      <name val="Times New Roman"/>
      <family val="1"/>
    </font>
    <font>
      <sz val="8"/>
      <name val="Franklin Gothic Medium"/>
      <family val="2"/>
    </font>
    <font>
      <b/>
      <sz val="8"/>
      <color indexed="8"/>
      <name val="Tahoma"/>
      <family val="2"/>
    </font>
    <font>
      <sz val="8"/>
      <color indexed="8"/>
      <name val="Tahoma"/>
      <family val="2"/>
    </font>
    <font>
      <sz val="9"/>
      <color indexed="63"/>
      <name val="Franklin Gothic Medium"/>
      <family val="2"/>
    </font>
    <font>
      <b/>
      <sz val="9"/>
      <name val="Franklin Gothic Medium"/>
      <family val="2"/>
    </font>
    <font>
      <sz val="10"/>
      <name val="Arial"/>
      <family val="2"/>
    </font>
    <font>
      <sz val="8.5"/>
      <color indexed="81"/>
      <name val="Times New Roman"/>
      <family val="1"/>
    </font>
    <font>
      <sz val="9"/>
      <color theme="0"/>
      <name val="Franklin Gothic Medium"/>
      <family val="2"/>
    </font>
    <font>
      <sz val="8"/>
      <color theme="0"/>
      <name val="Franklin Gothic Medium"/>
      <family val="2"/>
    </font>
    <font>
      <sz val="9"/>
      <color indexed="81"/>
      <name val="Segoe UI"/>
      <family val="2"/>
    </font>
    <font>
      <b/>
      <sz val="8"/>
      <name val="Franklin Gothic Medium"/>
      <family val="2"/>
    </font>
    <font>
      <i/>
      <sz val="10"/>
      <color rgb="FF00B0F0"/>
      <name val="Franklin Gothic Medium"/>
      <family val="2"/>
    </font>
    <font>
      <sz val="8"/>
      <color rgb="FFFF0000"/>
      <name val="Franklin Gothic Medium"/>
      <family val="2"/>
    </font>
  </fonts>
  <fills count="5">
    <fill>
      <patternFill patternType="none"/>
    </fill>
    <fill>
      <patternFill patternType="gray125"/>
    </fill>
    <fill>
      <patternFill patternType="solid">
        <fgColor indexed="22"/>
        <bgColor indexed="31"/>
      </patternFill>
    </fill>
    <fill>
      <patternFill patternType="solid">
        <fgColor indexed="13"/>
        <bgColor indexed="34"/>
      </patternFill>
    </fill>
    <fill>
      <patternFill patternType="solid">
        <fgColor indexed="23"/>
        <bgColor indexed="55"/>
      </patternFill>
    </fill>
  </fills>
  <borders count="49">
    <border>
      <left/>
      <right/>
      <top/>
      <bottom/>
      <diagonal/>
    </border>
    <border>
      <left/>
      <right/>
      <top/>
      <bottom style="thick">
        <color indexed="62"/>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hair">
        <color indexed="8"/>
      </left>
      <right style="hair">
        <color indexed="8"/>
      </right>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style="medium">
        <color indexed="8"/>
      </right>
      <top/>
      <bottom/>
      <diagonal/>
    </border>
    <border>
      <left style="thin">
        <color indexed="8"/>
      </left>
      <right style="thin">
        <color indexed="8"/>
      </right>
      <top style="thin">
        <color indexed="8"/>
      </top>
      <bottom/>
      <diagonal/>
    </border>
    <border>
      <left/>
      <right/>
      <top/>
      <bottom style="thin">
        <color indexed="8"/>
      </bottom>
      <diagonal/>
    </border>
    <border>
      <left/>
      <right/>
      <top style="thin">
        <color indexed="8"/>
      </top>
      <bottom style="thin">
        <color indexed="8"/>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top/>
      <bottom/>
      <diagonal/>
    </border>
    <border>
      <left style="medium">
        <color indexed="8"/>
      </left>
      <right/>
      <top/>
      <bottom style="thin">
        <color indexed="8"/>
      </bottom>
      <diagonal/>
    </border>
    <border>
      <left/>
      <right style="medium">
        <color indexed="8"/>
      </right>
      <top/>
      <bottom style="thin">
        <color indexed="8"/>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8"/>
      </left>
      <right style="thin">
        <color indexed="8"/>
      </right>
      <top style="thin">
        <color indexed="8"/>
      </top>
      <bottom style="hair">
        <color indexed="8"/>
      </bottom>
      <diagonal/>
    </border>
    <border>
      <left style="thin">
        <color indexed="8"/>
      </left>
      <right/>
      <top style="thin">
        <color indexed="8"/>
      </top>
      <bottom style="hair">
        <color indexed="8"/>
      </bottom>
      <diagonal/>
    </border>
    <border>
      <left style="thin">
        <color indexed="8"/>
      </left>
      <right style="hair">
        <color indexed="8"/>
      </right>
      <top style="thin">
        <color indexed="8"/>
      </top>
      <bottom style="hair">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indexed="8"/>
      </left>
      <right style="medium">
        <color indexed="8"/>
      </right>
      <top style="medium">
        <color indexed="8"/>
      </top>
      <bottom style="hair">
        <color indexed="8"/>
      </bottom>
      <diagonal/>
    </border>
    <border>
      <left style="medium">
        <color indexed="8"/>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bottom style="thin">
        <color indexed="8"/>
      </bottom>
      <diagonal/>
    </border>
    <border>
      <left style="medium">
        <color indexed="64"/>
      </left>
      <right style="medium">
        <color indexed="8"/>
      </right>
      <top style="medium">
        <color indexed="64"/>
      </top>
      <bottom style="hair">
        <color indexed="8"/>
      </bottom>
      <diagonal/>
    </border>
    <border>
      <left style="medium">
        <color indexed="8"/>
      </left>
      <right style="medium">
        <color indexed="8"/>
      </right>
      <top style="medium">
        <color indexed="64"/>
      </top>
      <bottom style="hair">
        <color indexed="8"/>
      </bottom>
      <diagonal/>
    </border>
    <border>
      <left style="medium">
        <color indexed="8"/>
      </left>
      <right style="medium">
        <color indexed="64"/>
      </right>
      <top style="medium">
        <color indexed="64"/>
      </top>
      <bottom style="hair">
        <color indexed="8"/>
      </bottom>
      <diagonal/>
    </border>
    <border>
      <left style="medium">
        <color indexed="64"/>
      </left>
      <right style="medium">
        <color indexed="8"/>
      </right>
      <top style="medium">
        <color indexed="8"/>
      </top>
      <bottom style="hair">
        <color indexed="8"/>
      </bottom>
      <diagonal/>
    </border>
    <border>
      <left style="medium">
        <color indexed="8"/>
      </left>
      <right style="medium">
        <color indexed="64"/>
      </right>
      <top style="medium">
        <color indexed="8"/>
      </top>
      <bottom style="hair">
        <color indexed="8"/>
      </bottom>
      <diagonal/>
    </border>
    <border>
      <left style="medium">
        <color indexed="64"/>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thin">
        <color indexed="8"/>
      </top>
      <bottom style="hair">
        <color indexed="8"/>
      </bottom>
      <diagonal/>
    </border>
    <border>
      <left style="thin">
        <color indexed="8"/>
      </left>
      <right style="medium">
        <color indexed="64"/>
      </right>
      <top style="thin">
        <color indexed="8"/>
      </top>
      <bottom style="hair">
        <color indexed="8"/>
      </bottom>
      <diagonal/>
    </border>
    <border>
      <left style="medium">
        <color indexed="64"/>
      </left>
      <right/>
      <top style="hair">
        <color indexed="8"/>
      </top>
      <bottom style="hair">
        <color indexed="8"/>
      </bottom>
      <diagonal/>
    </border>
    <border>
      <left style="hair">
        <color indexed="8"/>
      </left>
      <right style="hair">
        <color indexed="8"/>
      </right>
      <top/>
      <bottom/>
      <diagonal/>
    </border>
  </borders>
  <cellStyleXfs count="4">
    <xf numFmtId="0" fontId="0" fillId="0" borderId="0"/>
    <xf numFmtId="9" fontId="15" fillId="0" borderId="0" applyBorder="0" applyAlignment="0" applyProtection="0"/>
    <xf numFmtId="0" fontId="1" fillId="0" borderId="1" applyAlignment="0" applyProtection="0"/>
    <xf numFmtId="164" fontId="15" fillId="0" borderId="0" applyBorder="0" applyAlignment="0" applyProtection="0"/>
  </cellStyleXfs>
  <cellXfs count="169">
    <xf numFmtId="0" fontId="0" fillId="0" borderId="0" xfId="0"/>
    <xf numFmtId="0" fontId="2" fillId="0" borderId="0" xfId="0" applyFont="1"/>
    <xf numFmtId="0" fontId="4" fillId="0" borderId="2" xfId="0" applyFont="1" applyBorder="1" applyAlignment="1">
      <alignment horizontal="left" vertical="center"/>
    </xf>
    <xf numFmtId="0" fontId="5" fillId="2" borderId="3" xfId="0" applyFont="1" applyFill="1" applyBorder="1" applyAlignment="1">
      <alignment horizontal="left" vertical="center"/>
    </xf>
    <xf numFmtId="0" fontId="10" fillId="0" borderId="5" xfId="0" applyFont="1" applyBorder="1" applyAlignment="1">
      <alignment horizontal="center" vertical="center"/>
    </xf>
    <xf numFmtId="0" fontId="0" fillId="0" borderId="0" xfId="0" applyAlignment="1">
      <alignment horizontal="center"/>
    </xf>
    <xf numFmtId="0" fontId="0" fillId="0" borderId="0" xfId="0" applyAlignment="1">
      <alignment horizontal="right"/>
    </xf>
    <xf numFmtId="0" fontId="2" fillId="0" borderId="0" xfId="0" applyFont="1" applyAlignment="1">
      <alignment horizontal="center"/>
    </xf>
    <xf numFmtId="0" fontId="4" fillId="2"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0" borderId="2" xfId="0" applyFont="1" applyBorder="1" applyAlignment="1">
      <alignment horizontal="center" vertical="center"/>
    </xf>
    <xf numFmtId="4" fontId="5" fillId="2" borderId="6" xfId="3" applyNumberFormat="1" applyFont="1" applyFill="1" applyBorder="1" applyAlignment="1" applyProtection="1">
      <alignment horizontal="center"/>
    </xf>
    <xf numFmtId="0" fontId="13" fillId="2" borderId="3" xfId="0" applyFont="1" applyFill="1" applyBorder="1" applyAlignment="1">
      <alignment horizontal="left" vertical="center"/>
    </xf>
    <xf numFmtId="3" fontId="5" fillId="2" borderId="2" xfId="3" applyNumberFormat="1" applyFont="1" applyFill="1" applyBorder="1" applyAlignment="1" applyProtection="1">
      <alignment horizontal="center"/>
    </xf>
    <xf numFmtId="0" fontId="13" fillId="2" borderId="7" xfId="0" applyFont="1" applyFill="1" applyBorder="1" applyAlignment="1">
      <alignment horizontal="center"/>
    </xf>
    <xf numFmtId="0" fontId="4" fillId="0" borderId="8" xfId="0" applyFont="1" applyBorder="1" applyAlignment="1">
      <alignment horizontal="left" vertical="center"/>
    </xf>
    <xf numFmtId="0" fontId="4" fillId="0" borderId="8" xfId="0" applyFont="1" applyBorder="1" applyAlignment="1">
      <alignment horizontal="center" vertical="center"/>
    </xf>
    <xf numFmtId="3" fontId="5" fillId="2" borderId="8" xfId="3" applyNumberFormat="1" applyFont="1" applyFill="1" applyBorder="1" applyAlignment="1" applyProtection="1">
      <alignment horizontal="center"/>
    </xf>
    <xf numFmtId="4" fontId="5" fillId="2" borderId="9" xfId="3" applyNumberFormat="1" applyFont="1" applyFill="1" applyBorder="1" applyAlignment="1" applyProtection="1">
      <alignment horizontal="center"/>
    </xf>
    <xf numFmtId="167" fontId="5" fillId="0" borderId="0" xfId="1" applyNumberFormat="1" applyFont="1" applyBorder="1" applyAlignment="1" applyProtection="1"/>
    <xf numFmtId="167" fontId="5" fillId="0" borderId="10" xfId="1" applyNumberFormat="1" applyFont="1" applyBorder="1" applyAlignment="1" applyProtection="1"/>
    <xf numFmtId="0" fontId="5" fillId="0" borderId="11" xfId="0" applyFont="1" applyBorder="1" applyAlignment="1">
      <alignment horizontal="center"/>
    </xf>
    <xf numFmtId="0" fontId="4" fillId="0" borderId="2" xfId="0" applyFont="1" applyBorder="1" applyAlignment="1">
      <alignment horizontal="center"/>
    </xf>
    <xf numFmtId="1" fontId="5" fillId="2" borderId="2" xfId="0" applyNumberFormat="1" applyFont="1" applyFill="1" applyBorder="1" applyAlignment="1">
      <alignment horizontal="center"/>
    </xf>
    <xf numFmtId="2" fontId="5" fillId="2" borderId="2" xfId="0" applyNumberFormat="1" applyFont="1" applyFill="1" applyBorder="1" applyAlignment="1">
      <alignment horizontal="center"/>
    </xf>
    <xf numFmtId="10" fontId="5" fillId="2" borderId="2" xfId="1" applyNumberFormat="1" applyFont="1" applyFill="1" applyBorder="1" applyAlignment="1" applyProtection="1">
      <alignment horizontal="center"/>
    </xf>
    <xf numFmtId="2" fontId="5" fillId="0" borderId="2" xfId="1" applyNumberFormat="1" applyFont="1" applyBorder="1" applyAlignment="1" applyProtection="1">
      <alignment horizontal="center"/>
    </xf>
    <xf numFmtId="2" fontId="14" fillId="3" borderId="2" xfId="1" applyNumberFormat="1" applyFont="1" applyFill="1" applyBorder="1" applyAlignment="1" applyProtection="1">
      <alignment horizontal="center"/>
    </xf>
    <xf numFmtId="0" fontId="0" fillId="0" borderId="12" xfId="0" applyBorder="1"/>
    <xf numFmtId="0" fontId="5" fillId="0" borderId="2" xfId="0" applyFont="1" applyBorder="1" applyAlignment="1">
      <alignment horizontal="center"/>
    </xf>
    <xf numFmtId="0" fontId="0" fillId="0" borderId="13" xfId="0" applyBorder="1"/>
    <xf numFmtId="0" fontId="5" fillId="0" borderId="14" xfId="0" applyFont="1" applyBorder="1"/>
    <xf numFmtId="0" fontId="5" fillId="0" borderId="15" xfId="0" applyFont="1" applyBorder="1"/>
    <xf numFmtId="0" fontId="5" fillId="0" borderId="16" xfId="0" applyFont="1" applyBorder="1"/>
    <xf numFmtId="0" fontId="14" fillId="0" borderId="17" xfId="0" applyFont="1" applyBorder="1" applyAlignment="1">
      <alignment horizontal="center"/>
    </xf>
    <xf numFmtId="0" fontId="5" fillId="0" borderId="0" xfId="0" applyFont="1"/>
    <xf numFmtId="0" fontId="5" fillId="0" borderId="12" xfId="0" applyFont="1" applyBorder="1" applyAlignment="1">
      <alignment vertical="center"/>
    </xf>
    <xf numFmtId="0" fontId="5" fillId="0" borderId="0" xfId="0" applyFont="1" applyAlignment="1">
      <alignment vertical="center"/>
    </xf>
    <xf numFmtId="0" fontId="5" fillId="0" borderId="12" xfId="0" applyFont="1" applyBorder="1"/>
    <xf numFmtId="2" fontId="5" fillId="0" borderId="12" xfId="0" applyNumberFormat="1" applyFont="1" applyBorder="1" applyAlignment="1">
      <alignment vertical="center"/>
    </xf>
    <xf numFmtId="0" fontId="5" fillId="0" borderId="10" xfId="0" applyFont="1" applyBorder="1"/>
    <xf numFmtId="0" fontId="5" fillId="0" borderId="17" xfId="0" applyFont="1" applyBorder="1"/>
    <xf numFmtId="10" fontId="5" fillId="0" borderId="10" xfId="0" applyNumberFormat="1" applyFont="1" applyBorder="1"/>
    <xf numFmtId="2" fontId="5" fillId="0" borderId="0" xfId="0" applyNumberFormat="1" applyFont="1"/>
    <xf numFmtId="0" fontId="14" fillId="0" borderId="0" xfId="0" applyFont="1"/>
    <xf numFmtId="0" fontId="5" fillId="0" borderId="18" xfId="0" applyFont="1" applyBorder="1"/>
    <xf numFmtId="0" fontId="5" fillId="0" borderId="19" xfId="0" applyFont="1" applyBorder="1"/>
    <xf numFmtId="2" fontId="5" fillId="0" borderId="12" xfId="0" applyNumberFormat="1" applyFont="1" applyBorder="1"/>
    <xf numFmtId="0" fontId="5" fillId="0" borderId="20" xfId="0" applyFont="1" applyBorder="1"/>
    <xf numFmtId="0" fontId="5" fillId="0" borderId="21" xfId="0" applyFont="1" applyBorder="1"/>
    <xf numFmtId="0" fontId="5" fillId="0" borderId="22" xfId="0" applyFont="1" applyBorder="1"/>
    <xf numFmtId="0" fontId="17" fillId="4" borderId="15" xfId="0" applyFont="1" applyFill="1" applyBorder="1" applyAlignment="1">
      <alignment horizontal="left" vertical="center" wrapText="1"/>
    </xf>
    <xf numFmtId="0" fontId="17" fillId="4" borderId="12" xfId="0" applyFont="1" applyFill="1" applyBorder="1" applyAlignment="1">
      <alignment horizontal="left" vertical="center" wrapText="1"/>
    </xf>
    <xf numFmtId="0" fontId="18" fillId="4" borderId="23" xfId="0" applyFont="1" applyFill="1" applyBorder="1" applyAlignment="1">
      <alignment horizontal="left" vertical="center"/>
    </xf>
    <xf numFmtId="0" fontId="18" fillId="4" borderId="24" xfId="0" applyFont="1" applyFill="1" applyBorder="1" applyAlignment="1">
      <alignment horizontal="left" vertical="center"/>
    </xf>
    <xf numFmtId="0" fontId="18" fillId="4" borderId="23" xfId="0" applyFont="1" applyFill="1" applyBorder="1" applyAlignment="1">
      <alignment horizontal="left"/>
    </xf>
    <xf numFmtId="0" fontId="18" fillId="4" borderId="23" xfId="0" applyFont="1" applyFill="1" applyBorder="1" applyAlignment="1">
      <alignment horizontal="center"/>
    </xf>
    <xf numFmtId="0" fontId="18" fillId="4" borderId="25" xfId="0" applyFont="1" applyFill="1" applyBorder="1" applyAlignment="1">
      <alignment horizontal="center"/>
    </xf>
    <xf numFmtId="0" fontId="18" fillId="4" borderId="24" xfId="0" applyFont="1" applyFill="1" applyBorder="1" applyAlignment="1">
      <alignment horizontal="center"/>
    </xf>
    <xf numFmtId="0" fontId="5" fillId="0" borderId="17" xfId="0" applyFont="1" applyBorder="1" applyAlignment="1">
      <alignment horizontal="left" vertical="center"/>
    </xf>
    <xf numFmtId="0" fontId="4" fillId="0" borderId="0" xfId="0" applyFont="1" applyAlignment="1">
      <alignment horizontal="left" vertical="center"/>
    </xf>
    <xf numFmtId="0" fontId="4" fillId="0" borderId="0" xfId="0" applyFont="1" applyAlignment="1">
      <alignment horizontal="center"/>
    </xf>
    <xf numFmtId="164" fontId="5" fillId="0" borderId="0" xfId="3" applyFont="1" applyBorder="1" applyAlignment="1" applyProtection="1">
      <alignment horizontal="right"/>
    </xf>
    <xf numFmtId="2" fontId="5" fillId="0" borderId="0" xfId="0" applyNumberFormat="1" applyFont="1" applyAlignment="1">
      <alignment horizontal="center"/>
    </xf>
    <xf numFmtId="2" fontId="5" fillId="0" borderId="10" xfId="0" applyNumberFormat="1" applyFont="1" applyBorder="1"/>
    <xf numFmtId="0" fontId="0" fillId="0" borderId="17" xfId="0" applyBorder="1"/>
    <xf numFmtId="0" fontId="0" fillId="0" borderId="10" xfId="0" applyBorder="1"/>
    <xf numFmtId="0" fontId="14" fillId="0" borderId="0" xfId="0" applyFont="1" applyAlignment="1">
      <alignment horizontal="center"/>
    </xf>
    <xf numFmtId="0" fontId="0" fillId="0" borderId="20" xfId="0" applyBorder="1"/>
    <xf numFmtId="0" fontId="4" fillId="0" borderId="21" xfId="0" applyFont="1" applyBorder="1" applyAlignment="1">
      <alignment horizontal="center" vertical="center"/>
    </xf>
    <xf numFmtId="0" fontId="0" fillId="0" borderId="21" xfId="0" applyBorder="1"/>
    <xf numFmtId="0" fontId="4" fillId="0" borderId="21" xfId="0" applyFont="1" applyBorder="1" applyAlignment="1">
      <alignment horizontal="center"/>
    </xf>
    <xf numFmtId="1" fontId="5" fillId="0" borderId="21" xfId="0" applyNumberFormat="1" applyFont="1" applyBorder="1" applyAlignment="1">
      <alignment horizontal="center"/>
    </xf>
    <xf numFmtId="2" fontId="5" fillId="0" borderId="21" xfId="0" applyNumberFormat="1" applyFont="1" applyBorder="1" applyAlignment="1">
      <alignment horizontal="center"/>
    </xf>
    <xf numFmtId="2" fontId="5" fillId="0" borderId="21" xfId="1" applyNumberFormat="1" applyFont="1" applyBorder="1" applyAlignment="1" applyProtection="1">
      <alignment horizontal="center"/>
    </xf>
    <xf numFmtId="10" fontId="5" fillId="0" borderId="21" xfId="1" applyNumberFormat="1" applyFont="1" applyBorder="1" applyAlignment="1" applyProtection="1"/>
    <xf numFmtId="0" fontId="0" fillId="0" borderId="22" xfId="0" applyBorder="1"/>
    <xf numFmtId="10" fontId="0" fillId="0" borderId="0" xfId="0" applyNumberFormat="1"/>
    <xf numFmtId="2" fontId="5" fillId="0" borderId="0" xfId="1" applyNumberFormat="1" applyFont="1" applyBorder="1" applyAlignment="1" applyProtection="1"/>
    <xf numFmtId="0" fontId="5" fillId="0" borderId="0" xfId="0" applyFont="1" applyAlignment="1">
      <alignment horizontal="center" vertical="center"/>
    </xf>
    <xf numFmtId="2" fontId="5" fillId="0" borderId="0" xfId="1" applyNumberFormat="1" applyFont="1" applyBorder="1" applyAlignment="1" applyProtection="1">
      <alignment horizontal="center"/>
    </xf>
    <xf numFmtId="10" fontId="5" fillId="0" borderId="0" xfId="1" applyNumberFormat="1" applyFont="1" applyBorder="1" applyAlignment="1" applyProtection="1"/>
    <xf numFmtId="0" fontId="4" fillId="0" borderId="2" xfId="0" applyFont="1" applyBorder="1" applyAlignment="1">
      <alignment horizontal="left" vertical="center" wrapText="1"/>
    </xf>
    <xf numFmtId="167" fontId="5" fillId="0" borderId="2" xfId="0" applyNumberFormat="1" applyFont="1" applyBorder="1" applyAlignment="1">
      <alignment horizontal="center" vertical="center"/>
    </xf>
    <xf numFmtId="2" fontId="5" fillId="0" borderId="2" xfId="0" applyNumberFormat="1" applyFont="1" applyBorder="1" applyAlignment="1">
      <alignment horizontal="center" vertical="center"/>
    </xf>
    <xf numFmtId="4" fontId="5" fillId="2" borderId="2" xfId="3" applyNumberFormat="1" applyFont="1" applyFill="1" applyBorder="1" applyAlignment="1" applyProtection="1">
      <alignment horizontal="center" vertical="center"/>
    </xf>
    <xf numFmtId="4" fontId="5" fillId="2" borderId="6" xfId="3" applyNumberFormat="1" applyFont="1" applyFill="1" applyBorder="1" applyAlignment="1" applyProtection="1">
      <alignment horizontal="center" vertical="center"/>
    </xf>
    <xf numFmtId="1" fontId="5" fillId="2" borderId="2" xfId="0" applyNumberFormat="1" applyFont="1" applyFill="1" applyBorder="1" applyAlignment="1">
      <alignment horizontal="center" vertical="center"/>
    </xf>
    <xf numFmtId="2" fontId="5" fillId="2" borderId="2" xfId="0" applyNumberFormat="1" applyFont="1" applyFill="1" applyBorder="1" applyAlignment="1">
      <alignment horizontal="center" vertical="center"/>
    </xf>
    <xf numFmtId="167" fontId="5" fillId="2" borderId="2" xfId="0" applyNumberFormat="1" applyFont="1" applyFill="1" applyBorder="1" applyAlignment="1">
      <alignment horizontal="center" vertical="center"/>
    </xf>
    <xf numFmtId="2" fontId="5" fillId="2" borderId="2" xfId="1" applyNumberFormat="1" applyFont="1" applyFill="1" applyBorder="1" applyAlignment="1" applyProtection="1">
      <alignment horizontal="center" vertical="center"/>
    </xf>
    <xf numFmtId="10" fontId="5" fillId="2" borderId="2" xfId="1" applyNumberFormat="1" applyFont="1" applyFill="1" applyBorder="1" applyAlignment="1" applyProtection="1">
      <alignment horizontal="center" vertical="center"/>
    </xf>
    <xf numFmtId="0" fontId="5" fillId="2" borderId="26" xfId="0" applyFont="1" applyFill="1" applyBorder="1" applyAlignment="1">
      <alignment vertical="center"/>
    </xf>
    <xf numFmtId="166" fontId="5" fillId="2" borderId="26" xfId="0" applyNumberFormat="1" applyFont="1" applyFill="1" applyBorder="1" applyAlignment="1">
      <alignment vertical="center"/>
    </xf>
    <xf numFmtId="2" fontId="5" fillId="2" borderId="26" xfId="0" applyNumberFormat="1" applyFont="1" applyFill="1" applyBorder="1" applyAlignment="1">
      <alignment vertical="center"/>
    </xf>
    <xf numFmtId="2" fontId="5" fillId="2" borderId="27" xfId="0" applyNumberFormat="1" applyFont="1" applyFill="1" applyBorder="1" applyAlignment="1">
      <alignment vertical="center"/>
    </xf>
    <xf numFmtId="0" fontId="4" fillId="0" borderId="26" xfId="0" applyFont="1" applyBorder="1" applyAlignment="1">
      <alignment horizontal="left" vertical="center"/>
    </xf>
    <xf numFmtId="0" fontId="4" fillId="0" borderId="13" xfId="0" applyFont="1" applyBorder="1" applyAlignment="1">
      <alignment horizontal="left" vertical="center"/>
    </xf>
    <xf numFmtId="0" fontId="4" fillId="0" borderId="27" xfId="0" applyFont="1" applyBorder="1" applyAlignment="1">
      <alignment horizontal="left" vertical="center"/>
    </xf>
    <xf numFmtId="0" fontId="18" fillId="4" borderId="2" xfId="0" applyFont="1" applyFill="1" applyBorder="1" applyAlignment="1">
      <alignment horizontal="center"/>
    </xf>
    <xf numFmtId="0" fontId="10" fillId="0" borderId="5" xfId="0" applyFont="1" applyBorder="1" applyAlignment="1">
      <alignment horizontal="center" vertical="center" wrapText="1"/>
    </xf>
    <xf numFmtId="4" fontId="10" fillId="0" borderId="5" xfId="0" applyNumberFormat="1" applyFont="1" applyBorder="1" applyAlignment="1">
      <alignment horizontal="center" vertical="center"/>
    </xf>
    <xf numFmtId="0" fontId="5" fillId="2" borderId="43" xfId="0" applyFont="1" applyFill="1" applyBorder="1" applyAlignment="1">
      <alignment horizontal="left" vertical="center"/>
    </xf>
    <xf numFmtId="0" fontId="5" fillId="2" borderId="43" xfId="0" applyFont="1" applyFill="1" applyBorder="1" applyAlignment="1">
      <alignment vertical="center"/>
    </xf>
    <xf numFmtId="0" fontId="18" fillId="4" borderId="45" xfId="0" applyFont="1" applyFill="1" applyBorder="1" applyAlignment="1">
      <alignment horizontal="center" vertical="center" wrapText="1"/>
    </xf>
    <xf numFmtId="0" fontId="18" fillId="4" borderId="46" xfId="0" applyFont="1" applyFill="1" applyBorder="1" applyAlignment="1">
      <alignment horizontal="center"/>
    </xf>
    <xf numFmtId="0" fontId="10" fillId="0" borderId="47" xfId="0" applyFont="1" applyBorder="1" applyAlignment="1">
      <alignment horizontal="left" vertical="center" wrapText="1" indent="1"/>
    </xf>
    <xf numFmtId="0" fontId="10" fillId="0" borderId="4" xfId="0" applyFont="1" applyBorder="1" applyAlignment="1">
      <alignment horizontal="center" vertical="center"/>
    </xf>
    <xf numFmtId="0" fontId="20" fillId="0" borderId="47" xfId="0" applyFont="1" applyBorder="1" applyAlignment="1">
      <alignment horizontal="left" vertical="center" wrapText="1"/>
    </xf>
    <xf numFmtId="0" fontId="10" fillId="0" borderId="47" xfId="0" applyFont="1" applyBorder="1" applyAlignment="1">
      <alignment horizontal="left" vertical="center" wrapText="1" indent="2"/>
    </xf>
    <xf numFmtId="0" fontId="10" fillId="0" borderId="5" xfId="0" applyFont="1" applyBorder="1" applyAlignment="1">
      <alignment horizontal="left" vertical="center" indent="1"/>
    </xf>
    <xf numFmtId="4" fontId="10" fillId="0" borderId="5" xfId="0" applyNumberFormat="1" applyFont="1" applyBorder="1" applyAlignment="1">
      <alignment horizontal="left" vertical="center" indent="1"/>
    </xf>
    <xf numFmtId="0" fontId="0" fillId="0" borderId="0" xfId="0" applyAlignment="1">
      <alignment horizontal="left" indent="1"/>
    </xf>
    <xf numFmtId="4" fontId="10" fillId="0" borderId="5" xfId="0" applyNumberFormat="1" applyFont="1" applyBorder="1" applyAlignment="1">
      <alignment horizontal="left" vertical="center"/>
    </xf>
    <xf numFmtId="4" fontId="10" fillId="0" borderId="5" xfId="0" applyNumberFormat="1" applyFont="1" applyBorder="1" applyAlignment="1">
      <alignment horizontal="left" vertical="center" wrapText="1"/>
    </xf>
    <xf numFmtId="4" fontId="22" fillId="0" borderId="5" xfId="0" applyNumberFormat="1" applyFont="1" applyBorder="1" applyAlignment="1">
      <alignment horizontal="left" vertical="center" wrapText="1"/>
    </xf>
    <xf numFmtId="4" fontId="10" fillId="0" borderId="5" xfId="0" applyNumberFormat="1" applyFont="1" applyBorder="1" applyAlignment="1">
      <alignment vertical="center"/>
    </xf>
    <xf numFmtId="0" fontId="10" fillId="0" borderId="48" xfId="0" applyFont="1" applyBorder="1" applyAlignment="1">
      <alignment horizontal="center" vertical="center"/>
    </xf>
    <xf numFmtId="0" fontId="4" fillId="0" borderId="3" xfId="0" applyFont="1" applyBorder="1" applyAlignment="1">
      <alignment horizontal="left" vertical="center"/>
    </xf>
    <xf numFmtId="0" fontId="5" fillId="0" borderId="26" xfId="0" applyFont="1" applyBorder="1" applyAlignment="1" applyProtection="1">
      <alignment horizontal="left" vertical="center"/>
      <protection locked="0"/>
    </xf>
    <xf numFmtId="0" fontId="4" fillId="0" borderId="2" xfId="0" applyFont="1" applyBorder="1" applyAlignment="1">
      <alignment horizontal="left" vertical="center"/>
    </xf>
    <xf numFmtId="164" fontId="5" fillId="2" borderId="6" xfId="3" applyFont="1" applyFill="1" applyBorder="1" applyAlignment="1" applyProtection="1">
      <alignment horizontal="right" indent="1"/>
    </xf>
    <xf numFmtId="0" fontId="3" fillId="0" borderId="31" xfId="0" applyFont="1" applyBorder="1" applyAlignment="1">
      <alignment horizontal="center" vertical="center"/>
    </xf>
    <xf numFmtId="0" fontId="4" fillId="0" borderId="26" xfId="0" applyFont="1" applyBorder="1" applyAlignment="1" applyProtection="1">
      <alignment horizontal="left" vertical="center"/>
      <protection locked="0"/>
    </xf>
    <xf numFmtId="0" fontId="5" fillId="0" borderId="2" xfId="0" applyFont="1" applyBorder="1" applyAlignment="1" applyProtection="1">
      <alignment horizontal="left"/>
      <protection locked="0"/>
    </xf>
    <xf numFmtId="0" fontId="5" fillId="0" borderId="6" xfId="0" applyFont="1" applyBorder="1" applyAlignment="1" applyProtection="1">
      <alignment horizontal="left" vertical="center"/>
      <protection locked="0"/>
    </xf>
    <xf numFmtId="0" fontId="4" fillId="0" borderId="2" xfId="0" applyFont="1" applyBorder="1" applyAlignment="1">
      <alignment horizontal="left"/>
    </xf>
    <xf numFmtId="165" fontId="5" fillId="0" borderId="6" xfId="0" applyNumberFormat="1" applyFont="1" applyBorder="1" applyAlignment="1" applyProtection="1">
      <alignment horizontal="center"/>
      <protection locked="0"/>
    </xf>
    <xf numFmtId="0" fontId="6" fillId="2" borderId="28" xfId="0" applyFont="1" applyFill="1" applyBorder="1" applyAlignment="1">
      <alignment horizontal="center" vertical="center"/>
    </xf>
    <xf numFmtId="0" fontId="21" fillId="0" borderId="29" xfId="0" applyFont="1" applyBorder="1" applyAlignment="1" applyProtection="1">
      <alignment horizontal="justify" vertical="top" wrapText="1"/>
      <protection locked="0"/>
    </xf>
    <xf numFmtId="0" fontId="2" fillId="0" borderId="29" xfId="0" applyFont="1" applyBorder="1" applyAlignment="1" applyProtection="1">
      <alignment horizontal="justify" vertical="top" wrapText="1"/>
      <protection locked="0"/>
    </xf>
    <xf numFmtId="0" fontId="21" fillId="0" borderId="30" xfId="0" quotePrefix="1" applyFont="1" applyBorder="1" applyAlignment="1" applyProtection="1">
      <alignment horizontal="justify" vertical="top" wrapText="1"/>
      <protection locked="0"/>
    </xf>
    <xf numFmtId="0" fontId="2" fillId="0" borderId="30" xfId="0" applyFont="1" applyBorder="1" applyAlignment="1" applyProtection="1">
      <alignment horizontal="justify" vertical="top" wrapText="1"/>
      <protection locked="0"/>
    </xf>
    <xf numFmtId="0" fontId="5" fillId="2" borderId="32" xfId="0" applyFont="1" applyFill="1" applyBorder="1" applyAlignment="1">
      <alignment horizontal="left" vertical="center"/>
    </xf>
    <xf numFmtId="0" fontId="5" fillId="2" borderId="15" xfId="0" applyFont="1" applyFill="1" applyBorder="1" applyAlignment="1">
      <alignment horizontal="left" vertical="center"/>
    </xf>
    <xf numFmtId="0" fontId="5" fillId="2" borderId="33" xfId="0" applyFont="1" applyFill="1" applyBorder="1" applyAlignment="1">
      <alignment horizontal="left" vertical="center"/>
    </xf>
    <xf numFmtId="0" fontId="5" fillId="2" borderId="6" xfId="0" applyFont="1" applyFill="1" applyBorder="1" applyAlignment="1">
      <alignment horizontal="left" vertical="center"/>
    </xf>
    <xf numFmtId="0" fontId="5" fillId="2" borderId="44" xfId="0" applyFont="1" applyFill="1" applyBorder="1" applyAlignment="1">
      <alignment horizontal="left" vertical="center"/>
    </xf>
    <xf numFmtId="0" fontId="3" fillId="0" borderId="38" xfId="0" applyFont="1" applyBorder="1" applyAlignment="1">
      <alignment horizontal="center" vertical="center"/>
    </xf>
    <xf numFmtId="0" fontId="3" fillId="0" borderId="39" xfId="0" applyFont="1" applyBorder="1" applyAlignment="1">
      <alignment horizontal="center" vertical="center"/>
    </xf>
    <xf numFmtId="0" fontId="3" fillId="0" borderId="40" xfId="0" applyFont="1" applyBorder="1" applyAlignment="1">
      <alignment horizontal="center" vertical="center"/>
    </xf>
    <xf numFmtId="0" fontId="3" fillId="0" borderId="41" xfId="0" applyFont="1" applyBorder="1" applyAlignment="1">
      <alignment horizontal="center" vertical="center"/>
    </xf>
    <xf numFmtId="0" fontId="3" fillId="0" borderId="34" xfId="0" applyFont="1" applyBorder="1" applyAlignment="1">
      <alignment horizontal="center" vertical="center"/>
    </xf>
    <xf numFmtId="0" fontId="3" fillId="0" borderId="42" xfId="0" applyFont="1" applyBorder="1" applyAlignment="1">
      <alignment horizontal="center" vertical="center"/>
    </xf>
    <xf numFmtId="2" fontId="5" fillId="2" borderId="6" xfId="0" applyNumberFormat="1" applyFont="1" applyFill="1" applyBorder="1" applyAlignment="1">
      <alignment horizontal="left" vertical="center"/>
    </xf>
    <xf numFmtId="2" fontId="5" fillId="2" borderId="44" xfId="0" applyNumberFormat="1" applyFont="1" applyFill="1" applyBorder="1" applyAlignment="1">
      <alignment horizontal="left" vertical="center"/>
    </xf>
    <xf numFmtId="0" fontId="5" fillId="2" borderId="26" xfId="0" applyFont="1" applyFill="1" applyBorder="1" applyAlignment="1">
      <alignment horizontal="left" vertical="center"/>
    </xf>
    <xf numFmtId="0" fontId="5" fillId="2" borderId="13" xfId="0" applyFont="1" applyFill="1" applyBorder="1" applyAlignment="1">
      <alignment horizontal="left" vertical="center"/>
    </xf>
    <xf numFmtId="0" fontId="5" fillId="2" borderId="27" xfId="0" applyFont="1" applyFill="1" applyBorder="1" applyAlignment="1">
      <alignment horizontal="left" vertical="center"/>
    </xf>
    <xf numFmtId="0" fontId="4" fillId="2"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0" borderId="26" xfId="0" applyFont="1" applyBorder="1" applyAlignment="1">
      <alignment horizontal="left" vertical="center" wrapText="1"/>
    </xf>
    <xf numFmtId="0" fontId="4" fillId="0" borderId="13" xfId="0" applyFont="1" applyBorder="1" applyAlignment="1">
      <alignment horizontal="left" vertical="center" wrapText="1"/>
    </xf>
    <xf numFmtId="0" fontId="4" fillId="0" borderId="27" xfId="0" applyFont="1" applyBorder="1" applyAlignment="1">
      <alignment horizontal="left" vertical="center" wrapText="1"/>
    </xf>
    <xf numFmtId="0" fontId="4" fillId="0" borderId="2" xfId="0" applyFont="1" applyBorder="1" applyAlignment="1">
      <alignment horizontal="left" vertical="center" wrapText="1"/>
    </xf>
    <xf numFmtId="2" fontId="13" fillId="0" borderId="2" xfId="0" applyNumberFormat="1" applyFont="1" applyBorder="1" applyAlignment="1">
      <alignment horizontal="center" vertical="center"/>
    </xf>
    <xf numFmtId="0" fontId="4" fillId="0" borderId="8" xfId="0" applyFont="1" applyBorder="1" applyAlignment="1">
      <alignment horizontal="left" vertical="center"/>
    </xf>
    <xf numFmtId="2" fontId="13" fillId="0" borderId="8" xfId="0" applyNumberFormat="1" applyFont="1" applyBorder="1" applyAlignment="1">
      <alignment horizontal="center" vertical="center"/>
    </xf>
    <xf numFmtId="0" fontId="17" fillId="4" borderId="13" xfId="0" applyFont="1" applyFill="1" applyBorder="1" applyAlignment="1">
      <alignment horizontal="center" vertical="center" wrapText="1"/>
    </xf>
    <xf numFmtId="0" fontId="17" fillId="4" borderId="36" xfId="0" applyFont="1" applyFill="1" applyBorder="1" applyAlignment="1">
      <alignment horizontal="center" vertical="center" wrapText="1"/>
    </xf>
    <xf numFmtId="0" fontId="5" fillId="2" borderId="3" xfId="0" applyFont="1" applyFill="1" applyBorder="1" applyAlignment="1">
      <alignment horizontal="left" vertical="center"/>
    </xf>
    <xf numFmtId="0" fontId="5" fillId="0" borderId="0" xfId="0" applyFont="1" applyAlignment="1">
      <alignment horizontal="left"/>
    </xf>
    <xf numFmtId="0" fontId="17" fillId="4" borderId="35" xfId="0" applyFont="1" applyFill="1" applyBorder="1" applyAlignment="1">
      <alignment horizontal="center" vertical="center" wrapText="1"/>
    </xf>
    <xf numFmtId="0" fontId="17" fillId="4" borderId="13" xfId="0" applyFont="1" applyFill="1" applyBorder="1" applyAlignment="1">
      <alignment horizontal="center" vertical="center"/>
    </xf>
    <xf numFmtId="0" fontId="5" fillId="2" borderId="35" xfId="0" applyFont="1" applyFill="1" applyBorder="1" applyAlignment="1">
      <alignment horizontal="left" vertical="center"/>
    </xf>
    <xf numFmtId="0" fontId="14" fillId="0" borderId="0" xfId="0" applyFont="1" applyAlignment="1">
      <alignment horizontal="center"/>
    </xf>
    <xf numFmtId="0" fontId="14" fillId="0" borderId="0" xfId="0" applyFont="1" applyAlignment="1">
      <alignment horizontal="center" vertical="center"/>
    </xf>
    <xf numFmtId="0" fontId="14" fillId="0" borderId="37" xfId="0" applyFont="1" applyBorder="1" applyAlignment="1">
      <alignment horizontal="center"/>
    </xf>
  </cellXfs>
  <cellStyles count="4">
    <cellStyle name="Normal" xfId="0" builtinId="0"/>
    <cellStyle name="Porcentagem" xfId="1" builtinId="5"/>
    <cellStyle name="TableStyleLight1" xfId="2" xr:uid="{00000000-0005-0000-0000-000002000000}"/>
    <cellStyle name="Vírgula" xfId="3" builtinId="3"/>
  </cellStyles>
  <dxfs count="12">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C0504D"/>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4F81BD"/>
      <rgbColor rgb="004BACC6"/>
      <rgbColor rgb="009BBB59"/>
      <rgbColor rgb="00FFCC00"/>
      <rgbColor rgb="00FF9900"/>
      <rgbColor rgb="00FF6600"/>
      <rgbColor rgb="008064A2"/>
      <rgbColor rgb="00969696"/>
      <rgbColor rgb="00003366"/>
      <rgbColor rgb="00339966"/>
      <rgbColor rgb="00003300"/>
      <rgbColor rgb="00333300"/>
      <rgbColor rgb="00993300"/>
      <rgbColor rgb="00993366"/>
      <rgbColor rgb="00333399"/>
      <rgbColor rgb="00333333"/>
    </indexedColors>
    <mruColors>
      <color rgb="FFFFFF99"/>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333333"/>
                </a:solidFill>
                <a:latin typeface="Arial"/>
                <a:ea typeface="Arial"/>
                <a:cs typeface="Arial"/>
              </a:defRPr>
            </a:pPr>
            <a:r>
              <a:rPr lang="pt-BR"/>
              <a:t>% por Tipo de Função</a:t>
            </a:r>
          </a:p>
        </c:rich>
      </c:tx>
      <c:layout>
        <c:manualLayout>
          <c:xMode val="edge"/>
          <c:yMode val="edge"/>
          <c:x val="0.25274802188188017"/>
          <c:y val="0.7734375"/>
        </c:manualLayout>
      </c:layout>
      <c:overlay val="0"/>
      <c:spPr>
        <a:noFill/>
        <a:ln w="25400">
          <a:noFill/>
        </a:ln>
      </c:spPr>
    </c:title>
    <c:autoTitleDeleted val="0"/>
    <c:view3D>
      <c:rotX val="80"/>
      <c:rotY val="0"/>
      <c:rAngAx val="0"/>
      <c:perspective val="0"/>
    </c:view3D>
    <c:floor>
      <c:thickness val="0"/>
    </c:floor>
    <c:sideWall>
      <c:thickness val="0"/>
    </c:sideWall>
    <c:backWall>
      <c:thickness val="0"/>
    </c:backWall>
    <c:plotArea>
      <c:layout>
        <c:manualLayout>
          <c:layoutTarget val="inner"/>
          <c:xMode val="edge"/>
          <c:yMode val="edge"/>
          <c:x val="0.31868245865691769"/>
          <c:y val="0.125"/>
          <c:w val="0.27472625746286011"/>
          <c:h val="0.59375"/>
        </c:manualLayout>
      </c:layout>
      <c:pie3DChart>
        <c:varyColors val="1"/>
        <c:ser>
          <c:idx val="0"/>
          <c:order val="0"/>
          <c:spPr>
            <a:solidFill>
              <a:srgbClr val="4F81BD"/>
            </a:solidFill>
            <a:ln w="3175">
              <a:solidFill>
                <a:srgbClr val="333333"/>
              </a:solidFill>
              <a:prstDash val="solid"/>
            </a:ln>
          </c:spPr>
          <c:dPt>
            <c:idx val="0"/>
            <c:bubble3D val="0"/>
            <c:extLst>
              <c:ext xmlns:c16="http://schemas.microsoft.com/office/drawing/2014/chart" uri="{C3380CC4-5D6E-409C-BE32-E72D297353CC}">
                <c16:uniqueId val="{00000000-402C-4CF6-AF68-7582DA9D427C}"/>
              </c:ext>
            </c:extLst>
          </c:dPt>
          <c:dPt>
            <c:idx val="1"/>
            <c:bubble3D val="0"/>
            <c:spPr>
              <a:solidFill>
                <a:srgbClr val="C0504D"/>
              </a:solidFill>
              <a:ln w="3175">
                <a:solidFill>
                  <a:srgbClr val="333333"/>
                </a:solidFill>
                <a:prstDash val="solid"/>
              </a:ln>
            </c:spPr>
            <c:extLst>
              <c:ext xmlns:c16="http://schemas.microsoft.com/office/drawing/2014/chart" uri="{C3380CC4-5D6E-409C-BE32-E72D297353CC}">
                <c16:uniqueId val="{00000002-402C-4CF6-AF68-7582DA9D427C}"/>
              </c:ext>
            </c:extLst>
          </c:dPt>
          <c:dPt>
            <c:idx val="2"/>
            <c:bubble3D val="0"/>
            <c:spPr>
              <a:solidFill>
                <a:srgbClr val="9BBB59"/>
              </a:solidFill>
              <a:ln w="3175">
                <a:solidFill>
                  <a:srgbClr val="333333"/>
                </a:solidFill>
                <a:prstDash val="solid"/>
              </a:ln>
            </c:spPr>
            <c:extLst>
              <c:ext xmlns:c16="http://schemas.microsoft.com/office/drawing/2014/chart" uri="{C3380CC4-5D6E-409C-BE32-E72D297353CC}">
                <c16:uniqueId val="{00000004-402C-4CF6-AF68-7582DA9D427C}"/>
              </c:ext>
            </c:extLst>
          </c:dPt>
          <c:dPt>
            <c:idx val="3"/>
            <c:bubble3D val="0"/>
            <c:spPr>
              <a:solidFill>
                <a:srgbClr val="8064A2"/>
              </a:solidFill>
              <a:ln w="3175">
                <a:solidFill>
                  <a:srgbClr val="333333"/>
                </a:solidFill>
                <a:prstDash val="solid"/>
              </a:ln>
            </c:spPr>
            <c:extLst>
              <c:ext xmlns:c16="http://schemas.microsoft.com/office/drawing/2014/chart" uri="{C3380CC4-5D6E-409C-BE32-E72D297353CC}">
                <c16:uniqueId val="{00000006-402C-4CF6-AF68-7582DA9D427C}"/>
              </c:ext>
            </c:extLst>
          </c:dPt>
          <c:dPt>
            <c:idx val="4"/>
            <c:bubble3D val="0"/>
            <c:spPr>
              <a:solidFill>
                <a:srgbClr val="4BACC6"/>
              </a:solidFill>
              <a:ln w="3175">
                <a:solidFill>
                  <a:srgbClr val="333333"/>
                </a:solidFill>
                <a:prstDash val="solid"/>
              </a:ln>
            </c:spPr>
            <c:extLst>
              <c:ext xmlns:c16="http://schemas.microsoft.com/office/drawing/2014/chart" uri="{C3380CC4-5D6E-409C-BE32-E72D297353CC}">
                <c16:uniqueId val="{00000008-402C-4CF6-AF68-7582DA9D427C}"/>
              </c:ext>
            </c:extLst>
          </c:dPt>
          <c:dLbls>
            <c:dLbl>
              <c:idx val="0"/>
              <c:spPr>
                <a:noFill/>
                <a:ln w="25400">
                  <a:noFill/>
                </a:ln>
              </c:spPr>
              <c:txPr>
                <a:bodyPr/>
                <a:lstStyle/>
                <a:p>
                  <a:pPr>
                    <a:defRPr sz="1000" b="0" i="0" u="none" strike="noStrike" baseline="0">
                      <a:solidFill>
                        <a:srgbClr val="333333"/>
                      </a:solidFill>
                      <a:latin typeface="Calibri"/>
                      <a:ea typeface="Calibri"/>
                      <a:cs typeface="Calibri"/>
                    </a:defRPr>
                  </a:pPr>
                  <a:endParaRPr lang="pt-BR"/>
                </a:p>
              </c:txPr>
              <c:showLegendKey val="0"/>
              <c:showVal val="1"/>
              <c:showCatName val="0"/>
              <c:showSerName val="0"/>
              <c:showPercent val="0"/>
              <c:showBubbleSize val="0"/>
              <c:extLst>
                <c:ext xmlns:c16="http://schemas.microsoft.com/office/drawing/2014/chart" uri="{C3380CC4-5D6E-409C-BE32-E72D297353CC}">
                  <c16:uniqueId val="{00000000-402C-4CF6-AF68-7582DA9D427C}"/>
                </c:ext>
              </c:extLst>
            </c:dLbl>
            <c:dLbl>
              <c:idx val="1"/>
              <c:spPr>
                <a:noFill/>
                <a:ln w="25400">
                  <a:noFill/>
                </a:ln>
              </c:spPr>
              <c:txPr>
                <a:bodyPr/>
                <a:lstStyle/>
                <a:p>
                  <a:pPr>
                    <a:defRPr sz="1000" b="0" i="0" u="none" strike="noStrike" baseline="0">
                      <a:solidFill>
                        <a:srgbClr val="333333"/>
                      </a:solidFill>
                      <a:latin typeface="Calibri"/>
                      <a:ea typeface="Calibri"/>
                      <a:cs typeface="Calibri"/>
                    </a:defRPr>
                  </a:pPr>
                  <a:endParaRPr lang="pt-BR"/>
                </a:p>
              </c:txPr>
              <c:showLegendKey val="0"/>
              <c:showVal val="1"/>
              <c:showCatName val="0"/>
              <c:showSerName val="0"/>
              <c:showPercent val="0"/>
              <c:showBubbleSize val="0"/>
              <c:extLst>
                <c:ext xmlns:c16="http://schemas.microsoft.com/office/drawing/2014/chart" uri="{C3380CC4-5D6E-409C-BE32-E72D297353CC}">
                  <c16:uniqueId val="{00000002-402C-4CF6-AF68-7582DA9D427C}"/>
                </c:ext>
              </c:extLst>
            </c:dLbl>
            <c:dLbl>
              <c:idx val="2"/>
              <c:spPr>
                <a:noFill/>
                <a:ln w="25400">
                  <a:noFill/>
                </a:ln>
              </c:spPr>
              <c:txPr>
                <a:bodyPr/>
                <a:lstStyle/>
                <a:p>
                  <a:pPr>
                    <a:defRPr sz="1000" b="0" i="0" u="none" strike="noStrike" baseline="0">
                      <a:solidFill>
                        <a:srgbClr val="333333"/>
                      </a:solidFill>
                      <a:latin typeface="Calibri"/>
                      <a:ea typeface="Calibri"/>
                      <a:cs typeface="Calibri"/>
                    </a:defRPr>
                  </a:pPr>
                  <a:endParaRPr lang="pt-BR"/>
                </a:p>
              </c:txPr>
              <c:showLegendKey val="0"/>
              <c:showVal val="1"/>
              <c:showCatName val="0"/>
              <c:showSerName val="0"/>
              <c:showPercent val="0"/>
              <c:showBubbleSize val="0"/>
              <c:extLst>
                <c:ext xmlns:c16="http://schemas.microsoft.com/office/drawing/2014/chart" uri="{C3380CC4-5D6E-409C-BE32-E72D297353CC}">
                  <c16:uniqueId val="{00000004-402C-4CF6-AF68-7582DA9D427C}"/>
                </c:ext>
              </c:extLst>
            </c:dLbl>
            <c:dLbl>
              <c:idx val="3"/>
              <c:spPr>
                <a:noFill/>
                <a:ln w="25400">
                  <a:noFill/>
                </a:ln>
              </c:spPr>
              <c:txPr>
                <a:bodyPr/>
                <a:lstStyle/>
                <a:p>
                  <a:pPr>
                    <a:defRPr sz="1000" b="0" i="0" u="none" strike="noStrike" baseline="0">
                      <a:solidFill>
                        <a:srgbClr val="333333"/>
                      </a:solidFill>
                      <a:latin typeface="Calibri"/>
                      <a:ea typeface="Calibri"/>
                      <a:cs typeface="Calibri"/>
                    </a:defRPr>
                  </a:pPr>
                  <a:endParaRPr lang="pt-BR"/>
                </a:p>
              </c:txPr>
              <c:showLegendKey val="0"/>
              <c:showVal val="1"/>
              <c:showCatName val="0"/>
              <c:showSerName val="0"/>
              <c:showPercent val="0"/>
              <c:showBubbleSize val="0"/>
              <c:extLst>
                <c:ext xmlns:c16="http://schemas.microsoft.com/office/drawing/2014/chart" uri="{C3380CC4-5D6E-409C-BE32-E72D297353CC}">
                  <c16:uniqueId val="{00000006-402C-4CF6-AF68-7582DA9D427C}"/>
                </c:ext>
              </c:extLst>
            </c:dLbl>
            <c:dLbl>
              <c:idx val="4"/>
              <c:spPr>
                <a:noFill/>
                <a:ln w="25400">
                  <a:noFill/>
                </a:ln>
              </c:spPr>
              <c:txPr>
                <a:bodyPr/>
                <a:lstStyle/>
                <a:p>
                  <a:pPr>
                    <a:defRPr sz="1000" b="0" i="0" u="none" strike="noStrike" baseline="0">
                      <a:solidFill>
                        <a:srgbClr val="333333"/>
                      </a:solidFill>
                      <a:latin typeface="Calibri"/>
                      <a:ea typeface="Calibri"/>
                      <a:cs typeface="Calibri"/>
                    </a:defRPr>
                  </a:pPr>
                  <a:endParaRPr lang="pt-BR"/>
                </a:p>
              </c:txPr>
              <c:showLegendKey val="0"/>
              <c:showVal val="1"/>
              <c:showCatName val="0"/>
              <c:showSerName val="0"/>
              <c:showPercent val="0"/>
              <c:showBubbleSize val="0"/>
              <c:extLst>
                <c:ext xmlns:c16="http://schemas.microsoft.com/office/drawing/2014/chart" uri="{C3380CC4-5D6E-409C-BE32-E72D297353CC}">
                  <c16:uniqueId val="{00000008-402C-4CF6-AF68-7582DA9D427C}"/>
                </c:ext>
              </c:extLst>
            </c:dLbl>
            <c:spPr>
              <a:noFill/>
              <a:ln w="25400">
                <a:noFill/>
              </a:ln>
            </c:spPr>
            <c:txPr>
              <a:bodyPr wrap="square" lIns="38100" tIns="19050" rIns="38100" bIns="19050" anchor="ctr">
                <a:spAutoFit/>
              </a:bodyPr>
              <a:lstStyle/>
              <a:p>
                <a:pPr>
                  <a:defRPr sz="1000" b="0" i="0" u="none" strike="noStrike" baseline="0">
                    <a:solidFill>
                      <a:srgbClr val="333333"/>
                    </a:solidFill>
                    <a:latin typeface="Calibri"/>
                    <a:ea typeface="Calibri"/>
                    <a:cs typeface="Calibri"/>
                  </a:defRPr>
                </a:pPr>
                <a:endParaRPr lang="pt-BR"/>
              </a:p>
            </c:txPr>
            <c:showLegendKey val="0"/>
            <c:showVal val="1"/>
            <c:showCatName val="0"/>
            <c:showSerName val="0"/>
            <c:showPercent val="0"/>
            <c:showBubbleSize val="0"/>
            <c:showLeaderLines val="0"/>
            <c:extLst>
              <c:ext xmlns:c15="http://schemas.microsoft.com/office/drawing/2012/chart" uri="{CE6537A1-D6FC-4f65-9D91-7224C49458BB}"/>
            </c:extLst>
          </c:dLbls>
          <c:cat>
            <c:strRef>
              <c:f>('Sumário 1'!$B$10,'Sumário 1'!$B$17,'Sumário 1'!$B$24,'Sumário 1'!$B$31,'Sumário 1'!$B$38)</c:f>
              <c:strCache>
                <c:ptCount val="5"/>
                <c:pt idx="0">
                  <c:v>EE</c:v>
                </c:pt>
                <c:pt idx="1">
                  <c:v>SE</c:v>
                </c:pt>
                <c:pt idx="2">
                  <c:v>CE</c:v>
                </c:pt>
                <c:pt idx="3">
                  <c:v>ALI</c:v>
                </c:pt>
                <c:pt idx="4">
                  <c:v>AIE</c:v>
                </c:pt>
              </c:strCache>
            </c:strRef>
          </c:cat>
          <c:val>
            <c:numRef>
              <c:f>('Sumário 1'!$H$14,'Sumário 1'!$H$21,'Sumário 1'!$H$28,'Sumário 1'!$H$35,'Sumário 1'!$H$42)</c:f>
              <c:numCache>
                <c:formatCode>0.0%</c:formatCode>
                <c:ptCount val="5"/>
                <c:pt idx="0">
                  <c:v>0</c:v>
                </c:pt>
                <c:pt idx="1">
                  <c:v>0</c:v>
                </c:pt>
                <c:pt idx="2">
                  <c:v>0</c:v>
                </c:pt>
                <c:pt idx="3">
                  <c:v>0</c:v>
                </c:pt>
                <c:pt idx="4">
                  <c:v>0</c:v>
                </c:pt>
              </c:numCache>
            </c:numRef>
          </c:val>
          <c:extLst>
            <c:ext xmlns:c16="http://schemas.microsoft.com/office/drawing/2014/chart" uri="{C3380CC4-5D6E-409C-BE32-E72D297353CC}">
              <c16:uniqueId val="{00000009-402C-4CF6-AF68-7582DA9D427C}"/>
            </c:ext>
          </c:extLst>
        </c:ser>
        <c:dLbls>
          <c:showLegendKey val="0"/>
          <c:showVal val="0"/>
          <c:showCatName val="0"/>
          <c:showSerName val="0"/>
          <c:showPercent val="0"/>
          <c:showBubbleSize val="0"/>
          <c:showLeaderLines val="0"/>
        </c:dLbls>
      </c:pie3DChart>
      <c:spPr>
        <a:noFill/>
        <a:ln w="25400">
          <a:noFill/>
        </a:ln>
      </c:spPr>
    </c:plotArea>
    <c:legend>
      <c:legendPos val="r"/>
      <c:layout>
        <c:manualLayout>
          <c:xMode val="edge"/>
          <c:yMode val="edge"/>
          <c:x val="0.67399498139655623"/>
          <c:y val="6.25E-2"/>
          <c:w val="0.14652053108746022"/>
          <c:h val="0.9140625"/>
        </c:manualLayout>
      </c:layout>
      <c:overlay val="0"/>
      <c:spPr>
        <a:solidFill>
          <a:srgbClr val="FFFFFF"/>
        </a:solidFill>
        <a:ln w="3175">
          <a:solidFill>
            <a:srgbClr val="333333"/>
          </a:solidFill>
          <a:prstDash val="solid"/>
        </a:ln>
      </c:spPr>
      <c:txPr>
        <a:bodyPr/>
        <a:lstStyle/>
        <a:p>
          <a:pPr>
            <a:defRPr sz="845" b="0" i="0" u="none" strike="noStrike" baseline="0">
              <a:solidFill>
                <a:srgbClr val="333333"/>
              </a:solidFill>
              <a:latin typeface="Calibri"/>
              <a:ea typeface="Calibri"/>
              <a:cs typeface="Calibri"/>
            </a:defRPr>
          </a:pPr>
          <a:endParaRPr lang="pt-BR"/>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pt-BR"/>
    </a:p>
  </c:txPr>
  <c:printSettings>
    <c:headerFooter alignWithMargins="0"/>
    <c:pageMargins b="0.984251969" l="0.78740157499999996" r="0.78740157499999996" t="0.984251969" header="0.51180555555555551" footer="0.51180555555555551"/>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0</xdr:col>
      <xdr:colOff>26670</xdr:colOff>
      <xdr:row>0</xdr:row>
      <xdr:rowOff>130125</xdr:rowOff>
    </xdr:from>
    <xdr:to>
      <xdr:col>2</xdr:col>
      <xdr:colOff>320953</xdr:colOff>
      <xdr:row>2</xdr:row>
      <xdr:rowOff>102869</xdr:rowOff>
    </xdr:to>
    <xdr:pic>
      <xdr:nvPicPr>
        <xdr:cNvPr id="1296" name="Figura 1">
          <a:extLst>
            <a:ext uri="{FF2B5EF4-FFF2-40B4-BE49-F238E27FC236}">
              <a16:creationId xmlns:a16="http://schemas.microsoft.com/office/drawing/2014/main" id="{00000000-0008-0000-0000-00001005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8575" y="133935"/>
          <a:ext cx="1172488" cy="2946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0</xdr:colOff>
      <xdr:row>0</xdr:row>
      <xdr:rowOff>0</xdr:rowOff>
    </xdr:from>
    <xdr:to>
      <xdr:col>22</xdr:col>
      <xdr:colOff>0</xdr:colOff>
      <xdr:row>44</xdr:row>
      <xdr:rowOff>161925</xdr:rowOff>
    </xdr:to>
    <xdr:sp macro="" textlink="">
      <xdr:nvSpPr>
        <xdr:cNvPr id="1297" name="shapetype_202" hidden="1">
          <a:extLst>
            <a:ext uri="{FF2B5EF4-FFF2-40B4-BE49-F238E27FC236}">
              <a16:creationId xmlns:a16="http://schemas.microsoft.com/office/drawing/2014/main" id="{00000000-0008-0000-0000-000011050000}"/>
            </a:ext>
          </a:extLst>
        </xdr:cNvPr>
        <xdr:cNvSpPr txBox="1">
          <a:spLocks noChangeArrowheads="1"/>
        </xdr:cNvSpPr>
      </xdr:nvSpPr>
      <xdr:spPr bwMode="auto">
        <a:xfrm>
          <a:off x="0" y="0"/>
          <a:ext cx="9105900" cy="7362825"/>
        </a:xfrm>
        <a:prstGeom prst="rect">
          <a:avLst/>
        </a:prstGeom>
        <a:solidFill>
          <a:srgbClr val="FFFFFF"/>
        </a:solidFill>
        <a:ln w="9360" cap="sq">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0</xdr:colOff>
      <xdr:row>0</xdr:row>
      <xdr:rowOff>0</xdr:rowOff>
    </xdr:from>
    <xdr:to>
      <xdr:col>22</xdr:col>
      <xdr:colOff>0</xdr:colOff>
      <xdr:row>44</xdr:row>
      <xdr:rowOff>161925</xdr:rowOff>
    </xdr:to>
    <xdr:sp macro="" textlink="">
      <xdr:nvSpPr>
        <xdr:cNvPr id="1298" name="shapetype_202" hidden="1">
          <a:extLst>
            <a:ext uri="{FF2B5EF4-FFF2-40B4-BE49-F238E27FC236}">
              <a16:creationId xmlns:a16="http://schemas.microsoft.com/office/drawing/2014/main" id="{00000000-0008-0000-0000-000012050000}"/>
            </a:ext>
          </a:extLst>
        </xdr:cNvPr>
        <xdr:cNvSpPr txBox="1">
          <a:spLocks noChangeArrowheads="1"/>
        </xdr:cNvSpPr>
      </xdr:nvSpPr>
      <xdr:spPr bwMode="auto">
        <a:xfrm>
          <a:off x="0" y="0"/>
          <a:ext cx="9105900" cy="7362825"/>
        </a:xfrm>
        <a:prstGeom prst="rect">
          <a:avLst/>
        </a:prstGeom>
        <a:solidFill>
          <a:srgbClr val="FFFFFF"/>
        </a:solidFill>
        <a:ln w="9360" cap="sq">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0</xdr:colOff>
      <xdr:row>0</xdr:row>
      <xdr:rowOff>0</xdr:rowOff>
    </xdr:from>
    <xdr:to>
      <xdr:col>22</xdr:col>
      <xdr:colOff>0</xdr:colOff>
      <xdr:row>44</xdr:row>
      <xdr:rowOff>161925</xdr:rowOff>
    </xdr:to>
    <xdr:sp macro="" textlink="">
      <xdr:nvSpPr>
        <xdr:cNvPr id="1299" name="shapetype_202" hidden="1">
          <a:extLst>
            <a:ext uri="{FF2B5EF4-FFF2-40B4-BE49-F238E27FC236}">
              <a16:creationId xmlns:a16="http://schemas.microsoft.com/office/drawing/2014/main" id="{00000000-0008-0000-0000-000013050000}"/>
            </a:ext>
          </a:extLst>
        </xdr:cNvPr>
        <xdr:cNvSpPr txBox="1">
          <a:spLocks noChangeArrowheads="1"/>
        </xdr:cNvSpPr>
      </xdr:nvSpPr>
      <xdr:spPr bwMode="auto">
        <a:xfrm>
          <a:off x="0" y="0"/>
          <a:ext cx="9105900" cy="7362825"/>
        </a:xfrm>
        <a:prstGeom prst="rect">
          <a:avLst/>
        </a:prstGeom>
        <a:solidFill>
          <a:srgbClr val="FFFFFF"/>
        </a:solidFill>
        <a:ln w="9360" cap="sq">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34925</xdr:colOff>
      <xdr:row>0</xdr:row>
      <xdr:rowOff>147905</xdr:rowOff>
    </xdr:from>
    <xdr:to>
      <xdr:col>0</xdr:col>
      <xdr:colOff>1216303</xdr:colOff>
      <xdr:row>2</xdr:row>
      <xdr:rowOff>109854</xdr:rowOff>
    </xdr:to>
    <xdr:pic>
      <xdr:nvPicPr>
        <xdr:cNvPr id="66585" name="Figura 1">
          <a:extLst>
            <a:ext uri="{FF2B5EF4-FFF2-40B4-BE49-F238E27FC236}">
              <a16:creationId xmlns:a16="http://schemas.microsoft.com/office/drawing/2014/main" id="{00000000-0008-0000-0100-00001904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8575" y="133935"/>
          <a:ext cx="1172488" cy="2946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1</xdr:col>
      <xdr:colOff>0</xdr:colOff>
      <xdr:row>38</xdr:row>
      <xdr:rowOff>0</xdr:rowOff>
    </xdr:from>
    <xdr:to>
      <xdr:col>1</xdr:col>
      <xdr:colOff>304800</xdr:colOff>
      <xdr:row>39</xdr:row>
      <xdr:rowOff>149225</xdr:rowOff>
    </xdr:to>
    <xdr:sp macro="" textlink="">
      <xdr:nvSpPr>
        <xdr:cNvPr id="2" name="avatar">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3724275" y="1735455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xdr:row>
      <xdr:rowOff>0</xdr:rowOff>
    </xdr:from>
    <xdr:to>
      <xdr:col>0</xdr:col>
      <xdr:colOff>304800</xdr:colOff>
      <xdr:row>39</xdr:row>
      <xdr:rowOff>147954</xdr:rowOff>
    </xdr:to>
    <xdr:sp macro="" textlink="">
      <xdr:nvSpPr>
        <xdr:cNvPr id="3" name="avatar">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0" y="18002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38</xdr:row>
      <xdr:rowOff>0</xdr:rowOff>
    </xdr:from>
    <xdr:ext cx="304800" cy="304701"/>
    <xdr:sp macro="" textlink="">
      <xdr:nvSpPr>
        <xdr:cNvPr id="4" name="avatar">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0" y="12770827"/>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38</xdr:row>
      <xdr:rowOff>0</xdr:rowOff>
    </xdr:from>
    <xdr:to>
      <xdr:col>1</xdr:col>
      <xdr:colOff>304800</xdr:colOff>
      <xdr:row>39</xdr:row>
      <xdr:rowOff>149224</xdr:rowOff>
    </xdr:to>
    <xdr:sp macro="" textlink="">
      <xdr:nvSpPr>
        <xdr:cNvPr id="5" name="avatar">
          <a:extLst>
            <a:ext uri="{FF2B5EF4-FFF2-40B4-BE49-F238E27FC236}">
              <a16:creationId xmlns:a16="http://schemas.microsoft.com/office/drawing/2014/main" id="{00000000-0008-0000-0100-000005000000}"/>
            </a:ext>
          </a:extLst>
        </xdr:cNvPr>
        <xdr:cNvSpPr>
          <a:spLocks noChangeAspect="1" noChangeArrowheads="1"/>
        </xdr:cNvSpPr>
      </xdr:nvSpPr>
      <xdr:spPr bwMode="auto">
        <a:xfrm>
          <a:off x="38957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xdr:row>
      <xdr:rowOff>0</xdr:rowOff>
    </xdr:from>
    <xdr:to>
      <xdr:col>0</xdr:col>
      <xdr:colOff>304800</xdr:colOff>
      <xdr:row>39</xdr:row>
      <xdr:rowOff>149224</xdr:rowOff>
    </xdr:to>
    <xdr:sp macro="" textlink="">
      <xdr:nvSpPr>
        <xdr:cNvPr id="6" name="avatar">
          <a:extLst>
            <a:ext uri="{FF2B5EF4-FFF2-40B4-BE49-F238E27FC236}">
              <a16:creationId xmlns:a16="http://schemas.microsoft.com/office/drawing/2014/main" id="{00000000-0008-0000-0100-000006000000}"/>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38</xdr:row>
      <xdr:rowOff>0</xdr:rowOff>
    </xdr:from>
    <xdr:ext cx="304800" cy="295274"/>
    <xdr:sp macro="" textlink="">
      <xdr:nvSpPr>
        <xdr:cNvPr id="7" name="avatar">
          <a:extLst>
            <a:ext uri="{FF2B5EF4-FFF2-40B4-BE49-F238E27FC236}">
              <a16:creationId xmlns:a16="http://schemas.microsoft.com/office/drawing/2014/main" id="{00000000-0008-0000-0100-000007000000}"/>
            </a:ext>
          </a:extLst>
        </xdr:cNvPr>
        <xdr:cNvSpPr>
          <a:spLocks noChangeAspect="1" noChangeArrowheads="1"/>
        </xdr:cNvSpPr>
      </xdr:nvSpPr>
      <xdr:spPr bwMode="auto">
        <a:xfrm>
          <a:off x="38957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38</xdr:row>
      <xdr:rowOff>0</xdr:rowOff>
    </xdr:from>
    <xdr:ext cx="304800" cy="295274"/>
    <xdr:sp macro="" textlink="">
      <xdr:nvSpPr>
        <xdr:cNvPr id="8" name="avatar">
          <a:extLst>
            <a:ext uri="{FF2B5EF4-FFF2-40B4-BE49-F238E27FC236}">
              <a16:creationId xmlns:a16="http://schemas.microsoft.com/office/drawing/2014/main" id="{00000000-0008-0000-0100-000008000000}"/>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38</xdr:row>
      <xdr:rowOff>0</xdr:rowOff>
    </xdr:from>
    <xdr:to>
      <xdr:col>1</xdr:col>
      <xdr:colOff>304800</xdr:colOff>
      <xdr:row>39</xdr:row>
      <xdr:rowOff>151793</xdr:rowOff>
    </xdr:to>
    <xdr:sp macro="" textlink="">
      <xdr:nvSpPr>
        <xdr:cNvPr id="9" name="avatar">
          <a:extLst>
            <a:ext uri="{FF2B5EF4-FFF2-40B4-BE49-F238E27FC236}">
              <a16:creationId xmlns:a16="http://schemas.microsoft.com/office/drawing/2014/main" id="{00000000-0008-0000-0100-000009000000}"/>
            </a:ext>
          </a:extLst>
        </xdr:cNvPr>
        <xdr:cNvSpPr>
          <a:spLocks noChangeAspect="1" noChangeArrowheads="1"/>
        </xdr:cNvSpPr>
      </xdr:nvSpPr>
      <xdr:spPr bwMode="auto">
        <a:xfrm>
          <a:off x="3895725" y="1314450"/>
          <a:ext cx="304800" cy="31371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xdr:row>
      <xdr:rowOff>0</xdr:rowOff>
    </xdr:from>
    <xdr:to>
      <xdr:col>0</xdr:col>
      <xdr:colOff>304800</xdr:colOff>
      <xdr:row>39</xdr:row>
      <xdr:rowOff>147954</xdr:rowOff>
    </xdr:to>
    <xdr:sp macro="" textlink="">
      <xdr:nvSpPr>
        <xdr:cNvPr id="10" name="avatar">
          <a:extLst>
            <a:ext uri="{FF2B5EF4-FFF2-40B4-BE49-F238E27FC236}">
              <a16:creationId xmlns:a16="http://schemas.microsoft.com/office/drawing/2014/main" id="{00000000-0008-0000-0100-00000A000000}"/>
            </a:ext>
          </a:extLst>
        </xdr:cNvPr>
        <xdr:cNvSpPr>
          <a:spLocks noChangeAspect="1" noChangeArrowheads="1"/>
        </xdr:cNvSpPr>
      </xdr:nvSpPr>
      <xdr:spPr bwMode="auto">
        <a:xfrm>
          <a:off x="0" y="1314450"/>
          <a:ext cx="304800" cy="30543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38</xdr:row>
      <xdr:rowOff>0</xdr:rowOff>
    </xdr:from>
    <xdr:ext cx="304800" cy="304701"/>
    <xdr:sp macro="" textlink="">
      <xdr:nvSpPr>
        <xdr:cNvPr id="11" name="avatar">
          <a:extLst>
            <a:ext uri="{FF2B5EF4-FFF2-40B4-BE49-F238E27FC236}">
              <a16:creationId xmlns:a16="http://schemas.microsoft.com/office/drawing/2014/main" id="{00000000-0008-0000-0100-00000B000000}"/>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38</xdr:row>
      <xdr:rowOff>0</xdr:rowOff>
    </xdr:from>
    <xdr:to>
      <xdr:col>1</xdr:col>
      <xdr:colOff>304800</xdr:colOff>
      <xdr:row>40</xdr:row>
      <xdr:rowOff>0</xdr:rowOff>
    </xdr:to>
    <xdr:sp macro="" textlink="">
      <xdr:nvSpPr>
        <xdr:cNvPr id="12" name="avatar">
          <a:extLst>
            <a:ext uri="{FF2B5EF4-FFF2-40B4-BE49-F238E27FC236}">
              <a16:creationId xmlns:a16="http://schemas.microsoft.com/office/drawing/2014/main" id="{00000000-0008-0000-0100-00000C000000}"/>
            </a:ext>
          </a:extLst>
        </xdr:cNvPr>
        <xdr:cNvSpPr>
          <a:spLocks noChangeAspect="1" noChangeArrowheads="1"/>
        </xdr:cNvSpPr>
      </xdr:nvSpPr>
      <xdr:spPr bwMode="auto">
        <a:xfrm>
          <a:off x="3829050" y="1371600"/>
          <a:ext cx="304800" cy="32324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xdr:row>
      <xdr:rowOff>0</xdr:rowOff>
    </xdr:from>
    <xdr:to>
      <xdr:col>0</xdr:col>
      <xdr:colOff>304800</xdr:colOff>
      <xdr:row>39</xdr:row>
      <xdr:rowOff>147954</xdr:rowOff>
    </xdr:to>
    <xdr:sp macro="" textlink="">
      <xdr:nvSpPr>
        <xdr:cNvPr id="13" name="avatar">
          <a:extLst>
            <a:ext uri="{FF2B5EF4-FFF2-40B4-BE49-F238E27FC236}">
              <a16:creationId xmlns:a16="http://schemas.microsoft.com/office/drawing/2014/main" id="{00000000-0008-0000-0100-00000D000000}"/>
            </a:ext>
          </a:extLst>
        </xdr:cNvPr>
        <xdr:cNvSpPr>
          <a:spLocks noChangeAspect="1" noChangeArrowheads="1"/>
        </xdr:cNvSpPr>
      </xdr:nvSpPr>
      <xdr:spPr bwMode="auto">
        <a:xfrm>
          <a:off x="0" y="13716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38</xdr:row>
      <xdr:rowOff>0</xdr:rowOff>
    </xdr:from>
    <xdr:ext cx="304800" cy="304701"/>
    <xdr:sp macro="" textlink="">
      <xdr:nvSpPr>
        <xdr:cNvPr id="14" name="avatar">
          <a:extLst>
            <a:ext uri="{FF2B5EF4-FFF2-40B4-BE49-F238E27FC236}">
              <a16:creationId xmlns:a16="http://schemas.microsoft.com/office/drawing/2014/main" id="{00000000-0008-0000-0100-00000E000000}"/>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39</xdr:row>
      <xdr:rowOff>0</xdr:rowOff>
    </xdr:from>
    <xdr:ext cx="304800" cy="298449"/>
    <xdr:sp macro="" textlink="">
      <xdr:nvSpPr>
        <xdr:cNvPr id="16" name="avatar">
          <a:extLst>
            <a:ext uri="{FF2B5EF4-FFF2-40B4-BE49-F238E27FC236}">
              <a16:creationId xmlns:a16="http://schemas.microsoft.com/office/drawing/2014/main" id="{00000000-0008-0000-0100-00001000000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39</xdr:row>
      <xdr:rowOff>0</xdr:rowOff>
    </xdr:from>
    <xdr:ext cx="304800" cy="304701"/>
    <xdr:sp macro="" textlink="">
      <xdr:nvSpPr>
        <xdr:cNvPr id="17" name="avatar">
          <a:extLst>
            <a:ext uri="{FF2B5EF4-FFF2-40B4-BE49-F238E27FC236}">
              <a16:creationId xmlns:a16="http://schemas.microsoft.com/office/drawing/2014/main" id="{00000000-0008-0000-0100-00001100000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39</xdr:row>
      <xdr:rowOff>0</xdr:rowOff>
    </xdr:from>
    <xdr:ext cx="304800" cy="299084"/>
    <xdr:sp macro="" textlink="">
      <xdr:nvSpPr>
        <xdr:cNvPr id="18" name="avatar">
          <a:extLst>
            <a:ext uri="{FF2B5EF4-FFF2-40B4-BE49-F238E27FC236}">
              <a16:creationId xmlns:a16="http://schemas.microsoft.com/office/drawing/2014/main" id="{00000000-0008-0000-0100-000012000000}"/>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39</xdr:row>
      <xdr:rowOff>0</xdr:rowOff>
    </xdr:from>
    <xdr:ext cx="304800" cy="295274"/>
    <xdr:sp macro="" textlink="">
      <xdr:nvSpPr>
        <xdr:cNvPr id="19" name="avatar">
          <a:extLst>
            <a:ext uri="{FF2B5EF4-FFF2-40B4-BE49-F238E27FC236}">
              <a16:creationId xmlns:a16="http://schemas.microsoft.com/office/drawing/2014/main" id="{00000000-0008-0000-0100-000013000000}"/>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39</xdr:row>
      <xdr:rowOff>0</xdr:rowOff>
    </xdr:from>
    <xdr:ext cx="304800" cy="298449"/>
    <xdr:sp macro="" textlink="">
      <xdr:nvSpPr>
        <xdr:cNvPr id="20" name="avatar">
          <a:extLst>
            <a:ext uri="{FF2B5EF4-FFF2-40B4-BE49-F238E27FC236}">
              <a16:creationId xmlns:a16="http://schemas.microsoft.com/office/drawing/2014/main" id="{00000000-0008-0000-0100-00001400000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39</xdr:row>
      <xdr:rowOff>0</xdr:rowOff>
    </xdr:from>
    <xdr:ext cx="304800" cy="304701"/>
    <xdr:sp macro="" textlink="">
      <xdr:nvSpPr>
        <xdr:cNvPr id="21" name="avatar">
          <a:extLst>
            <a:ext uri="{FF2B5EF4-FFF2-40B4-BE49-F238E27FC236}">
              <a16:creationId xmlns:a16="http://schemas.microsoft.com/office/drawing/2014/main" id="{00000000-0008-0000-0100-00001500000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39</xdr:row>
      <xdr:rowOff>0</xdr:rowOff>
    </xdr:from>
    <xdr:ext cx="304800" cy="302259"/>
    <xdr:sp macro="" textlink="">
      <xdr:nvSpPr>
        <xdr:cNvPr id="22" name="avatar">
          <a:extLst>
            <a:ext uri="{FF2B5EF4-FFF2-40B4-BE49-F238E27FC236}">
              <a16:creationId xmlns:a16="http://schemas.microsoft.com/office/drawing/2014/main" id="{00000000-0008-0000-0100-000016000000}"/>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39</xdr:row>
      <xdr:rowOff>0</xdr:rowOff>
    </xdr:from>
    <xdr:ext cx="304800" cy="304701"/>
    <xdr:sp macro="" textlink="">
      <xdr:nvSpPr>
        <xdr:cNvPr id="23" name="avatar">
          <a:extLst>
            <a:ext uri="{FF2B5EF4-FFF2-40B4-BE49-F238E27FC236}">
              <a16:creationId xmlns:a16="http://schemas.microsoft.com/office/drawing/2014/main" id="{00000000-0008-0000-0100-00001700000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41</xdr:row>
      <xdr:rowOff>0</xdr:rowOff>
    </xdr:from>
    <xdr:ext cx="304800" cy="298449"/>
    <xdr:sp macro="" textlink="">
      <xdr:nvSpPr>
        <xdr:cNvPr id="24" name="avatar">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0" y="13239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41</xdr:row>
      <xdr:rowOff>0</xdr:rowOff>
    </xdr:from>
    <xdr:ext cx="304800" cy="304701"/>
    <xdr:sp macro="" textlink="">
      <xdr:nvSpPr>
        <xdr:cNvPr id="25" name="avatar">
          <a:extLst>
            <a:ext uri="{FF2B5EF4-FFF2-40B4-BE49-F238E27FC236}">
              <a16:creationId xmlns:a16="http://schemas.microsoft.com/office/drawing/2014/main" id="{00000000-0008-0000-0100-000019000000}"/>
            </a:ext>
          </a:extLst>
        </xdr:cNvPr>
        <xdr:cNvSpPr>
          <a:spLocks noChangeAspect="1" noChangeArrowheads="1"/>
        </xdr:cNvSpPr>
      </xdr:nvSpPr>
      <xdr:spPr bwMode="auto">
        <a:xfrm>
          <a:off x="0" y="13239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41</xdr:row>
      <xdr:rowOff>0</xdr:rowOff>
    </xdr:from>
    <xdr:ext cx="304800" cy="299084"/>
    <xdr:sp macro="" textlink="">
      <xdr:nvSpPr>
        <xdr:cNvPr id="26" name="avatar">
          <a:extLst>
            <a:ext uri="{FF2B5EF4-FFF2-40B4-BE49-F238E27FC236}">
              <a16:creationId xmlns:a16="http://schemas.microsoft.com/office/drawing/2014/main" id="{00000000-0008-0000-0100-00001A000000}"/>
            </a:ext>
          </a:extLst>
        </xdr:cNvPr>
        <xdr:cNvSpPr>
          <a:spLocks noChangeAspect="1" noChangeArrowheads="1"/>
        </xdr:cNvSpPr>
      </xdr:nvSpPr>
      <xdr:spPr bwMode="auto">
        <a:xfrm>
          <a:off x="0" y="13239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41</xdr:row>
      <xdr:rowOff>0</xdr:rowOff>
    </xdr:from>
    <xdr:ext cx="304800" cy="295274"/>
    <xdr:sp macro="" textlink="">
      <xdr:nvSpPr>
        <xdr:cNvPr id="27" name="avatar">
          <a:extLst>
            <a:ext uri="{FF2B5EF4-FFF2-40B4-BE49-F238E27FC236}">
              <a16:creationId xmlns:a16="http://schemas.microsoft.com/office/drawing/2014/main" id="{00000000-0008-0000-0100-00001B000000}"/>
            </a:ext>
          </a:extLst>
        </xdr:cNvPr>
        <xdr:cNvSpPr>
          <a:spLocks noChangeAspect="1" noChangeArrowheads="1"/>
        </xdr:cNvSpPr>
      </xdr:nvSpPr>
      <xdr:spPr bwMode="auto">
        <a:xfrm>
          <a:off x="0" y="13239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41</xdr:row>
      <xdr:rowOff>0</xdr:rowOff>
    </xdr:from>
    <xdr:ext cx="304800" cy="298449"/>
    <xdr:sp macro="" textlink="">
      <xdr:nvSpPr>
        <xdr:cNvPr id="28" name="avatar">
          <a:extLst>
            <a:ext uri="{FF2B5EF4-FFF2-40B4-BE49-F238E27FC236}">
              <a16:creationId xmlns:a16="http://schemas.microsoft.com/office/drawing/2014/main" id="{00000000-0008-0000-0100-00001C000000}"/>
            </a:ext>
          </a:extLst>
        </xdr:cNvPr>
        <xdr:cNvSpPr>
          <a:spLocks noChangeAspect="1" noChangeArrowheads="1"/>
        </xdr:cNvSpPr>
      </xdr:nvSpPr>
      <xdr:spPr bwMode="auto">
        <a:xfrm>
          <a:off x="0" y="13239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41</xdr:row>
      <xdr:rowOff>0</xdr:rowOff>
    </xdr:from>
    <xdr:ext cx="304800" cy="304701"/>
    <xdr:sp macro="" textlink="">
      <xdr:nvSpPr>
        <xdr:cNvPr id="29" name="avatar">
          <a:extLst>
            <a:ext uri="{FF2B5EF4-FFF2-40B4-BE49-F238E27FC236}">
              <a16:creationId xmlns:a16="http://schemas.microsoft.com/office/drawing/2014/main" id="{00000000-0008-0000-0100-00001D000000}"/>
            </a:ext>
          </a:extLst>
        </xdr:cNvPr>
        <xdr:cNvSpPr>
          <a:spLocks noChangeAspect="1" noChangeArrowheads="1"/>
        </xdr:cNvSpPr>
      </xdr:nvSpPr>
      <xdr:spPr bwMode="auto">
        <a:xfrm>
          <a:off x="0" y="13239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41</xdr:row>
      <xdr:rowOff>0</xdr:rowOff>
    </xdr:from>
    <xdr:ext cx="304800" cy="302259"/>
    <xdr:sp macro="" textlink="">
      <xdr:nvSpPr>
        <xdr:cNvPr id="30" name="avatar">
          <a:extLst>
            <a:ext uri="{FF2B5EF4-FFF2-40B4-BE49-F238E27FC236}">
              <a16:creationId xmlns:a16="http://schemas.microsoft.com/office/drawing/2014/main" id="{00000000-0008-0000-0100-00001E000000}"/>
            </a:ext>
          </a:extLst>
        </xdr:cNvPr>
        <xdr:cNvSpPr>
          <a:spLocks noChangeAspect="1" noChangeArrowheads="1"/>
        </xdr:cNvSpPr>
      </xdr:nvSpPr>
      <xdr:spPr bwMode="auto">
        <a:xfrm>
          <a:off x="0" y="13239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41</xdr:row>
      <xdr:rowOff>0</xdr:rowOff>
    </xdr:from>
    <xdr:ext cx="304800" cy="304701"/>
    <xdr:sp macro="" textlink="">
      <xdr:nvSpPr>
        <xdr:cNvPr id="31" name="avatar">
          <a:extLst>
            <a:ext uri="{FF2B5EF4-FFF2-40B4-BE49-F238E27FC236}">
              <a16:creationId xmlns:a16="http://schemas.microsoft.com/office/drawing/2014/main" id="{00000000-0008-0000-0100-00001F000000}"/>
            </a:ext>
          </a:extLst>
        </xdr:cNvPr>
        <xdr:cNvSpPr>
          <a:spLocks noChangeAspect="1" noChangeArrowheads="1"/>
        </xdr:cNvSpPr>
      </xdr:nvSpPr>
      <xdr:spPr bwMode="auto">
        <a:xfrm>
          <a:off x="0" y="13239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43</xdr:row>
      <xdr:rowOff>0</xdr:rowOff>
    </xdr:from>
    <xdr:ext cx="304800" cy="298449"/>
    <xdr:sp macro="" textlink="">
      <xdr:nvSpPr>
        <xdr:cNvPr id="32" name="avatar">
          <a:extLst>
            <a:ext uri="{FF2B5EF4-FFF2-40B4-BE49-F238E27FC236}">
              <a16:creationId xmlns:a16="http://schemas.microsoft.com/office/drawing/2014/main" id="{00000000-0008-0000-0100-000020000000}"/>
            </a:ext>
          </a:extLst>
        </xdr:cNvPr>
        <xdr:cNvSpPr>
          <a:spLocks noChangeAspect="1" noChangeArrowheads="1"/>
        </xdr:cNvSpPr>
      </xdr:nvSpPr>
      <xdr:spPr bwMode="auto">
        <a:xfrm>
          <a:off x="0" y="14859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43</xdr:row>
      <xdr:rowOff>0</xdr:rowOff>
    </xdr:from>
    <xdr:ext cx="304800" cy="304701"/>
    <xdr:sp macro="" textlink="">
      <xdr:nvSpPr>
        <xdr:cNvPr id="33" name="avatar">
          <a:extLst>
            <a:ext uri="{FF2B5EF4-FFF2-40B4-BE49-F238E27FC236}">
              <a16:creationId xmlns:a16="http://schemas.microsoft.com/office/drawing/2014/main" id="{00000000-0008-0000-0100-000021000000}"/>
            </a:ext>
          </a:extLst>
        </xdr:cNvPr>
        <xdr:cNvSpPr>
          <a:spLocks noChangeAspect="1" noChangeArrowheads="1"/>
        </xdr:cNvSpPr>
      </xdr:nvSpPr>
      <xdr:spPr bwMode="auto">
        <a:xfrm>
          <a:off x="0" y="14859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43</xdr:row>
      <xdr:rowOff>0</xdr:rowOff>
    </xdr:from>
    <xdr:ext cx="304800" cy="299084"/>
    <xdr:sp macro="" textlink="">
      <xdr:nvSpPr>
        <xdr:cNvPr id="34" name="avatar">
          <a:extLst>
            <a:ext uri="{FF2B5EF4-FFF2-40B4-BE49-F238E27FC236}">
              <a16:creationId xmlns:a16="http://schemas.microsoft.com/office/drawing/2014/main" id="{00000000-0008-0000-0100-000022000000}"/>
            </a:ext>
          </a:extLst>
        </xdr:cNvPr>
        <xdr:cNvSpPr>
          <a:spLocks noChangeAspect="1" noChangeArrowheads="1"/>
        </xdr:cNvSpPr>
      </xdr:nvSpPr>
      <xdr:spPr bwMode="auto">
        <a:xfrm>
          <a:off x="0" y="14859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43</xdr:row>
      <xdr:rowOff>0</xdr:rowOff>
    </xdr:from>
    <xdr:ext cx="304800" cy="295274"/>
    <xdr:sp macro="" textlink="">
      <xdr:nvSpPr>
        <xdr:cNvPr id="35" name="avatar">
          <a:extLst>
            <a:ext uri="{FF2B5EF4-FFF2-40B4-BE49-F238E27FC236}">
              <a16:creationId xmlns:a16="http://schemas.microsoft.com/office/drawing/2014/main" id="{00000000-0008-0000-0100-000023000000}"/>
            </a:ext>
          </a:extLst>
        </xdr:cNvPr>
        <xdr:cNvSpPr>
          <a:spLocks noChangeAspect="1" noChangeArrowheads="1"/>
        </xdr:cNvSpPr>
      </xdr:nvSpPr>
      <xdr:spPr bwMode="auto">
        <a:xfrm>
          <a:off x="0" y="14859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43</xdr:row>
      <xdr:rowOff>0</xdr:rowOff>
    </xdr:from>
    <xdr:ext cx="304800" cy="298449"/>
    <xdr:sp macro="" textlink="">
      <xdr:nvSpPr>
        <xdr:cNvPr id="36" name="avatar">
          <a:extLst>
            <a:ext uri="{FF2B5EF4-FFF2-40B4-BE49-F238E27FC236}">
              <a16:creationId xmlns:a16="http://schemas.microsoft.com/office/drawing/2014/main" id="{00000000-0008-0000-0100-000024000000}"/>
            </a:ext>
          </a:extLst>
        </xdr:cNvPr>
        <xdr:cNvSpPr>
          <a:spLocks noChangeAspect="1" noChangeArrowheads="1"/>
        </xdr:cNvSpPr>
      </xdr:nvSpPr>
      <xdr:spPr bwMode="auto">
        <a:xfrm>
          <a:off x="0" y="14859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43</xdr:row>
      <xdr:rowOff>0</xdr:rowOff>
    </xdr:from>
    <xdr:ext cx="304800" cy="304701"/>
    <xdr:sp macro="" textlink="">
      <xdr:nvSpPr>
        <xdr:cNvPr id="37" name="avatar">
          <a:extLst>
            <a:ext uri="{FF2B5EF4-FFF2-40B4-BE49-F238E27FC236}">
              <a16:creationId xmlns:a16="http://schemas.microsoft.com/office/drawing/2014/main" id="{00000000-0008-0000-0100-000025000000}"/>
            </a:ext>
          </a:extLst>
        </xdr:cNvPr>
        <xdr:cNvSpPr>
          <a:spLocks noChangeAspect="1" noChangeArrowheads="1"/>
        </xdr:cNvSpPr>
      </xdr:nvSpPr>
      <xdr:spPr bwMode="auto">
        <a:xfrm>
          <a:off x="0" y="14859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43</xdr:row>
      <xdr:rowOff>0</xdr:rowOff>
    </xdr:from>
    <xdr:ext cx="304800" cy="302259"/>
    <xdr:sp macro="" textlink="">
      <xdr:nvSpPr>
        <xdr:cNvPr id="38" name="avatar">
          <a:extLst>
            <a:ext uri="{FF2B5EF4-FFF2-40B4-BE49-F238E27FC236}">
              <a16:creationId xmlns:a16="http://schemas.microsoft.com/office/drawing/2014/main" id="{00000000-0008-0000-0100-000026000000}"/>
            </a:ext>
          </a:extLst>
        </xdr:cNvPr>
        <xdr:cNvSpPr>
          <a:spLocks noChangeAspect="1" noChangeArrowheads="1"/>
        </xdr:cNvSpPr>
      </xdr:nvSpPr>
      <xdr:spPr bwMode="auto">
        <a:xfrm>
          <a:off x="0" y="14859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43</xdr:row>
      <xdr:rowOff>0</xdr:rowOff>
    </xdr:from>
    <xdr:ext cx="304800" cy="304701"/>
    <xdr:sp macro="" textlink="">
      <xdr:nvSpPr>
        <xdr:cNvPr id="39" name="avatar">
          <a:extLst>
            <a:ext uri="{FF2B5EF4-FFF2-40B4-BE49-F238E27FC236}">
              <a16:creationId xmlns:a16="http://schemas.microsoft.com/office/drawing/2014/main" id="{00000000-0008-0000-0100-000027000000}"/>
            </a:ext>
          </a:extLst>
        </xdr:cNvPr>
        <xdr:cNvSpPr>
          <a:spLocks noChangeAspect="1" noChangeArrowheads="1"/>
        </xdr:cNvSpPr>
      </xdr:nvSpPr>
      <xdr:spPr bwMode="auto">
        <a:xfrm>
          <a:off x="0" y="14859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44</xdr:row>
      <xdr:rowOff>0</xdr:rowOff>
    </xdr:from>
    <xdr:ext cx="304800" cy="298449"/>
    <xdr:sp macro="" textlink="">
      <xdr:nvSpPr>
        <xdr:cNvPr id="40" name="avatar">
          <a:extLst>
            <a:ext uri="{FF2B5EF4-FFF2-40B4-BE49-F238E27FC236}">
              <a16:creationId xmlns:a16="http://schemas.microsoft.com/office/drawing/2014/main" id="{00000000-0008-0000-0100-000028000000}"/>
            </a:ext>
          </a:extLst>
        </xdr:cNvPr>
        <xdr:cNvSpPr>
          <a:spLocks noChangeAspect="1" noChangeArrowheads="1"/>
        </xdr:cNvSpPr>
      </xdr:nvSpPr>
      <xdr:spPr bwMode="auto">
        <a:xfrm>
          <a:off x="0" y="164782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44</xdr:row>
      <xdr:rowOff>0</xdr:rowOff>
    </xdr:from>
    <xdr:ext cx="304800" cy="304701"/>
    <xdr:sp macro="" textlink="">
      <xdr:nvSpPr>
        <xdr:cNvPr id="41" name="avatar">
          <a:extLst>
            <a:ext uri="{FF2B5EF4-FFF2-40B4-BE49-F238E27FC236}">
              <a16:creationId xmlns:a16="http://schemas.microsoft.com/office/drawing/2014/main" id="{00000000-0008-0000-0100-000029000000}"/>
            </a:ext>
          </a:extLst>
        </xdr:cNvPr>
        <xdr:cNvSpPr>
          <a:spLocks noChangeAspect="1" noChangeArrowheads="1"/>
        </xdr:cNvSpPr>
      </xdr:nvSpPr>
      <xdr:spPr bwMode="auto">
        <a:xfrm>
          <a:off x="0" y="16478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44</xdr:row>
      <xdr:rowOff>0</xdr:rowOff>
    </xdr:from>
    <xdr:ext cx="304800" cy="299084"/>
    <xdr:sp macro="" textlink="">
      <xdr:nvSpPr>
        <xdr:cNvPr id="42" name="avatar">
          <a:extLst>
            <a:ext uri="{FF2B5EF4-FFF2-40B4-BE49-F238E27FC236}">
              <a16:creationId xmlns:a16="http://schemas.microsoft.com/office/drawing/2014/main" id="{00000000-0008-0000-0100-00002A000000}"/>
            </a:ext>
          </a:extLst>
        </xdr:cNvPr>
        <xdr:cNvSpPr>
          <a:spLocks noChangeAspect="1" noChangeArrowheads="1"/>
        </xdr:cNvSpPr>
      </xdr:nvSpPr>
      <xdr:spPr bwMode="auto">
        <a:xfrm>
          <a:off x="0" y="164782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44</xdr:row>
      <xdr:rowOff>0</xdr:rowOff>
    </xdr:from>
    <xdr:ext cx="304800" cy="295274"/>
    <xdr:sp macro="" textlink="">
      <xdr:nvSpPr>
        <xdr:cNvPr id="43" name="avatar">
          <a:extLst>
            <a:ext uri="{FF2B5EF4-FFF2-40B4-BE49-F238E27FC236}">
              <a16:creationId xmlns:a16="http://schemas.microsoft.com/office/drawing/2014/main" id="{00000000-0008-0000-0100-00002B000000}"/>
            </a:ext>
          </a:extLst>
        </xdr:cNvPr>
        <xdr:cNvSpPr>
          <a:spLocks noChangeAspect="1" noChangeArrowheads="1"/>
        </xdr:cNvSpPr>
      </xdr:nvSpPr>
      <xdr:spPr bwMode="auto">
        <a:xfrm>
          <a:off x="0" y="164782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44</xdr:row>
      <xdr:rowOff>0</xdr:rowOff>
    </xdr:from>
    <xdr:ext cx="304800" cy="298449"/>
    <xdr:sp macro="" textlink="">
      <xdr:nvSpPr>
        <xdr:cNvPr id="44" name="avatar">
          <a:extLst>
            <a:ext uri="{FF2B5EF4-FFF2-40B4-BE49-F238E27FC236}">
              <a16:creationId xmlns:a16="http://schemas.microsoft.com/office/drawing/2014/main" id="{00000000-0008-0000-0100-00002C000000}"/>
            </a:ext>
          </a:extLst>
        </xdr:cNvPr>
        <xdr:cNvSpPr>
          <a:spLocks noChangeAspect="1" noChangeArrowheads="1"/>
        </xdr:cNvSpPr>
      </xdr:nvSpPr>
      <xdr:spPr bwMode="auto">
        <a:xfrm>
          <a:off x="0" y="164782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44</xdr:row>
      <xdr:rowOff>0</xdr:rowOff>
    </xdr:from>
    <xdr:ext cx="304800" cy="304701"/>
    <xdr:sp macro="" textlink="">
      <xdr:nvSpPr>
        <xdr:cNvPr id="45" name="avatar">
          <a:extLst>
            <a:ext uri="{FF2B5EF4-FFF2-40B4-BE49-F238E27FC236}">
              <a16:creationId xmlns:a16="http://schemas.microsoft.com/office/drawing/2014/main" id="{00000000-0008-0000-0100-00002D000000}"/>
            </a:ext>
          </a:extLst>
        </xdr:cNvPr>
        <xdr:cNvSpPr>
          <a:spLocks noChangeAspect="1" noChangeArrowheads="1"/>
        </xdr:cNvSpPr>
      </xdr:nvSpPr>
      <xdr:spPr bwMode="auto">
        <a:xfrm>
          <a:off x="0" y="16478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44</xdr:row>
      <xdr:rowOff>0</xdr:rowOff>
    </xdr:from>
    <xdr:ext cx="304800" cy="302259"/>
    <xdr:sp macro="" textlink="">
      <xdr:nvSpPr>
        <xdr:cNvPr id="46" name="avatar">
          <a:extLst>
            <a:ext uri="{FF2B5EF4-FFF2-40B4-BE49-F238E27FC236}">
              <a16:creationId xmlns:a16="http://schemas.microsoft.com/office/drawing/2014/main" id="{00000000-0008-0000-0100-00002E000000}"/>
            </a:ext>
          </a:extLst>
        </xdr:cNvPr>
        <xdr:cNvSpPr>
          <a:spLocks noChangeAspect="1" noChangeArrowheads="1"/>
        </xdr:cNvSpPr>
      </xdr:nvSpPr>
      <xdr:spPr bwMode="auto">
        <a:xfrm>
          <a:off x="0" y="164782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44</xdr:row>
      <xdr:rowOff>0</xdr:rowOff>
    </xdr:from>
    <xdr:ext cx="304800" cy="304701"/>
    <xdr:sp macro="" textlink="">
      <xdr:nvSpPr>
        <xdr:cNvPr id="47" name="avatar">
          <a:extLst>
            <a:ext uri="{FF2B5EF4-FFF2-40B4-BE49-F238E27FC236}">
              <a16:creationId xmlns:a16="http://schemas.microsoft.com/office/drawing/2014/main" id="{00000000-0008-0000-0100-00002F000000}"/>
            </a:ext>
          </a:extLst>
        </xdr:cNvPr>
        <xdr:cNvSpPr>
          <a:spLocks noChangeAspect="1" noChangeArrowheads="1"/>
        </xdr:cNvSpPr>
      </xdr:nvSpPr>
      <xdr:spPr bwMode="auto">
        <a:xfrm>
          <a:off x="0" y="16478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45</xdr:row>
      <xdr:rowOff>0</xdr:rowOff>
    </xdr:from>
    <xdr:ext cx="304800" cy="298449"/>
    <xdr:sp macro="" textlink="">
      <xdr:nvSpPr>
        <xdr:cNvPr id="48" name="avatar">
          <a:extLst>
            <a:ext uri="{FF2B5EF4-FFF2-40B4-BE49-F238E27FC236}">
              <a16:creationId xmlns:a16="http://schemas.microsoft.com/office/drawing/2014/main" id="{00000000-0008-0000-0100-000030000000}"/>
            </a:ext>
          </a:extLst>
        </xdr:cNvPr>
        <xdr:cNvSpPr>
          <a:spLocks noChangeAspect="1" noChangeArrowheads="1"/>
        </xdr:cNvSpPr>
      </xdr:nvSpPr>
      <xdr:spPr bwMode="auto">
        <a:xfrm>
          <a:off x="0" y="164782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45</xdr:row>
      <xdr:rowOff>0</xdr:rowOff>
    </xdr:from>
    <xdr:ext cx="304800" cy="304701"/>
    <xdr:sp macro="" textlink="">
      <xdr:nvSpPr>
        <xdr:cNvPr id="49" name="avatar">
          <a:extLst>
            <a:ext uri="{FF2B5EF4-FFF2-40B4-BE49-F238E27FC236}">
              <a16:creationId xmlns:a16="http://schemas.microsoft.com/office/drawing/2014/main" id="{00000000-0008-0000-0100-000031000000}"/>
            </a:ext>
          </a:extLst>
        </xdr:cNvPr>
        <xdr:cNvSpPr>
          <a:spLocks noChangeAspect="1" noChangeArrowheads="1"/>
        </xdr:cNvSpPr>
      </xdr:nvSpPr>
      <xdr:spPr bwMode="auto">
        <a:xfrm>
          <a:off x="0" y="16478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45</xdr:row>
      <xdr:rowOff>0</xdr:rowOff>
    </xdr:from>
    <xdr:ext cx="304800" cy="299084"/>
    <xdr:sp macro="" textlink="">
      <xdr:nvSpPr>
        <xdr:cNvPr id="50" name="avatar">
          <a:extLst>
            <a:ext uri="{FF2B5EF4-FFF2-40B4-BE49-F238E27FC236}">
              <a16:creationId xmlns:a16="http://schemas.microsoft.com/office/drawing/2014/main" id="{00000000-0008-0000-0100-000032000000}"/>
            </a:ext>
          </a:extLst>
        </xdr:cNvPr>
        <xdr:cNvSpPr>
          <a:spLocks noChangeAspect="1" noChangeArrowheads="1"/>
        </xdr:cNvSpPr>
      </xdr:nvSpPr>
      <xdr:spPr bwMode="auto">
        <a:xfrm>
          <a:off x="0" y="164782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45</xdr:row>
      <xdr:rowOff>0</xdr:rowOff>
    </xdr:from>
    <xdr:ext cx="304800" cy="295274"/>
    <xdr:sp macro="" textlink="">
      <xdr:nvSpPr>
        <xdr:cNvPr id="51" name="avatar">
          <a:extLst>
            <a:ext uri="{FF2B5EF4-FFF2-40B4-BE49-F238E27FC236}">
              <a16:creationId xmlns:a16="http://schemas.microsoft.com/office/drawing/2014/main" id="{00000000-0008-0000-0100-000033000000}"/>
            </a:ext>
          </a:extLst>
        </xdr:cNvPr>
        <xdr:cNvSpPr>
          <a:spLocks noChangeAspect="1" noChangeArrowheads="1"/>
        </xdr:cNvSpPr>
      </xdr:nvSpPr>
      <xdr:spPr bwMode="auto">
        <a:xfrm>
          <a:off x="0" y="164782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45</xdr:row>
      <xdr:rowOff>0</xdr:rowOff>
    </xdr:from>
    <xdr:ext cx="304800" cy="298449"/>
    <xdr:sp macro="" textlink="">
      <xdr:nvSpPr>
        <xdr:cNvPr id="52" name="avatar">
          <a:extLst>
            <a:ext uri="{FF2B5EF4-FFF2-40B4-BE49-F238E27FC236}">
              <a16:creationId xmlns:a16="http://schemas.microsoft.com/office/drawing/2014/main" id="{00000000-0008-0000-0100-000034000000}"/>
            </a:ext>
          </a:extLst>
        </xdr:cNvPr>
        <xdr:cNvSpPr>
          <a:spLocks noChangeAspect="1" noChangeArrowheads="1"/>
        </xdr:cNvSpPr>
      </xdr:nvSpPr>
      <xdr:spPr bwMode="auto">
        <a:xfrm>
          <a:off x="0" y="164782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45</xdr:row>
      <xdr:rowOff>0</xdr:rowOff>
    </xdr:from>
    <xdr:ext cx="304800" cy="304701"/>
    <xdr:sp macro="" textlink="">
      <xdr:nvSpPr>
        <xdr:cNvPr id="53" name="avatar">
          <a:extLst>
            <a:ext uri="{FF2B5EF4-FFF2-40B4-BE49-F238E27FC236}">
              <a16:creationId xmlns:a16="http://schemas.microsoft.com/office/drawing/2014/main" id="{00000000-0008-0000-0100-000035000000}"/>
            </a:ext>
          </a:extLst>
        </xdr:cNvPr>
        <xdr:cNvSpPr>
          <a:spLocks noChangeAspect="1" noChangeArrowheads="1"/>
        </xdr:cNvSpPr>
      </xdr:nvSpPr>
      <xdr:spPr bwMode="auto">
        <a:xfrm>
          <a:off x="0" y="16478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45</xdr:row>
      <xdr:rowOff>0</xdr:rowOff>
    </xdr:from>
    <xdr:ext cx="304800" cy="302259"/>
    <xdr:sp macro="" textlink="">
      <xdr:nvSpPr>
        <xdr:cNvPr id="54" name="avatar">
          <a:extLst>
            <a:ext uri="{FF2B5EF4-FFF2-40B4-BE49-F238E27FC236}">
              <a16:creationId xmlns:a16="http://schemas.microsoft.com/office/drawing/2014/main" id="{00000000-0008-0000-0100-000036000000}"/>
            </a:ext>
          </a:extLst>
        </xdr:cNvPr>
        <xdr:cNvSpPr>
          <a:spLocks noChangeAspect="1" noChangeArrowheads="1"/>
        </xdr:cNvSpPr>
      </xdr:nvSpPr>
      <xdr:spPr bwMode="auto">
        <a:xfrm>
          <a:off x="0" y="164782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45</xdr:row>
      <xdr:rowOff>0</xdr:rowOff>
    </xdr:from>
    <xdr:ext cx="304800" cy="304701"/>
    <xdr:sp macro="" textlink="">
      <xdr:nvSpPr>
        <xdr:cNvPr id="55" name="avatar">
          <a:extLst>
            <a:ext uri="{FF2B5EF4-FFF2-40B4-BE49-F238E27FC236}">
              <a16:creationId xmlns:a16="http://schemas.microsoft.com/office/drawing/2014/main" id="{00000000-0008-0000-0100-000037000000}"/>
            </a:ext>
          </a:extLst>
        </xdr:cNvPr>
        <xdr:cNvSpPr>
          <a:spLocks noChangeAspect="1" noChangeArrowheads="1"/>
        </xdr:cNvSpPr>
      </xdr:nvSpPr>
      <xdr:spPr bwMode="auto">
        <a:xfrm>
          <a:off x="0" y="16478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46</xdr:row>
      <xdr:rowOff>0</xdr:rowOff>
    </xdr:from>
    <xdr:ext cx="304800" cy="298449"/>
    <xdr:sp macro="" textlink="">
      <xdr:nvSpPr>
        <xdr:cNvPr id="56" name="avatar">
          <a:extLst>
            <a:ext uri="{FF2B5EF4-FFF2-40B4-BE49-F238E27FC236}">
              <a16:creationId xmlns:a16="http://schemas.microsoft.com/office/drawing/2014/main" id="{00000000-0008-0000-0100-000038000000}"/>
            </a:ext>
          </a:extLst>
        </xdr:cNvPr>
        <xdr:cNvSpPr>
          <a:spLocks noChangeAspect="1" noChangeArrowheads="1"/>
        </xdr:cNvSpPr>
      </xdr:nvSpPr>
      <xdr:spPr bwMode="auto">
        <a:xfrm>
          <a:off x="0" y="18097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46</xdr:row>
      <xdr:rowOff>0</xdr:rowOff>
    </xdr:from>
    <xdr:ext cx="304800" cy="304701"/>
    <xdr:sp macro="" textlink="">
      <xdr:nvSpPr>
        <xdr:cNvPr id="57" name="avatar">
          <a:extLst>
            <a:ext uri="{FF2B5EF4-FFF2-40B4-BE49-F238E27FC236}">
              <a16:creationId xmlns:a16="http://schemas.microsoft.com/office/drawing/2014/main" id="{00000000-0008-0000-0100-000039000000}"/>
            </a:ext>
          </a:extLst>
        </xdr:cNvPr>
        <xdr:cNvSpPr>
          <a:spLocks noChangeAspect="1" noChangeArrowheads="1"/>
        </xdr:cNvSpPr>
      </xdr:nvSpPr>
      <xdr:spPr bwMode="auto">
        <a:xfrm>
          <a:off x="0" y="18097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46</xdr:row>
      <xdr:rowOff>0</xdr:rowOff>
    </xdr:from>
    <xdr:ext cx="304800" cy="299084"/>
    <xdr:sp macro="" textlink="">
      <xdr:nvSpPr>
        <xdr:cNvPr id="58" name="avatar">
          <a:extLst>
            <a:ext uri="{FF2B5EF4-FFF2-40B4-BE49-F238E27FC236}">
              <a16:creationId xmlns:a16="http://schemas.microsoft.com/office/drawing/2014/main" id="{00000000-0008-0000-0100-00003A000000}"/>
            </a:ext>
          </a:extLst>
        </xdr:cNvPr>
        <xdr:cNvSpPr>
          <a:spLocks noChangeAspect="1" noChangeArrowheads="1"/>
        </xdr:cNvSpPr>
      </xdr:nvSpPr>
      <xdr:spPr bwMode="auto">
        <a:xfrm>
          <a:off x="0" y="18097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46</xdr:row>
      <xdr:rowOff>0</xdr:rowOff>
    </xdr:from>
    <xdr:ext cx="304800" cy="295274"/>
    <xdr:sp macro="" textlink="">
      <xdr:nvSpPr>
        <xdr:cNvPr id="59" name="avatar">
          <a:extLst>
            <a:ext uri="{FF2B5EF4-FFF2-40B4-BE49-F238E27FC236}">
              <a16:creationId xmlns:a16="http://schemas.microsoft.com/office/drawing/2014/main" id="{00000000-0008-0000-0100-00003B000000}"/>
            </a:ext>
          </a:extLst>
        </xdr:cNvPr>
        <xdr:cNvSpPr>
          <a:spLocks noChangeAspect="1" noChangeArrowheads="1"/>
        </xdr:cNvSpPr>
      </xdr:nvSpPr>
      <xdr:spPr bwMode="auto">
        <a:xfrm>
          <a:off x="0" y="18097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46</xdr:row>
      <xdr:rowOff>0</xdr:rowOff>
    </xdr:from>
    <xdr:ext cx="304800" cy="298449"/>
    <xdr:sp macro="" textlink="">
      <xdr:nvSpPr>
        <xdr:cNvPr id="60" name="avatar">
          <a:extLst>
            <a:ext uri="{FF2B5EF4-FFF2-40B4-BE49-F238E27FC236}">
              <a16:creationId xmlns:a16="http://schemas.microsoft.com/office/drawing/2014/main" id="{00000000-0008-0000-0100-00003C000000}"/>
            </a:ext>
          </a:extLst>
        </xdr:cNvPr>
        <xdr:cNvSpPr>
          <a:spLocks noChangeAspect="1" noChangeArrowheads="1"/>
        </xdr:cNvSpPr>
      </xdr:nvSpPr>
      <xdr:spPr bwMode="auto">
        <a:xfrm>
          <a:off x="0" y="18097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46</xdr:row>
      <xdr:rowOff>0</xdr:rowOff>
    </xdr:from>
    <xdr:ext cx="304800" cy="304701"/>
    <xdr:sp macro="" textlink="">
      <xdr:nvSpPr>
        <xdr:cNvPr id="61" name="avatar">
          <a:extLst>
            <a:ext uri="{FF2B5EF4-FFF2-40B4-BE49-F238E27FC236}">
              <a16:creationId xmlns:a16="http://schemas.microsoft.com/office/drawing/2014/main" id="{00000000-0008-0000-0100-00003D000000}"/>
            </a:ext>
          </a:extLst>
        </xdr:cNvPr>
        <xdr:cNvSpPr>
          <a:spLocks noChangeAspect="1" noChangeArrowheads="1"/>
        </xdr:cNvSpPr>
      </xdr:nvSpPr>
      <xdr:spPr bwMode="auto">
        <a:xfrm>
          <a:off x="0" y="18097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46</xdr:row>
      <xdr:rowOff>0</xdr:rowOff>
    </xdr:from>
    <xdr:ext cx="304800" cy="302259"/>
    <xdr:sp macro="" textlink="">
      <xdr:nvSpPr>
        <xdr:cNvPr id="62" name="avatar">
          <a:extLst>
            <a:ext uri="{FF2B5EF4-FFF2-40B4-BE49-F238E27FC236}">
              <a16:creationId xmlns:a16="http://schemas.microsoft.com/office/drawing/2014/main" id="{00000000-0008-0000-0100-00003E000000}"/>
            </a:ext>
          </a:extLst>
        </xdr:cNvPr>
        <xdr:cNvSpPr>
          <a:spLocks noChangeAspect="1" noChangeArrowheads="1"/>
        </xdr:cNvSpPr>
      </xdr:nvSpPr>
      <xdr:spPr bwMode="auto">
        <a:xfrm>
          <a:off x="0" y="18097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46</xdr:row>
      <xdr:rowOff>0</xdr:rowOff>
    </xdr:from>
    <xdr:ext cx="304800" cy="304701"/>
    <xdr:sp macro="" textlink="">
      <xdr:nvSpPr>
        <xdr:cNvPr id="63" name="avatar">
          <a:extLst>
            <a:ext uri="{FF2B5EF4-FFF2-40B4-BE49-F238E27FC236}">
              <a16:creationId xmlns:a16="http://schemas.microsoft.com/office/drawing/2014/main" id="{00000000-0008-0000-0100-00003F000000}"/>
            </a:ext>
          </a:extLst>
        </xdr:cNvPr>
        <xdr:cNvSpPr>
          <a:spLocks noChangeAspect="1" noChangeArrowheads="1"/>
        </xdr:cNvSpPr>
      </xdr:nvSpPr>
      <xdr:spPr bwMode="auto">
        <a:xfrm>
          <a:off x="0" y="18097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46</xdr:row>
      <xdr:rowOff>0</xdr:rowOff>
    </xdr:from>
    <xdr:ext cx="304800" cy="298449"/>
    <xdr:sp macro="" textlink="">
      <xdr:nvSpPr>
        <xdr:cNvPr id="64" name="avatar">
          <a:extLst>
            <a:ext uri="{FF2B5EF4-FFF2-40B4-BE49-F238E27FC236}">
              <a16:creationId xmlns:a16="http://schemas.microsoft.com/office/drawing/2014/main" id="{00000000-0008-0000-0100-000040000000}"/>
            </a:ext>
          </a:extLst>
        </xdr:cNvPr>
        <xdr:cNvSpPr>
          <a:spLocks noChangeAspect="1" noChangeArrowheads="1"/>
        </xdr:cNvSpPr>
      </xdr:nvSpPr>
      <xdr:spPr bwMode="auto">
        <a:xfrm>
          <a:off x="0" y="19716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46</xdr:row>
      <xdr:rowOff>0</xdr:rowOff>
    </xdr:from>
    <xdr:ext cx="304800" cy="304701"/>
    <xdr:sp macro="" textlink="">
      <xdr:nvSpPr>
        <xdr:cNvPr id="65" name="avatar">
          <a:extLst>
            <a:ext uri="{FF2B5EF4-FFF2-40B4-BE49-F238E27FC236}">
              <a16:creationId xmlns:a16="http://schemas.microsoft.com/office/drawing/2014/main" id="{00000000-0008-0000-0100-000041000000}"/>
            </a:ext>
          </a:extLst>
        </xdr:cNvPr>
        <xdr:cNvSpPr>
          <a:spLocks noChangeAspect="1" noChangeArrowheads="1"/>
        </xdr:cNvSpPr>
      </xdr:nvSpPr>
      <xdr:spPr bwMode="auto">
        <a:xfrm>
          <a:off x="0" y="19716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46</xdr:row>
      <xdr:rowOff>0</xdr:rowOff>
    </xdr:from>
    <xdr:ext cx="304800" cy="299084"/>
    <xdr:sp macro="" textlink="">
      <xdr:nvSpPr>
        <xdr:cNvPr id="66" name="avatar">
          <a:extLst>
            <a:ext uri="{FF2B5EF4-FFF2-40B4-BE49-F238E27FC236}">
              <a16:creationId xmlns:a16="http://schemas.microsoft.com/office/drawing/2014/main" id="{00000000-0008-0000-0100-000042000000}"/>
            </a:ext>
          </a:extLst>
        </xdr:cNvPr>
        <xdr:cNvSpPr>
          <a:spLocks noChangeAspect="1" noChangeArrowheads="1"/>
        </xdr:cNvSpPr>
      </xdr:nvSpPr>
      <xdr:spPr bwMode="auto">
        <a:xfrm>
          <a:off x="0" y="19716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46</xdr:row>
      <xdr:rowOff>0</xdr:rowOff>
    </xdr:from>
    <xdr:ext cx="304800" cy="295274"/>
    <xdr:sp macro="" textlink="">
      <xdr:nvSpPr>
        <xdr:cNvPr id="67" name="avatar">
          <a:extLst>
            <a:ext uri="{FF2B5EF4-FFF2-40B4-BE49-F238E27FC236}">
              <a16:creationId xmlns:a16="http://schemas.microsoft.com/office/drawing/2014/main" id="{00000000-0008-0000-0100-000043000000}"/>
            </a:ext>
          </a:extLst>
        </xdr:cNvPr>
        <xdr:cNvSpPr>
          <a:spLocks noChangeAspect="1" noChangeArrowheads="1"/>
        </xdr:cNvSpPr>
      </xdr:nvSpPr>
      <xdr:spPr bwMode="auto">
        <a:xfrm>
          <a:off x="0" y="19716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46</xdr:row>
      <xdr:rowOff>0</xdr:rowOff>
    </xdr:from>
    <xdr:ext cx="304800" cy="298449"/>
    <xdr:sp macro="" textlink="">
      <xdr:nvSpPr>
        <xdr:cNvPr id="68" name="avatar">
          <a:extLst>
            <a:ext uri="{FF2B5EF4-FFF2-40B4-BE49-F238E27FC236}">
              <a16:creationId xmlns:a16="http://schemas.microsoft.com/office/drawing/2014/main" id="{00000000-0008-0000-0100-000044000000}"/>
            </a:ext>
          </a:extLst>
        </xdr:cNvPr>
        <xdr:cNvSpPr>
          <a:spLocks noChangeAspect="1" noChangeArrowheads="1"/>
        </xdr:cNvSpPr>
      </xdr:nvSpPr>
      <xdr:spPr bwMode="auto">
        <a:xfrm>
          <a:off x="0" y="19716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46</xdr:row>
      <xdr:rowOff>0</xdr:rowOff>
    </xdr:from>
    <xdr:ext cx="304800" cy="304701"/>
    <xdr:sp macro="" textlink="">
      <xdr:nvSpPr>
        <xdr:cNvPr id="69" name="avatar">
          <a:extLst>
            <a:ext uri="{FF2B5EF4-FFF2-40B4-BE49-F238E27FC236}">
              <a16:creationId xmlns:a16="http://schemas.microsoft.com/office/drawing/2014/main" id="{00000000-0008-0000-0100-000045000000}"/>
            </a:ext>
          </a:extLst>
        </xdr:cNvPr>
        <xdr:cNvSpPr>
          <a:spLocks noChangeAspect="1" noChangeArrowheads="1"/>
        </xdr:cNvSpPr>
      </xdr:nvSpPr>
      <xdr:spPr bwMode="auto">
        <a:xfrm>
          <a:off x="0" y="19716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46</xdr:row>
      <xdr:rowOff>0</xdr:rowOff>
    </xdr:from>
    <xdr:ext cx="304800" cy="302259"/>
    <xdr:sp macro="" textlink="">
      <xdr:nvSpPr>
        <xdr:cNvPr id="70" name="avatar">
          <a:extLst>
            <a:ext uri="{FF2B5EF4-FFF2-40B4-BE49-F238E27FC236}">
              <a16:creationId xmlns:a16="http://schemas.microsoft.com/office/drawing/2014/main" id="{00000000-0008-0000-0100-000046000000}"/>
            </a:ext>
          </a:extLst>
        </xdr:cNvPr>
        <xdr:cNvSpPr>
          <a:spLocks noChangeAspect="1" noChangeArrowheads="1"/>
        </xdr:cNvSpPr>
      </xdr:nvSpPr>
      <xdr:spPr bwMode="auto">
        <a:xfrm>
          <a:off x="0" y="19716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46</xdr:row>
      <xdr:rowOff>0</xdr:rowOff>
    </xdr:from>
    <xdr:ext cx="304800" cy="304701"/>
    <xdr:sp macro="" textlink="">
      <xdr:nvSpPr>
        <xdr:cNvPr id="71" name="avatar">
          <a:extLst>
            <a:ext uri="{FF2B5EF4-FFF2-40B4-BE49-F238E27FC236}">
              <a16:creationId xmlns:a16="http://schemas.microsoft.com/office/drawing/2014/main" id="{00000000-0008-0000-0100-000047000000}"/>
            </a:ext>
          </a:extLst>
        </xdr:cNvPr>
        <xdr:cNvSpPr>
          <a:spLocks noChangeAspect="1" noChangeArrowheads="1"/>
        </xdr:cNvSpPr>
      </xdr:nvSpPr>
      <xdr:spPr bwMode="auto">
        <a:xfrm>
          <a:off x="0" y="19716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47</xdr:row>
      <xdr:rowOff>0</xdr:rowOff>
    </xdr:from>
    <xdr:ext cx="304800" cy="298449"/>
    <xdr:sp macro="" textlink="">
      <xdr:nvSpPr>
        <xdr:cNvPr id="72" name="avatar">
          <a:extLst>
            <a:ext uri="{FF2B5EF4-FFF2-40B4-BE49-F238E27FC236}">
              <a16:creationId xmlns:a16="http://schemas.microsoft.com/office/drawing/2014/main" id="{00000000-0008-0000-0100-000048000000}"/>
            </a:ext>
          </a:extLst>
        </xdr:cNvPr>
        <xdr:cNvSpPr>
          <a:spLocks noChangeAspect="1" noChangeArrowheads="1"/>
        </xdr:cNvSpPr>
      </xdr:nvSpPr>
      <xdr:spPr bwMode="auto">
        <a:xfrm>
          <a:off x="0" y="2133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47</xdr:row>
      <xdr:rowOff>0</xdr:rowOff>
    </xdr:from>
    <xdr:ext cx="304800" cy="304701"/>
    <xdr:sp macro="" textlink="">
      <xdr:nvSpPr>
        <xdr:cNvPr id="73" name="avatar">
          <a:extLst>
            <a:ext uri="{FF2B5EF4-FFF2-40B4-BE49-F238E27FC236}">
              <a16:creationId xmlns:a16="http://schemas.microsoft.com/office/drawing/2014/main" id="{00000000-0008-0000-0100-000049000000}"/>
            </a:ext>
          </a:extLst>
        </xdr:cNvPr>
        <xdr:cNvSpPr>
          <a:spLocks noChangeAspect="1" noChangeArrowheads="1"/>
        </xdr:cNvSpPr>
      </xdr:nvSpPr>
      <xdr:spPr bwMode="auto">
        <a:xfrm>
          <a:off x="0" y="2133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47</xdr:row>
      <xdr:rowOff>0</xdr:rowOff>
    </xdr:from>
    <xdr:ext cx="304800" cy="299084"/>
    <xdr:sp macro="" textlink="">
      <xdr:nvSpPr>
        <xdr:cNvPr id="74" name="avatar">
          <a:extLst>
            <a:ext uri="{FF2B5EF4-FFF2-40B4-BE49-F238E27FC236}">
              <a16:creationId xmlns:a16="http://schemas.microsoft.com/office/drawing/2014/main" id="{00000000-0008-0000-0100-00004A000000}"/>
            </a:ext>
          </a:extLst>
        </xdr:cNvPr>
        <xdr:cNvSpPr>
          <a:spLocks noChangeAspect="1" noChangeArrowheads="1"/>
        </xdr:cNvSpPr>
      </xdr:nvSpPr>
      <xdr:spPr bwMode="auto">
        <a:xfrm>
          <a:off x="0" y="2133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47</xdr:row>
      <xdr:rowOff>0</xdr:rowOff>
    </xdr:from>
    <xdr:ext cx="304800" cy="295274"/>
    <xdr:sp macro="" textlink="">
      <xdr:nvSpPr>
        <xdr:cNvPr id="75" name="avatar">
          <a:extLst>
            <a:ext uri="{FF2B5EF4-FFF2-40B4-BE49-F238E27FC236}">
              <a16:creationId xmlns:a16="http://schemas.microsoft.com/office/drawing/2014/main" id="{00000000-0008-0000-0100-00004B000000}"/>
            </a:ext>
          </a:extLst>
        </xdr:cNvPr>
        <xdr:cNvSpPr>
          <a:spLocks noChangeAspect="1" noChangeArrowheads="1"/>
        </xdr:cNvSpPr>
      </xdr:nvSpPr>
      <xdr:spPr bwMode="auto">
        <a:xfrm>
          <a:off x="0" y="2133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47</xdr:row>
      <xdr:rowOff>0</xdr:rowOff>
    </xdr:from>
    <xdr:ext cx="304800" cy="298449"/>
    <xdr:sp macro="" textlink="">
      <xdr:nvSpPr>
        <xdr:cNvPr id="76" name="avatar">
          <a:extLst>
            <a:ext uri="{FF2B5EF4-FFF2-40B4-BE49-F238E27FC236}">
              <a16:creationId xmlns:a16="http://schemas.microsoft.com/office/drawing/2014/main" id="{00000000-0008-0000-0100-00004C000000}"/>
            </a:ext>
          </a:extLst>
        </xdr:cNvPr>
        <xdr:cNvSpPr>
          <a:spLocks noChangeAspect="1" noChangeArrowheads="1"/>
        </xdr:cNvSpPr>
      </xdr:nvSpPr>
      <xdr:spPr bwMode="auto">
        <a:xfrm>
          <a:off x="0" y="2133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47</xdr:row>
      <xdr:rowOff>0</xdr:rowOff>
    </xdr:from>
    <xdr:ext cx="304800" cy="304701"/>
    <xdr:sp macro="" textlink="">
      <xdr:nvSpPr>
        <xdr:cNvPr id="77" name="avatar">
          <a:extLst>
            <a:ext uri="{FF2B5EF4-FFF2-40B4-BE49-F238E27FC236}">
              <a16:creationId xmlns:a16="http://schemas.microsoft.com/office/drawing/2014/main" id="{00000000-0008-0000-0100-00004D000000}"/>
            </a:ext>
          </a:extLst>
        </xdr:cNvPr>
        <xdr:cNvSpPr>
          <a:spLocks noChangeAspect="1" noChangeArrowheads="1"/>
        </xdr:cNvSpPr>
      </xdr:nvSpPr>
      <xdr:spPr bwMode="auto">
        <a:xfrm>
          <a:off x="0" y="2133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47</xdr:row>
      <xdr:rowOff>0</xdr:rowOff>
    </xdr:from>
    <xdr:ext cx="304800" cy="302259"/>
    <xdr:sp macro="" textlink="">
      <xdr:nvSpPr>
        <xdr:cNvPr id="78" name="avatar">
          <a:extLst>
            <a:ext uri="{FF2B5EF4-FFF2-40B4-BE49-F238E27FC236}">
              <a16:creationId xmlns:a16="http://schemas.microsoft.com/office/drawing/2014/main" id="{00000000-0008-0000-0100-00004E000000}"/>
            </a:ext>
          </a:extLst>
        </xdr:cNvPr>
        <xdr:cNvSpPr>
          <a:spLocks noChangeAspect="1" noChangeArrowheads="1"/>
        </xdr:cNvSpPr>
      </xdr:nvSpPr>
      <xdr:spPr bwMode="auto">
        <a:xfrm>
          <a:off x="0" y="2133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47</xdr:row>
      <xdr:rowOff>0</xdr:rowOff>
    </xdr:from>
    <xdr:ext cx="304800" cy="304701"/>
    <xdr:sp macro="" textlink="">
      <xdr:nvSpPr>
        <xdr:cNvPr id="79" name="avatar">
          <a:extLst>
            <a:ext uri="{FF2B5EF4-FFF2-40B4-BE49-F238E27FC236}">
              <a16:creationId xmlns:a16="http://schemas.microsoft.com/office/drawing/2014/main" id="{00000000-0008-0000-0100-00004F000000}"/>
            </a:ext>
          </a:extLst>
        </xdr:cNvPr>
        <xdr:cNvSpPr>
          <a:spLocks noChangeAspect="1" noChangeArrowheads="1"/>
        </xdr:cNvSpPr>
      </xdr:nvSpPr>
      <xdr:spPr bwMode="auto">
        <a:xfrm>
          <a:off x="0" y="2133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47</xdr:row>
      <xdr:rowOff>0</xdr:rowOff>
    </xdr:from>
    <xdr:ext cx="304800" cy="298449"/>
    <xdr:sp macro="" textlink="">
      <xdr:nvSpPr>
        <xdr:cNvPr id="80" name="avatar">
          <a:extLst>
            <a:ext uri="{FF2B5EF4-FFF2-40B4-BE49-F238E27FC236}">
              <a16:creationId xmlns:a16="http://schemas.microsoft.com/office/drawing/2014/main" id="{00000000-0008-0000-0100-000050000000}"/>
            </a:ext>
          </a:extLst>
        </xdr:cNvPr>
        <xdr:cNvSpPr>
          <a:spLocks noChangeAspect="1" noChangeArrowheads="1"/>
        </xdr:cNvSpPr>
      </xdr:nvSpPr>
      <xdr:spPr bwMode="auto">
        <a:xfrm>
          <a:off x="0" y="13239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47</xdr:row>
      <xdr:rowOff>0</xdr:rowOff>
    </xdr:from>
    <xdr:ext cx="304800" cy="304701"/>
    <xdr:sp macro="" textlink="">
      <xdr:nvSpPr>
        <xdr:cNvPr id="81" name="avatar">
          <a:extLst>
            <a:ext uri="{FF2B5EF4-FFF2-40B4-BE49-F238E27FC236}">
              <a16:creationId xmlns:a16="http://schemas.microsoft.com/office/drawing/2014/main" id="{00000000-0008-0000-0100-000051000000}"/>
            </a:ext>
          </a:extLst>
        </xdr:cNvPr>
        <xdr:cNvSpPr>
          <a:spLocks noChangeAspect="1" noChangeArrowheads="1"/>
        </xdr:cNvSpPr>
      </xdr:nvSpPr>
      <xdr:spPr bwMode="auto">
        <a:xfrm>
          <a:off x="0" y="13239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47</xdr:row>
      <xdr:rowOff>0</xdr:rowOff>
    </xdr:from>
    <xdr:ext cx="304800" cy="299084"/>
    <xdr:sp macro="" textlink="">
      <xdr:nvSpPr>
        <xdr:cNvPr id="82" name="avatar">
          <a:extLst>
            <a:ext uri="{FF2B5EF4-FFF2-40B4-BE49-F238E27FC236}">
              <a16:creationId xmlns:a16="http://schemas.microsoft.com/office/drawing/2014/main" id="{00000000-0008-0000-0100-000052000000}"/>
            </a:ext>
          </a:extLst>
        </xdr:cNvPr>
        <xdr:cNvSpPr>
          <a:spLocks noChangeAspect="1" noChangeArrowheads="1"/>
        </xdr:cNvSpPr>
      </xdr:nvSpPr>
      <xdr:spPr bwMode="auto">
        <a:xfrm>
          <a:off x="0" y="13239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47</xdr:row>
      <xdr:rowOff>0</xdr:rowOff>
    </xdr:from>
    <xdr:ext cx="304800" cy="295274"/>
    <xdr:sp macro="" textlink="">
      <xdr:nvSpPr>
        <xdr:cNvPr id="83" name="avatar">
          <a:extLst>
            <a:ext uri="{FF2B5EF4-FFF2-40B4-BE49-F238E27FC236}">
              <a16:creationId xmlns:a16="http://schemas.microsoft.com/office/drawing/2014/main" id="{00000000-0008-0000-0100-000053000000}"/>
            </a:ext>
          </a:extLst>
        </xdr:cNvPr>
        <xdr:cNvSpPr>
          <a:spLocks noChangeAspect="1" noChangeArrowheads="1"/>
        </xdr:cNvSpPr>
      </xdr:nvSpPr>
      <xdr:spPr bwMode="auto">
        <a:xfrm>
          <a:off x="0" y="13239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47</xdr:row>
      <xdr:rowOff>0</xdr:rowOff>
    </xdr:from>
    <xdr:ext cx="304800" cy="298449"/>
    <xdr:sp macro="" textlink="">
      <xdr:nvSpPr>
        <xdr:cNvPr id="84" name="avatar">
          <a:extLst>
            <a:ext uri="{FF2B5EF4-FFF2-40B4-BE49-F238E27FC236}">
              <a16:creationId xmlns:a16="http://schemas.microsoft.com/office/drawing/2014/main" id="{00000000-0008-0000-0100-000054000000}"/>
            </a:ext>
          </a:extLst>
        </xdr:cNvPr>
        <xdr:cNvSpPr>
          <a:spLocks noChangeAspect="1" noChangeArrowheads="1"/>
        </xdr:cNvSpPr>
      </xdr:nvSpPr>
      <xdr:spPr bwMode="auto">
        <a:xfrm>
          <a:off x="0" y="13239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47</xdr:row>
      <xdr:rowOff>0</xdr:rowOff>
    </xdr:from>
    <xdr:ext cx="304800" cy="304701"/>
    <xdr:sp macro="" textlink="">
      <xdr:nvSpPr>
        <xdr:cNvPr id="85" name="avatar">
          <a:extLst>
            <a:ext uri="{FF2B5EF4-FFF2-40B4-BE49-F238E27FC236}">
              <a16:creationId xmlns:a16="http://schemas.microsoft.com/office/drawing/2014/main" id="{00000000-0008-0000-0100-000055000000}"/>
            </a:ext>
          </a:extLst>
        </xdr:cNvPr>
        <xdr:cNvSpPr>
          <a:spLocks noChangeAspect="1" noChangeArrowheads="1"/>
        </xdr:cNvSpPr>
      </xdr:nvSpPr>
      <xdr:spPr bwMode="auto">
        <a:xfrm>
          <a:off x="0" y="13239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47</xdr:row>
      <xdr:rowOff>0</xdr:rowOff>
    </xdr:from>
    <xdr:ext cx="304800" cy="302259"/>
    <xdr:sp macro="" textlink="">
      <xdr:nvSpPr>
        <xdr:cNvPr id="86" name="avatar">
          <a:extLst>
            <a:ext uri="{FF2B5EF4-FFF2-40B4-BE49-F238E27FC236}">
              <a16:creationId xmlns:a16="http://schemas.microsoft.com/office/drawing/2014/main" id="{00000000-0008-0000-0100-000056000000}"/>
            </a:ext>
          </a:extLst>
        </xdr:cNvPr>
        <xdr:cNvSpPr>
          <a:spLocks noChangeAspect="1" noChangeArrowheads="1"/>
        </xdr:cNvSpPr>
      </xdr:nvSpPr>
      <xdr:spPr bwMode="auto">
        <a:xfrm>
          <a:off x="0" y="13239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47</xdr:row>
      <xdr:rowOff>0</xdr:rowOff>
    </xdr:from>
    <xdr:ext cx="304800" cy="304701"/>
    <xdr:sp macro="" textlink="">
      <xdr:nvSpPr>
        <xdr:cNvPr id="87" name="avatar">
          <a:extLst>
            <a:ext uri="{FF2B5EF4-FFF2-40B4-BE49-F238E27FC236}">
              <a16:creationId xmlns:a16="http://schemas.microsoft.com/office/drawing/2014/main" id="{00000000-0008-0000-0100-000057000000}"/>
            </a:ext>
          </a:extLst>
        </xdr:cNvPr>
        <xdr:cNvSpPr>
          <a:spLocks noChangeAspect="1" noChangeArrowheads="1"/>
        </xdr:cNvSpPr>
      </xdr:nvSpPr>
      <xdr:spPr bwMode="auto">
        <a:xfrm>
          <a:off x="0" y="13239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xdr:row>
      <xdr:rowOff>0</xdr:rowOff>
    </xdr:from>
    <xdr:ext cx="304800" cy="298449"/>
    <xdr:sp macro="" textlink="">
      <xdr:nvSpPr>
        <xdr:cNvPr id="88" name="avatar">
          <a:extLst>
            <a:ext uri="{FF2B5EF4-FFF2-40B4-BE49-F238E27FC236}">
              <a16:creationId xmlns:a16="http://schemas.microsoft.com/office/drawing/2014/main" id="{00000000-0008-0000-0100-000058000000}"/>
            </a:ext>
          </a:extLst>
        </xdr:cNvPr>
        <xdr:cNvSpPr>
          <a:spLocks noChangeAspect="1" noChangeArrowheads="1"/>
        </xdr:cNvSpPr>
      </xdr:nvSpPr>
      <xdr:spPr bwMode="auto">
        <a:xfrm>
          <a:off x="0" y="14859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xdr:row>
      <xdr:rowOff>0</xdr:rowOff>
    </xdr:from>
    <xdr:ext cx="304800" cy="304701"/>
    <xdr:sp macro="" textlink="">
      <xdr:nvSpPr>
        <xdr:cNvPr id="89" name="avatar">
          <a:extLst>
            <a:ext uri="{FF2B5EF4-FFF2-40B4-BE49-F238E27FC236}">
              <a16:creationId xmlns:a16="http://schemas.microsoft.com/office/drawing/2014/main" id="{00000000-0008-0000-0100-000059000000}"/>
            </a:ext>
          </a:extLst>
        </xdr:cNvPr>
        <xdr:cNvSpPr>
          <a:spLocks noChangeAspect="1" noChangeArrowheads="1"/>
        </xdr:cNvSpPr>
      </xdr:nvSpPr>
      <xdr:spPr bwMode="auto">
        <a:xfrm>
          <a:off x="0" y="14859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xdr:row>
      <xdr:rowOff>0</xdr:rowOff>
    </xdr:from>
    <xdr:ext cx="304800" cy="299084"/>
    <xdr:sp macro="" textlink="">
      <xdr:nvSpPr>
        <xdr:cNvPr id="90" name="avatar">
          <a:extLst>
            <a:ext uri="{FF2B5EF4-FFF2-40B4-BE49-F238E27FC236}">
              <a16:creationId xmlns:a16="http://schemas.microsoft.com/office/drawing/2014/main" id="{00000000-0008-0000-0100-00005A000000}"/>
            </a:ext>
          </a:extLst>
        </xdr:cNvPr>
        <xdr:cNvSpPr>
          <a:spLocks noChangeAspect="1" noChangeArrowheads="1"/>
        </xdr:cNvSpPr>
      </xdr:nvSpPr>
      <xdr:spPr bwMode="auto">
        <a:xfrm>
          <a:off x="0" y="14859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xdr:row>
      <xdr:rowOff>0</xdr:rowOff>
    </xdr:from>
    <xdr:ext cx="304800" cy="295274"/>
    <xdr:sp macro="" textlink="">
      <xdr:nvSpPr>
        <xdr:cNvPr id="91" name="avatar">
          <a:extLst>
            <a:ext uri="{FF2B5EF4-FFF2-40B4-BE49-F238E27FC236}">
              <a16:creationId xmlns:a16="http://schemas.microsoft.com/office/drawing/2014/main" id="{00000000-0008-0000-0100-00005B000000}"/>
            </a:ext>
          </a:extLst>
        </xdr:cNvPr>
        <xdr:cNvSpPr>
          <a:spLocks noChangeAspect="1" noChangeArrowheads="1"/>
        </xdr:cNvSpPr>
      </xdr:nvSpPr>
      <xdr:spPr bwMode="auto">
        <a:xfrm>
          <a:off x="0" y="14859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xdr:row>
      <xdr:rowOff>0</xdr:rowOff>
    </xdr:from>
    <xdr:ext cx="304800" cy="298449"/>
    <xdr:sp macro="" textlink="">
      <xdr:nvSpPr>
        <xdr:cNvPr id="92" name="avatar">
          <a:extLst>
            <a:ext uri="{FF2B5EF4-FFF2-40B4-BE49-F238E27FC236}">
              <a16:creationId xmlns:a16="http://schemas.microsoft.com/office/drawing/2014/main" id="{00000000-0008-0000-0100-00005C000000}"/>
            </a:ext>
          </a:extLst>
        </xdr:cNvPr>
        <xdr:cNvSpPr>
          <a:spLocks noChangeAspect="1" noChangeArrowheads="1"/>
        </xdr:cNvSpPr>
      </xdr:nvSpPr>
      <xdr:spPr bwMode="auto">
        <a:xfrm>
          <a:off x="0" y="14859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xdr:row>
      <xdr:rowOff>0</xdr:rowOff>
    </xdr:from>
    <xdr:ext cx="304800" cy="304701"/>
    <xdr:sp macro="" textlink="">
      <xdr:nvSpPr>
        <xdr:cNvPr id="93" name="avatar">
          <a:extLst>
            <a:ext uri="{FF2B5EF4-FFF2-40B4-BE49-F238E27FC236}">
              <a16:creationId xmlns:a16="http://schemas.microsoft.com/office/drawing/2014/main" id="{00000000-0008-0000-0100-00005D000000}"/>
            </a:ext>
          </a:extLst>
        </xdr:cNvPr>
        <xdr:cNvSpPr>
          <a:spLocks noChangeAspect="1" noChangeArrowheads="1"/>
        </xdr:cNvSpPr>
      </xdr:nvSpPr>
      <xdr:spPr bwMode="auto">
        <a:xfrm>
          <a:off x="0" y="14859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xdr:row>
      <xdr:rowOff>0</xdr:rowOff>
    </xdr:from>
    <xdr:ext cx="304800" cy="302259"/>
    <xdr:sp macro="" textlink="">
      <xdr:nvSpPr>
        <xdr:cNvPr id="94" name="avatar">
          <a:extLst>
            <a:ext uri="{FF2B5EF4-FFF2-40B4-BE49-F238E27FC236}">
              <a16:creationId xmlns:a16="http://schemas.microsoft.com/office/drawing/2014/main" id="{00000000-0008-0000-0100-00005E000000}"/>
            </a:ext>
          </a:extLst>
        </xdr:cNvPr>
        <xdr:cNvSpPr>
          <a:spLocks noChangeAspect="1" noChangeArrowheads="1"/>
        </xdr:cNvSpPr>
      </xdr:nvSpPr>
      <xdr:spPr bwMode="auto">
        <a:xfrm>
          <a:off x="0" y="14859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xdr:row>
      <xdr:rowOff>0</xdr:rowOff>
    </xdr:from>
    <xdr:ext cx="304800" cy="304701"/>
    <xdr:sp macro="" textlink="">
      <xdr:nvSpPr>
        <xdr:cNvPr id="95" name="avatar">
          <a:extLst>
            <a:ext uri="{FF2B5EF4-FFF2-40B4-BE49-F238E27FC236}">
              <a16:creationId xmlns:a16="http://schemas.microsoft.com/office/drawing/2014/main" id="{00000000-0008-0000-0100-00005F000000}"/>
            </a:ext>
          </a:extLst>
        </xdr:cNvPr>
        <xdr:cNvSpPr>
          <a:spLocks noChangeAspect="1" noChangeArrowheads="1"/>
        </xdr:cNvSpPr>
      </xdr:nvSpPr>
      <xdr:spPr bwMode="auto">
        <a:xfrm>
          <a:off x="0" y="14859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xdr:row>
      <xdr:rowOff>0</xdr:rowOff>
    </xdr:from>
    <xdr:ext cx="304800" cy="298449"/>
    <xdr:sp macro="" textlink="">
      <xdr:nvSpPr>
        <xdr:cNvPr id="96" name="avatar">
          <a:extLst>
            <a:ext uri="{FF2B5EF4-FFF2-40B4-BE49-F238E27FC236}">
              <a16:creationId xmlns:a16="http://schemas.microsoft.com/office/drawing/2014/main" id="{00000000-0008-0000-0100-000060000000}"/>
            </a:ext>
          </a:extLst>
        </xdr:cNvPr>
        <xdr:cNvSpPr>
          <a:spLocks noChangeAspect="1" noChangeArrowheads="1"/>
        </xdr:cNvSpPr>
      </xdr:nvSpPr>
      <xdr:spPr bwMode="auto">
        <a:xfrm>
          <a:off x="0" y="229552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xdr:row>
      <xdr:rowOff>0</xdr:rowOff>
    </xdr:from>
    <xdr:ext cx="304800" cy="304701"/>
    <xdr:sp macro="" textlink="">
      <xdr:nvSpPr>
        <xdr:cNvPr id="97" name="avatar">
          <a:extLst>
            <a:ext uri="{FF2B5EF4-FFF2-40B4-BE49-F238E27FC236}">
              <a16:creationId xmlns:a16="http://schemas.microsoft.com/office/drawing/2014/main" id="{00000000-0008-0000-0100-000061000000}"/>
            </a:ext>
          </a:extLst>
        </xdr:cNvPr>
        <xdr:cNvSpPr>
          <a:spLocks noChangeAspect="1" noChangeArrowheads="1"/>
        </xdr:cNvSpPr>
      </xdr:nvSpPr>
      <xdr:spPr bwMode="auto">
        <a:xfrm>
          <a:off x="0" y="22955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xdr:row>
      <xdr:rowOff>0</xdr:rowOff>
    </xdr:from>
    <xdr:ext cx="304800" cy="299084"/>
    <xdr:sp macro="" textlink="">
      <xdr:nvSpPr>
        <xdr:cNvPr id="98" name="avatar">
          <a:extLst>
            <a:ext uri="{FF2B5EF4-FFF2-40B4-BE49-F238E27FC236}">
              <a16:creationId xmlns:a16="http://schemas.microsoft.com/office/drawing/2014/main" id="{00000000-0008-0000-0100-000062000000}"/>
            </a:ext>
          </a:extLst>
        </xdr:cNvPr>
        <xdr:cNvSpPr>
          <a:spLocks noChangeAspect="1" noChangeArrowheads="1"/>
        </xdr:cNvSpPr>
      </xdr:nvSpPr>
      <xdr:spPr bwMode="auto">
        <a:xfrm>
          <a:off x="0" y="229552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xdr:row>
      <xdr:rowOff>0</xdr:rowOff>
    </xdr:from>
    <xdr:ext cx="304800" cy="295274"/>
    <xdr:sp macro="" textlink="">
      <xdr:nvSpPr>
        <xdr:cNvPr id="99" name="avatar">
          <a:extLst>
            <a:ext uri="{FF2B5EF4-FFF2-40B4-BE49-F238E27FC236}">
              <a16:creationId xmlns:a16="http://schemas.microsoft.com/office/drawing/2014/main" id="{00000000-0008-0000-0100-000063000000}"/>
            </a:ext>
          </a:extLst>
        </xdr:cNvPr>
        <xdr:cNvSpPr>
          <a:spLocks noChangeAspect="1" noChangeArrowheads="1"/>
        </xdr:cNvSpPr>
      </xdr:nvSpPr>
      <xdr:spPr bwMode="auto">
        <a:xfrm>
          <a:off x="0" y="229552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xdr:row>
      <xdr:rowOff>0</xdr:rowOff>
    </xdr:from>
    <xdr:ext cx="304800" cy="298449"/>
    <xdr:sp macro="" textlink="">
      <xdr:nvSpPr>
        <xdr:cNvPr id="100" name="avatar">
          <a:extLst>
            <a:ext uri="{FF2B5EF4-FFF2-40B4-BE49-F238E27FC236}">
              <a16:creationId xmlns:a16="http://schemas.microsoft.com/office/drawing/2014/main" id="{00000000-0008-0000-0100-000064000000}"/>
            </a:ext>
          </a:extLst>
        </xdr:cNvPr>
        <xdr:cNvSpPr>
          <a:spLocks noChangeAspect="1" noChangeArrowheads="1"/>
        </xdr:cNvSpPr>
      </xdr:nvSpPr>
      <xdr:spPr bwMode="auto">
        <a:xfrm>
          <a:off x="0" y="229552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xdr:row>
      <xdr:rowOff>0</xdr:rowOff>
    </xdr:from>
    <xdr:ext cx="304800" cy="304701"/>
    <xdr:sp macro="" textlink="">
      <xdr:nvSpPr>
        <xdr:cNvPr id="101" name="avatar">
          <a:extLst>
            <a:ext uri="{FF2B5EF4-FFF2-40B4-BE49-F238E27FC236}">
              <a16:creationId xmlns:a16="http://schemas.microsoft.com/office/drawing/2014/main" id="{00000000-0008-0000-0100-000065000000}"/>
            </a:ext>
          </a:extLst>
        </xdr:cNvPr>
        <xdr:cNvSpPr>
          <a:spLocks noChangeAspect="1" noChangeArrowheads="1"/>
        </xdr:cNvSpPr>
      </xdr:nvSpPr>
      <xdr:spPr bwMode="auto">
        <a:xfrm>
          <a:off x="0" y="22955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xdr:row>
      <xdr:rowOff>0</xdr:rowOff>
    </xdr:from>
    <xdr:ext cx="304800" cy="302259"/>
    <xdr:sp macro="" textlink="">
      <xdr:nvSpPr>
        <xdr:cNvPr id="102" name="avatar">
          <a:extLst>
            <a:ext uri="{FF2B5EF4-FFF2-40B4-BE49-F238E27FC236}">
              <a16:creationId xmlns:a16="http://schemas.microsoft.com/office/drawing/2014/main" id="{00000000-0008-0000-0100-000066000000}"/>
            </a:ext>
          </a:extLst>
        </xdr:cNvPr>
        <xdr:cNvSpPr>
          <a:spLocks noChangeAspect="1" noChangeArrowheads="1"/>
        </xdr:cNvSpPr>
      </xdr:nvSpPr>
      <xdr:spPr bwMode="auto">
        <a:xfrm>
          <a:off x="0" y="229552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xdr:row>
      <xdr:rowOff>0</xdr:rowOff>
    </xdr:from>
    <xdr:ext cx="304800" cy="304701"/>
    <xdr:sp macro="" textlink="">
      <xdr:nvSpPr>
        <xdr:cNvPr id="103" name="avatar">
          <a:extLst>
            <a:ext uri="{FF2B5EF4-FFF2-40B4-BE49-F238E27FC236}">
              <a16:creationId xmlns:a16="http://schemas.microsoft.com/office/drawing/2014/main" id="{00000000-0008-0000-0100-000067000000}"/>
            </a:ext>
          </a:extLst>
        </xdr:cNvPr>
        <xdr:cNvSpPr>
          <a:spLocks noChangeAspect="1" noChangeArrowheads="1"/>
        </xdr:cNvSpPr>
      </xdr:nvSpPr>
      <xdr:spPr bwMode="auto">
        <a:xfrm>
          <a:off x="0" y="22955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xdr:row>
      <xdr:rowOff>0</xdr:rowOff>
    </xdr:from>
    <xdr:ext cx="304800" cy="298449"/>
    <xdr:sp macro="" textlink="">
      <xdr:nvSpPr>
        <xdr:cNvPr id="104" name="avatar">
          <a:extLst>
            <a:ext uri="{FF2B5EF4-FFF2-40B4-BE49-F238E27FC236}">
              <a16:creationId xmlns:a16="http://schemas.microsoft.com/office/drawing/2014/main" id="{00000000-0008-0000-0100-000068000000}"/>
            </a:ext>
          </a:extLst>
        </xdr:cNvPr>
        <xdr:cNvSpPr>
          <a:spLocks noChangeAspect="1" noChangeArrowheads="1"/>
        </xdr:cNvSpPr>
      </xdr:nvSpPr>
      <xdr:spPr bwMode="auto">
        <a:xfrm>
          <a:off x="0" y="229552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xdr:row>
      <xdr:rowOff>0</xdr:rowOff>
    </xdr:from>
    <xdr:ext cx="304800" cy="304701"/>
    <xdr:sp macro="" textlink="">
      <xdr:nvSpPr>
        <xdr:cNvPr id="105" name="avatar">
          <a:extLst>
            <a:ext uri="{FF2B5EF4-FFF2-40B4-BE49-F238E27FC236}">
              <a16:creationId xmlns:a16="http://schemas.microsoft.com/office/drawing/2014/main" id="{00000000-0008-0000-0100-000069000000}"/>
            </a:ext>
          </a:extLst>
        </xdr:cNvPr>
        <xdr:cNvSpPr>
          <a:spLocks noChangeAspect="1" noChangeArrowheads="1"/>
        </xdr:cNvSpPr>
      </xdr:nvSpPr>
      <xdr:spPr bwMode="auto">
        <a:xfrm>
          <a:off x="0" y="22955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xdr:row>
      <xdr:rowOff>0</xdr:rowOff>
    </xdr:from>
    <xdr:ext cx="304800" cy="299084"/>
    <xdr:sp macro="" textlink="">
      <xdr:nvSpPr>
        <xdr:cNvPr id="106" name="avatar">
          <a:extLst>
            <a:ext uri="{FF2B5EF4-FFF2-40B4-BE49-F238E27FC236}">
              <a16:creationId xmlns:a16="http://schemas.microsoft.com/office/drawing/2014/main" id="{00000000-0008-0000-0100-00006A000000}"/>
            </a:ext>
          </a:extLst>
        </xdr:cNvPr>
        <xdr:cNvSpPr>
          <a:spLocks noChangeAspect="1" noChangeArrowheads="1"/>
        </xdr:cNvSpPr>
      </xdr:nvSpPr>
      <xdr:spPr bwMode="auto">
        <a:xfrm>
          <a:off x="0" y="229552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xdr:row>
      <xdr:rowOff>0</xdr:rowOff>
    </xdr:from>
    <xdr:ext cx="304800" cy="295274"/>
    <xdr:sp macro="" textlink="">
      <xdr:nvSpPr>
        <xdr:cNvPr id="107" name="avatar">
          <a:extLst>
            <a:ext uri="{FF2B5EF4-FFF2-40B4-BE49-F238E27FC236}">
              <a16:creationId xmlns:a16="http://schemas.microsoft.com/office/drawing/2014/main" id="{00000000-0008-0000-0100-00006B000000}"/>
            </a:ext>
          </a:extLst>
        </xdr:cNvPr>
        <xdr:cNvSpPr>
          <a:spLocks noChangeAspect="1" noChangeArrowheads="1"/>
        </xdr:cNvSpPr>
      </xdr:nvSpPr>
      <xdr:spPr bwMode="auto">
        <a:xfrm>
          <a:off x="0" y="229552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xdr:row>
      <xdr:rowOff>0</xdr:rowOff>
    </xdr:from>
    <xdr:ext cx="304800" cy="298449"/>
    <xdr:sp macro="" textlink="">
      <xdr:nvSpPr>
        <xdr:cNvPr id="108" name="avatar">
          <a:extLst>
            <a:ext uri="{FF2B5EF4-FFF2-40B4-BE49-F238E27FC236}">
              <a16:creationId xmlns:a16="http://schemas.microsoft.com/office/drawing/2014/main" id="{00000000-0008-0000-0100-00006C000000}"/>
            </a:ext>
          </a:extLst>
        </xdr:cNvPr>
        <xdr:cNvSpPr>
          <a:spLocks noChangeAspect="1" noChangeArrowheads="1"/>
        </xdr:cNvSpPr>
      </xdr:nvSpPr>
      <xdr:spPr bwMode="auto">
        <a:xfrm>
          <a:off x="0" y="229552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xdr:row>
      <xdr:rowOff>0</xdr:rowOff>
    </xdr:from>
    <xdr:ext cx="304800" cy="304701"/>
    <xdr:sp macro="" textlink="">
      <xdr:nvSpPr>
        <xdr:cNvPr id="109" name="avatar">
          <a:extLst>
            <a:ext uri="{FF2B5EF4-FFF2-40B4-BE49-F238E27FC236}">
              <a16:creationId xmlns:a16="http://schemas.microsoft.com/office/drawing/2014/main" id="{00000000-0008-0000-0100-00006D000000}"/>
            </a:ext>
          </a:extLst>
        </xdr:cNvPr>
        <xdr:cNvSpPr>
          <a:spLocks noChangeAspect="1" noChangeArrowheads="1"/>
        </xdr:cNvSpPr>
      </xdr:nvSpPr>
      <xdr:spPr bwMode="auto">
        <a:xfrm>
          <a:off x="0" y="22955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xdr:row>
      <xdr:rowOff>0</xdr:rowOff>
    </xdr:from>
    <xdr:ext cx="304800" cy="302259"/>
    <xdr:sp macro="" textlink="">
      <xdr:nvSpPr>
        <xdr:cNvPr id="110" name="avatar">
          <a:extLst>
            <a:ext uri="{FF2B5EF4-FFF2-40B4-BE49-F238E27FC236}">
              <a16:creationId xmlns:a16="http://schemas.microsoft.com/office/drawing/2014/main" id="{00000000-0008-0000-0100-00006E000000}"/>
            </a:ext>
          </a:extLst>
        </xdr:cNvPr>
        <xdr:cNvSpPr>
          <a:spLocks noChangeAspect="1" noChangeArrowheads="1"/>
        </xdr:cNvSpPr>
      </xdr:nvSpPr>
      <xdr:spPr bwMode="auto">
        <a:xfrm>
          <a:off x="0" y="229552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xdr:row>
      <xdr:rowOff>0</xdr:rowOff>
    </xdr:from>
    <xdr:ext cx="304800" cy="304701"/>
    <xdr:sp macro="" textlink="">
      <xdr:nvSpPr>
        <xdr:cNvPr id="111" name="avatar">
          <a:extLst>
            <a:ext uri="{FF2B5EF4-FFF2-40B4-BE49-F238E27FC236}">
              <a16:creationId xmlns:a16="http://schemas.microsoft.com/office/drawing/2014/main" id="{00000000-0008-0000-0100-00006F000000}"/>
            </a:ext>
          </a:extLst>
        </xdr:cNvPr>
        <xdr:cNvSpPr>
          <a:spLocks noChangeAspect="1" noChangeArrowheads="1"/>
        </xdr:cNvSpPr>
      </xdr:nvSpPr>
      <xdr:spPr bwMode="auto">
        <a:xfrm>
          <a:off x="0" y="22955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49</xdr:row>
      <xdr:rowOff>0</xdr:rowOff>
    </xdr:from>
    <xdr:ext cx="304800" cy="298449"/>
    <xdr:sp macro="" textlink="">
      <xdr:nvSpPr>
        <xdr:cNvPr id="112" name="avatar">
          <a:extLst>
            <a:ext uri="{FF2B5EF4-FFF2-40B4-BE49-F238E27FC236}">
              <a16:creationId xmlns:a16="http://schemas.microsoft.com/office/drawing/2014/main" id="{00000000-0008-0000-0100-000070000000}"/>
            </a:ext>
          </a:extLst>
        </xdr:cNvPr>
        <xdr:cNvSpPr>
          <a:spLocks noChangeAspect="1" noChangeArrowheads="1"/>
        </xdr:cNvSpPr>
      </xdr:nvSpPr>
      <xdr:spPr bwMode="auto">
        <a:xfrm>
          <a:off x="0" y="2457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49</xdr:row>
      <xdr:rowOff>0</xdr:rowOff>
    </xdr:from>
    <xdr:ext cx="304800" cy="304701"/>
    <xdr:sp macro="" textlink="">
      <xdr:nvSpPr>
        <xdr:cNvPr id="113" name="avatar">
          <a:extLst>
            <a:ext uri="{FF2B5EF4-FFF2-40B4-BE49-F238E27FC236}">
              <a16:creationId xmlns:a16="http://schemas.microsoft.com/office/drawing/2014/main" id="{00000000-0008-0000-0100-000071000000}"/>
            </a:ext>
          </a:extLst>
        </xdr:cNvPr>
        <xdr:cNvSpPr>
          <a:spLocks noChangeAspect="1" noChangeArrowheads="1"/>
        </xdr:cNvSpPr>
      </xdr:nvSpPr>
      <xdr:spPr bwMode="auto">
        <a:xfrm>
          <a:off x="0" y="2457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49</xdr:row>
      <xdr:rowOff>0</xdr:rowOff>
    </xdr:from>
    <xdr:ext cx="304800" cy="299084"/>
    <xdr:sp macro="" textlink="">
      <xdr:nvSpPr>
        <xdr:cNvPr id="114" name="avatar">
          <a:extLst>
            <a:ext uri="{FF2B5EF4-FFF2-40B4-BE49-F238E27FC236}">
              <a16:creationId xmlns:a16="http://schemas.microsoft.com/office/drawing/2014/main" id="{00000000-0008-0000-0100-000072000000}"/>
            </a:ext>
          </a:extLst>
        </xdr:cNvPr>
        <xdr:cNvSpPr>
          <a:spLocks noChangeAspect="1" noChangeArrowheads="1"/>
        </xdr:cNvSpPr>
      </xdr:nvSpPr>
      <xdr:spPr bwMode="auto">
        <a:xfrm>
          <a:off x="0" y="2457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49</xdr:row>
      <xdr:rowOff>0</xdr:rowOff>
    </xdr:from>
    <xdr:ext cx="304800" cy="295274"/>
    <xdr:sp macro="" textlink="">
      <xdr:nvSpPr>
        <xdr:cNvPr id="115" name="avatar">
          <a:extLst>
            <a:ext uri="{FF2B5EF4-FFF2-40B4-BE49-F238E27FC236}">
              <a16:creationId xmlns:a16="http://schemas.microsoft.com/office/drawing/2014/main" id="{00000000-0008-0000-0100-000073000000}"/>
            </a:ext>
          </a:extLst>
        </xdr:cNvPr>
        <xdr:cNvSpPr>
          <a:spLocks noChangeAspect="1" noChangeArrowheads="1"/>
        </xdr:cNvSpPr>
      </xdr:nvSpPr>
      <xdr:spPr bwMode="auto">
        <a:xfrm>
          <a:off x="0" y="2457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49</xdr:row>
      <xdr:rowOff>0</xdr:rowOff>
    </xdr:from>
    <xdr:ext cx="304800" cy="298449"/>
    <xdr:sp macro="" textlink="">
      <xdr:nvSpPr>
        <xdr:cNvPr id="116" name="avatar">
          <a:extLst>
            <a:ext uri="{FF2B5EF4-FFF2-40B4-BE49-F238E27FC236}">
              <a16:creationId xmlns:a16="http://schemas.microsoft.com/office/drawing/2014/main" id="{00000000-0008-0000-0100-000074000000}"/>
            </a:ext>
          </a:extLst>
        </xdr:cNvPr>
        <xdr:cNvSpPr>
          <a:spLocks noChangeAspect="1" noChangeArrowheads="1"/>
        </xdr:cNvSpPr>
      </xdr:nvSpPr>
      <xdr:spPr bwMode="auto">
        <a:xfrm>
          <a:off x="0" y="2457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49</xdr:row>
      <xdr:rowOff>0</xdr:rowOff>
    </xdr:from>
    <xdr:ext cx="304800" cy="304701"/>
    <xdr:sp macro="" textlink="">
      <xdr:nvSpPr>
        <xdr:cNvPr id="117" name="avatar">
          <a:extLst>
            <a:ext uri="{FF2B5EF4-FFF2-40B4-BE49-F238E27FC236}">
              <a16:creationId xmlns:a16="http://schemas.microsoft.com/office/drawing/2014/main" id="{00000000-0008-0000-0100-000075000000}"/>
            </a:ext>
          </a:extLst>
        </xdr:cNvPr>
        <xdr:cNvSpPr>
          <a:spLocks noChangeAspect="1" noChangeArrowheads="1"/>
        </xdr:cNvSpPr>
      </xdr:nvSpPr>
      <xdr:spPr bwMode="auto">
        <a:xfrm>
          <a:off x="0" y="2457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49</xdr:row>
      <xdr:rowOff>0</xdr:rowOff>
    </xdr:from>
    <xdr:ext cx="304800" cy="302259"/>
    <xdr:sp macro="" textlink="">
      <xdr:nvSpPr>
        <xdr:cNvPr id="118" name="avatar">
          <a:extLst>
            <a:ext uri="{FF2B5EF4-FFF2-40B4-BE49-F238E27FC236}">
              <a16:creationId xmlns:a16="http://schemas.microsoft.com/office/drawing/2014/main" id="{00000000-0008-0000-0100-000076000000}"/>
            </a:ext>
          </a:extLst>
        </xdr:cNvPr>
        <xdr:cNvSpPr>
          <a:spLocks noChangeAspect="1" noChangeArrowheads="1"/>
        </xdr:cNvSpPr>
      </xdr:nvSpPr>
      <xdr:spPr bwMode="auto">
        <a:xfrm>
          <a:off x="0" y="2457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49</xdr:row>
      <xdr:rowOff>0</xdr:rowOff>
    </xdr:from>
    <xdr:ext cx="304800" cy="304701"/>
    <xdr:sp macro="" textlink="">
      <xdr:nvSpPr>
        <xdr:cNvPr id="119" name="avatar">
          <a:extLst>
            <a:ext uri="{FF2B5EF4-FFF2-40B4-BE49-F238E27FC236}">
              <a16:creationId xmlns:a16="http://schemas.microsoft.com/office/drawing/2014/main" id="{00000000-0008-0000-0100-000077000000}"/>
            </a:ext>
          </a:extLst>
        </xdr:cNvPr>
        <xdr:cNvSpPr>
          <a:spLocks noChangeAspect="1" noChangeArrowheads="1"/>
        </xdr:cNvSpPr>
      </xdr:nvSpPr>
      <xdr:spPr bwMode="auto">
        <a:xfrm>
          <a:off x="0" y="2457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49</xdr:row>
      <xdr:rowOff>0</xdr:rowOff>
    </xdr:from>
    <xdr:ext cx="304800" cy="298449"/>
    <xdr:sp macro="" textlink="">
      <xdr:nvSpPr>
        <xdr:cNvPr id="120" name="avatar">
          <a:extLst>
            <a:ext uri="{FF2B5EF4-FFF2-40B4-BE49-F238E27FC236}">
              <a16:creationId xmlns:a16="http://schemas.microsoft.com/office/drawing/2014/main" id="{00000000-0008-0000-0100-000078000000}"/>
            </a:ext>
          </a:extLst>
        </xdr:cNvPr>
        <xdr:cNvSpPr>
          <a:spLocks noChangeAspect="1" noChangeArrowheads="1"/>
        </xdr:cNvSpPr>
      </xdr:nvSpPr>
      <xdr:spPr bwMode="auto">
        <a:xfrm>
          <a:off x="0" y="2457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49</xdr:row>
      <xdr:rowOff>0</xdr:rowOff>
    </xdr:from>
    <xdr:ext cx="304800" cy="304701"/>
    <xdr:sp macro="" textlink="">
      <xdr:nvSpPr>
        <xdr:cNvPr id="121" name="avatar">
          <a:extLst>
            <a:ext uri="{FF2B5EF4-FFF2-40B4-BE49-F238E27FC236}">
              <a16:creationId xmlns:a16="http://schemas.microsoft.com/office/drawing/2014/main" id="{00000000-0008-0000-0100-000079000000}"/>
            </a:ext>
          </a:extLst>
        </xdr:cNvPr>
        <xdr:cNvSpPr>
          <a:spLocks noChangeAspect="1" noChangeArrowheads="1"/>
        </xdr:cNvSpPr>
      </xdr:nvSpPr>
      <xdr:spPr bwMode="auto">
        <a:xfrm>
          <a:off x="0" y="2457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49</xdr:row>
      <xdr:rowOff>0</xdr:rowOff>
    </xdr:from>
    <xdr:ext cx="304800" cy="299084"/>
    <xdr:sp macro="" textlink="">
      <xdr:nvSpPr>
        <xdr:cNvPr id="122" name="avatar">
          <a:extLst>
            <a:ext uri="{FF2B5EF4-FFF2-40B4-BE49-F238E27FC236}">
              <a16:creationId xmlns:a16="http://schemas.microsoft.com/office/drawing/2014/main" id="{00000000-0008-0000-0100-00007A000000}"/>
            </a:ext>
          </a:extLst>
        </xdr:cNvPr>
        <xdr:cNvSpPr>
          <a:spLocks noChangeAspect="1" noChangeArrowheads="1"/>
        </xdr:cNvSpPr>
      </xdr:nvSpPr>
      <xdr:spPr bwMode="auto">
        <a:xfrm>
          <a:off x="0" y="2457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49</xdr:row>
      <xdr:rowOff>0</xdr:rowOff>
    </xdr:from>
    <xdr:ext cx="304800" cy="295274"/>
    <xdr:sp macro="" textlink="">
      <xdr:nvSpPr>
        <xdr:cNvPr id="123" name="avatar">
          <a:extLst>
            <a:ext uri="{FF2B5EF4-FFF2-40B4-BE49-F238E27FC236}">
              <a16:creationId xmlns:a16="http://schemas.microsoft.com/office/drawing/2014/main" id="{00000000-0008-0000-0100-00007B000000}"/>
            </a:ext>
          </a:extLst>
        </xdr:cNvPr>
        <xdr:cNvSpPr>
          <a:spLocks noChangeAspect="1" noChangeArrowheads="1"/>
        </xdr:cNvSpPr>
      </xdr:nvSpPr>
      <xdr:spPr bwMode="auto">
        <a:xfrm>
          <a:off x="0" y="2457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49</xdr:row>
      <xdr:rowOff>0</xdr:rowOff>
    </xdr:from>
    <xdr:ext cx="304800" cy="298449"/>
    <xdr:sp macro="" textlink="">
      <xdr:nvSpPr>
        <xdr:cNvPr id="124" name="avatar">
          <a:extLst>
            <a:ext uri="{FF2B5EF4-FFF2-40B4-BE49-F238E27FC236}">
              <a16:creationId xmlns:a16="http://schemas.microsoft.com/office/drawing/2014/main" id="{00000000-0008-0000-0100-00007C000000}"/>
            </a:ext>
          </a:extLst>
        </xdr:cNvPr>
        <xdr:cNvSpPr>
          <a:spLocks noChangeAspect="1" noChangeArrowheads="1"/>
        </xdr:cNvSpPr>
      </xdr:nvSpPr>
      <xdr:spPr bwMode="auto">
        <a:xfrm>
          <a:off x="0" y="2457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49</xdr:row>
      <xdr:rowOff>0</xdr:rowOff>
    </xdr:from>
    <xdr:ext cx="304800" cy="304701"/>
    <xdr:sp macro="" textlink="">
      <xdr:nvSpPr>
        <xdr:cNvPr id="125" name="avatar">
          <a:extLst>
            <a:ext uri="{FF2B5EF4-FFF2-40B4-BE49-F238E27FC236}">
              <a16:creationId xmlns:a16="http://schemas.microsoft.com/office/drawing/2014/main" id="{00000000-0008-0000-0100-00007D000000}"/>
            </a:ext>
          </a:extLst>
        </xdr:cNvPr>
        <xdr:cNvSpPr>
          <a:spLocks noChangeAspect="1" noChangeArrowheads="1"/>
        </xdr:cNvSpPr>
      </xdr:nvSpPr>
      <xdr:spPr bwMode="auto">
        <a:xfrm>
          <a:off x="0" y="2457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49</xdr:row>
      <xdr:rowOff>0</xdr:rowOff>
    </xdr:from>
    <xdr:ext cx="304800" cy="302259"/>
    <xdr:sp macro="" textlink="">
      <xdr:nvSpPr>
        <xdr:cNvPr id="126" name="avatar">
          <a:extLst>
            <a:ext uri="{FF2B5EF4-FFF2-40B4-BE49-F238E27FC236}">
              <a16:creationId xmlns:a16="http://schemas.microsoft.com/office/drawing/2014/main" id="{00000000-0008-0000-0100-00007E000000}"/>
            </a:ext>
          </a:extLst>
        </xdr:cNvPr>
        <xdr:cNvSpPr>
          <a:spLocks noChangeAspect="1" noChangeArrowheads="1"/>
        </xdr:cNvSpPr>
      </xdr:nvSpPr>
      <xdr:spPr bwMode="auto">
        <a:xfrm>
          <a:off x="0" y="2457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49</xdr:row>
      <xdr:rowOff>0</xdr:rowOff>
    </xdr:from>
    <xdr:ext cx="304800" cy="304701"/>
    <xdr:sp macro="" textlink="">
      <xdr:nvSpPr>
        <xdr:cNvPr id="127" name="avatar">
          <a:extLst>
            <a:ext uri="{FF2B5EF4-FFF2-40B4-BE49-F238E27FC236}">
              <a16:creationId xmlns:a16="http://schemas.microsoft.com/office/drawing/2014/main" id="{00000000-0008-0000-0100-00007F000000}"/>
            </a:ext>
          </a:extLst>
        </xdr:cNvPr>
        <xdr:cNvSpPr>
          <a:spLocks noChangeAspect="1" noChangeArrowheads="1"/>
        </xdr:cNvSpPr>
      </xdr:nvSpPr>
      <xdr:spPr bwMode="auto">
        <a:xfrm>
          <a:off x="0" y="2457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49</xdr:row>
      <xdr:rowOff>0</xdr:rowOff>
    </xdr:from>
    <xdr:ext cx="304800" cy="298449"/>
    <xdr:sp macro="" textlink="">
      <xdr:nvSpPr>
        <xdr:cNvPr id="128" name="avatar">
          <a:extLst>
            <a:ext uri="{FF2B5EF4-FFF2-40B4-BE49-F238E27FC236}">
              <a16:creationId xmlns:a16="http://schemas.microsoft.com/office/drawing/2014/main" id="{00000000-0008-0000-0100-000080000000}"/>
            </a:ext>
          </a:extLst>
        </xdr:cNvPr>
        <xdr:cNvSpPr>
          <a:spLocks noChangeAspect="1" noChangeArrowheads="1"/>
        </xdr:cNvSpPr>
      </xdr:nvSpPr>
      <xdr:spPr bwMode="auto">
        <a:xfrm>
          <a:off x="0" y="2457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49</xdr:row>
      <xdr:rowOff>0</xdr:rowOff>
    </xdr:from>
    <xdr:ext cx="304800" cy="304701"/>
    <xdr:sp macro="" textlink="">
      <xdr:nvSpPr>
        <xdr:cNvPr id="129" name="avatar">
          <a:extLst>
            <a:ext uri="{FF2B5EF4-FFF2-40B4-BE49-F238E27FC236}">
              <a16:creationId xmlns:a16="http://schemas.microsoft.com/office/drawing/2014/main" id="{00000000-0008-0000-0100-000081000000}"/>
            </a:ext>
          </a:extLst>
        </xdr:cNvPr>
        <xdr:cNvSpPr>
          <a:spLocks noChangeAspect="1" noChangeArrowheads="1"/>
        </xdr:cNvSpPr>
      </xdr:nvSpPr>
      <xdr:spPr bwMode="auto">
        <a:xfrm>
          <a:off x="0" y="2457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49</xdr:row>
      <xdr:rowOff>0</xdr:rowOff>
    </xdr:from>
    <xdr:ext cx="304800" cy="299084"/>
    <xdr:sp macro="" textlink="">
      <xdr:nvSpPr>
        <xdr:cNvPr id="130" name="avatar">
          <a:extLst>
            <a:ext uri="{FF2B5EF4-FFF2-40B4-BE49-F238E27FC236}">
              <a16:creationId xmlns:a16="http://schemas.microsoft.com/office/drawing/2014/main" id="{00000000-0008-0000-0100-000082000000}"/>
            </a:ext>
          </a:extLst>
        </xdr:cNvPr>
        <xdr:cNvSpPr>
          <a:spLocks noChangeAspect="1" noChangeArrowheads="1"/>
        </xdr:cNvSpPr>
      </xdr:nvSpPr>
      <xdr:spPr bwMode="auto">
        <a:xfrm>
          <a:off x="0" y="2457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49</xdr:row>
      <xdr:rowOff>0</xdr:rowOff>
    </xdr:from>
    <xdr:ext cx="304800" cy="295274"/>
    <xdr:sp macro="" textlink="">
      <xdr:nvSpPr>
        <xdr:cNvPr id="131" name="avatar">
          <a:extLst>
            <a:ext uri="{FF2B5EF4-FFF2-40B4-BE49-F238E27FC236}">
              <a16:creationId xmlns:a16="http://schemas.microsoft.com/office/drawing/2014/main" id="{00000000-0008-0000-0100-000083000000}"/>
            </a:ext>
          </a:extLst>
        </xdr:cNvPr>
        <xdr:cNvSpPr>
          <a:spLocks noChangeAspect="1" noChangeArrowheads="1"/>
        </xdr:cNvSpPr>
      </xdr:nvSpPr>
      <xdr:spPr bwMode="auto">
        <a:xfrm>
          <a:off x="0" y="2457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49</xdr:row>
      <xdr:rowOff>0</xdr:rowOff>
    </xdr:from>
    <xdr:ext cx="304800" cy="298449"/>
    <xdr:sp macro="" textlink="">
      <xdr:nvSpPr>
        <xdr:cNvPr id="132" name="avatar">
          <a:extLst>
            <a:ext uri="{FF2B5EF4-FFF2-40B4-BE49-F238E27FC236}">
              <a16:creationId xmlns:a16="http://schemas.microsoft.com/office/drawing/2014/main" id="{00000000-0008-0000-0100-000084000000}"/>
            </a:ext>
          </a:extLst>
        </xdr:cNvPr>
        <xdr:cNvSpPr>
          <a:spLocks noChangeAspect="1" noChangeArrowheads="1"/>
        </xdr:cNvSpPr>
      </xdr:nvSpPr>
      <xdr:spPr bwMode="auto">
        <a:xfrm>
          <a:off x="0" y="2457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49</xdr:row>
      <xdr:rowOff>0</xdr:rowOff>
    </xdr:from>
    <xdr:ext cx="304800" cy="304701"/>
    <xdr:sp macro="" textlink="">
      <xdr:nvSpPr>
        <xdr:cNvPr id="133" name="avatar">
          <a:extLst>
            <a:ext uri="{FF2B5EF4-FFF2-40B4-BE49-F238E27FC236}">
              <a16:creationId xmlns:a16="http://schemas.microsoft.com/office/drawing/2014/main" id="{00000000-0008-0000-0100-000085000000}"/>
            </a:ext>
          </a:extLst>
        </xdr:cNvPr>
        <xdr:cNvSpPr>
          <a:spLocks noChangeAspect="1" noChangeArrowheads="1"/>
        </xdr:cNvSpPr>
      </xdr:nvSpPr>
      <xdr:spPr bwMode="auto">
        <a:xfrm>
          <a:off x="0" y="2457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49</xdr:row>
      <xdr:rowOff>0</xdr:rowOff>
    </xdr:from>
    <xdr:ext cx="304800" cy="302259"/>
    <xdr:sp macro="" textlink="">
      <xdr:nvSpPr>
        <xdr:cNvPr id="134" name="avatar">
          <a:extLst>
            <a:ext uri="{FF2B5EF4-FFF2-40B4-BE49-F238E27FC236}">
              <a16:creationId xmlns:a16="http://schemas.microsoft.com/office/drawing/2014/main" id="{00000000-0008-0000-0100-000086000000}"/>
            </a:ext>
          </a:extLst>
        </xdr:cNvPr>
        <xdr:cNvSpPr>
          <a:spLocks noChangeAspect="1" noChangeArrowheads="1"/>
        </xdr:cNvSpPr>
      </xdr:nvSpPr>
      <xdr:spPr bwMode="auto">
        <a:xfrm>
          <a:off x="0" y="2457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49</xdr:row>
      <xdr:rowOff>0</xdr:rowOff>
    </xdr:from>
    <xdr:ext cx="304800" cy="304701"/>
    <xdr:sp macro="" textlink="">
      <xdr:nvSpPr>
        <xdr:cNvPr id="135" name="avatar">
          <a:extLst>
            <a:ext uri="{FF2B5EF4-FFF2-40B4-BE49-F238E27FC236}">
              <a16:creationId xmlns:a16="http://schemas.microsoft.com/office/drawing/2014/main" id="{00000000-0008-0000-0100-000087000000}"/>
            </a:ext>
          </a:extLst>
        </xdr:cNvPr>
        <xdr:cNvSpPr>
          <a:spLocks noChangeAspect="1" noChangeArrowheads="1"/>
        </xdr:cNvSpPr>
      </xdr:nvSpPr>
      <xdr:spPr bwMode="auto">
        <a:xfrm>
          <a:off x="0" y="2457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49</xdr:row>
      <xdr:rowOff>0</xdr:rowOff>
    </xdr:from>
    <xdr:ext cx="304800" cy="298449"/>
    <xdr:sp macro="" textlink="">
      <xdr:nvSpPr>
        <xdr:cNvPr id="136" name="avatar">
          <a:extLst>
            <a:ext uri="{FF2B5EF4-FFF2-40B4-BE49-F238E27FC236}">
              <a16:creationId xmlns:a16="http://schemas.microsoft.com/office/drawing/2014/main" id="{00000000-0008-0000-0100-000088000000}"/>
            </a:ext>
          </a:extLst>
        </xdr:cNvPr>
        <xdr:cNvSpPr>
          <a:spLocks noChangeAspect="1" noChangeArrowheads="1"/>
        </xdr:cNvSpPr>
      </xdr:nvSpPr>
      <xdr:spPr bwMode="auto">
        <a:xfrm>
          <a:off x="0" y="2457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49</xdr:row>
      <xdr:rowOff>0</xdr:rowOff>
    </xdr:from>
    <xdr:ext cx="304800" cy="304701"/>
    <xdr:sp macro="" textlink="">
      <xdr:nvSpPr>
        <xdr:cNvPr id="137" name="avatar">
          <a:extLst>
            <a:ext uri="{FF2B5EF4-FFF2-40B4-BE49-F238E27FC236}">
              <a16:creationId xmlns:a16="http://schemas.microsoft.com/office/drawing/2014/main" id="{00000000-0008-0000-0100-000089000000}"/>
            </a:ext>
          </a:extLst>
        </xdr:cNvPr>
        <xdr:cNvSpPr>
          <a:spLocks noChangeAspect="1" noChangeArrowheads="1"/>
        </xdr:cNvSpPr>
      </xdr:nvSpPr>
      <xdr:spPr bwMode="auto">
        <a:xfrm>
          <a:off x="0" y="2457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49</xdr:row>
      <xdr:rowOff>0</xdr:rowOff>
    </xdr:from>
    <xdr:ext cx="304800" cy="299084"/>
    <xdr:sp macro="" textlink="">
      <xdr:nvSpPr>
        <xdr:cNvPr id="138" name="avatar">
          <a:extLst>
            <a:ext uri="{FF2B5EF4-FFF2-40B4-BE49-F238E27FC236}">
              <a16:creationId xmlns:a16="http://schemas.microsoft.com/office/drawing/2014/main" id="{00000000-0008-0000-0100-00008A000000}"/>
            </a:ext>
          </a:extLst>
        </xdr:cNvPr>
        <xdr:cNvSpPr>
          <a:spLocks noChangeAspect="1" noChangeArrowheads="1"/>
        </xdr:cNvSpPr>
      </xdr:nvSpPr>
      <xdr:spPr bwMode="auto">
        <a:xfrm>
          <a:off x="0" y="2457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49</xdr:row>
      <xdr:rowOff>0</xdr:rowOff>
    </xdr:from>
    <xdr:ext cx="304800" cy="295274"/>
    <xdr:sp macro="" textlink="">
      <xdr:nvSpPr>
        <xdr:cNvPr id="139" name="avatar">
          <a:extLst>
            <a:ext uri="{FF2B5EF4-FFF2-40B4-BE49-F238E27FC236}">
              <a16:creationId xmlns:a16="http://schemas.microsoft.com/office/drawing/2014/main" id="{00000000-0008-0000-0100-00008B000000}"/>
            </a:ext>
          </a:extLst>
        </xdr:cNvPr>
        <xdr:cNvSpPr>
          <a:spLocks noChangeAspect="1" noChangeArrowheads="1"/>
        </xdr:cNvSpPr>
      </xdr:nvSpPr>
      <xdr:spPr bwMode="auto">
        <a:xfrm>
          <a:off x="0" y="2457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49</xdr:row>
      <xdr:rowOff>0</xdr:rowOff>
    </xdr:from>
    <xdr:ext cx="304800" cy="298449"/>
    <xdr:sp macro="" textlink="">
      <xdr:nvSpPr>
        <xdr:cNvPr id="140" name="avatar">
          <a:extLst>
            <a:ext uri="{FF2B5EF4-FFF2-40B4-BE49-F238E27FC236}">
              <a16:creationId xmlns:a16="http://schemas.microsoft.com/office/drawing/2014/main" id="{00000000-0008-0000-0100-00008C000000}"/>
            </a:ext>
          </a:extLst>
        </xdr:cNvPr>
        <xdr:cNvSpPr>
          <a:spLocks noChangeAspect="1" noChangeArrowheads="1"/>
        </xdr:cNvSpPr>
      </xdr:nvSpPr>
      <xdr:spPr bwMode="auto">
        <a:xfrm>
          <a:off x="0" y="2457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49</xdr:row>
      <xdr:rowOff>0</xdr:rowOff>
    </xdr:from>
    <xdr:ext cx="304800" cy="304701"/>
    <xdr:sp macro="" textlink="">
      <xdr:nvSpPr>
        <xdr:cNvPr id="141" name="avatar">
          <a:extLst>
            <a:ext uri="{FF2B5EF4-FFF2-40B4-BE49-F238E27FC236}">
              <a16:creationId xmlns:a16="http://schemas.microsoft.com/office/drawing/2014/main" id="{00000000-0008-0000-0100-00008D000000}"/>
            </a:ext>
          </a:extLst>
        </xdr:cNvPr>
        <xdr:cNvSpPr>
          <a:spLocks noChangeAspect="1" noChangeArrowheads="1"/>
        </xdr:cNvSpPr>
      </xdr:nvSpPr>
      <xdr:spPr bwMode="auto">
        <a:xfrm>
          <a:off x="0" y="2457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49</xdr:row>
      <xdr:rowOff>0</xdr:rowOff>
    </xdr:from>
    <xdr:ext cx="304800" cy="302259"/>
    <xdr:sp macro="" textlink="">
      <xdr:nvSpPr>
        <xdr:cNvPr id="142" name="avatar">
          <a:extLst>
            <a:ext uri="{FF2B5EF4-FFF2-40B4-BE49-F238E27FC236}">
              <a16:creationId xmlns:a16="http://schemas.microsoft.com/office/drawing/2014/main" id="{00000000-0008-0000-0100-00008E000000}"/>
            </a:ext>
          </a:extLst>
        </xdr:cNvPr>
        <xdr:cNvSpPr>
          <a:spLocks noChangeAspect="1" noChangeArrowheads="1"/>
        </xdr:cNvSpPr>
      </xdr:nvSpPr>
      <xdr:spPr bwMode="auto">
        <a:xfrm>
          <a:off x="0" y="2457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49</xdr:row>
      <xdr:rowOff>0</xdr:rowOff>
    </xdr:from>
    <xdr:ext cx="304800" cy="304701"/>
    <xdr:sp macro="" textlink="">
      <xdr:nvSpPr>
        <xdr:cNvPr id="143" name="avatar">
          <a:extLst>
            <a:ext uri="{FF2B5EF4-FFF2-40B4-BE49-F238E27FC236}">
              <a16:creationId xmlns:a16="http://schemas.microsoft.com/office/drawing/2014/main" id="{00000000-0008-0000-0100-00008F000000}"/>
            </a:ext>
          </a:extLst>
        </xdr:cNvPr>
        <xdr:cNvSpPr>
          <a:spLocks noChangeAspect="1" noChangeArrowheads="1"/>
        </xdr:cNvSpPr>
      </xdr:nvSpPr>
      <xdr:spPr bwMode="auto">
        <a:xfrm>
          <a:off x="0" y="2457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xdr:row>
      <xdr:rowOff>0</xdr:rowOff>
    </xdr:from>
    <xdr:ext cx="304800" cy="298449"/>
    <xdr:sp macro="" textlink="">
      <xdr:nvSpPr>
        <xdr:cNvPr id="144" name="avatar">
          <a:extLst>
            <a:ext uri="{FF2B5EF4-FFF2-40B4-BE49-F238E27FC236}">
              <a16:creationId xmlns:a16="http://schemas.microsoft.com/office/drawing/2014/main" id="{00000000-0008-0000-0100-000090000000}"/>
            </a:ext>
          </a:extLst>
        </xdr:cNvPr>
        <xdr:cNvSpPr>
          <a:spLocks noChangeAspect="1" noChangeArrowheads="1"/>
        </xdr:cNvSpPr>
      </xdr:nvSpPr>
      <xdr:spPr bwMode="auto">
        <a:xfrm>
          <a:off x="0" y="26193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xdr:row>
      <xdr:rowOff>0</xdr:rowOff>
    </xdr:from>
    <xdr:ext cx="304800" cy="304701"/>
    <xdr:sp macro="" textlink="">
      <xdr:nvSpPr>
        <xdr:cNvPr id="145" name="avatar">
          <a:extLst>
            <a:ext uri="{FF2B5EF4-FFF2-40B4-BE49-F238E27FC236}">
              <a16:creationId xmlns:a16="http://schemas.microsoft.com/office/drawing/2014/main" id="{00000000-0008-0000-0100-000091000000}"/>
            </a:ext>
          </a:extLst>
        </xdr:cNvPr>
        <xdr:cNvSpPr>
          <a:spLocks noChangeAspect="1" noChangeArrowheads="1"/>
        </xdr:cNvSpPr>
      </xdr:nvSpPr>
      <xdr:spPr bwMode="auto">
        <a:xfrm>
          <a:off x="0" y="26193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xdr:row>
      <xdr:rowOff>0</xdr:rowOff>
    </xdr:from>
    <xdr:ext cx="304800" cy="299084"/>
    <xdr:sp macro="" textlink="">
      <xdr:nvSpPr>
        <xdr:cNvPr id="146" name="avatar">
          <a:extLst>
            <a:ext uri="{FF2B5EF4-FFF2-40B4-BE49-F238E27FC236}">
              <a16:creationId xmlns:a16="http://schemas.microsoft.com/office/drawing/2014/main" id="{00000000-0008-0000-0100-000092000000}"/>
            </a:ext>
          </a:extLst>
        </xdr:cNvPr>
        <xdr:cNvSpPr>
          <a:spLocks noChangeAspect="1" noChangeArrowheads="1"/>
        </xdr:cNvSpPr>
      </xdr:nvSpPr>
      <xdr:spPr bwMode="auto">
        <a:xfrm>
          <a:off x="0" y="26193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xdr:row>
      <xdr:rowOff>0</xdr:rowOff>
    </xdr:from>
    <xdr:ext cx="304800" cy="295274"/>
    <xdr:sp macro="" textlink="">
      <xdr:nvSpPr>
        <xdr:cNvPr id="147" name="avatar">
          <a:extLst>
            <a:ext uri="{FF2B5EF4-FFF2-40B4-BE49-F238E27FC236}">
              <a16:creationId xmlns:a16="http://schemas.microsoft.com/office/drawing/2014/main" id="{00000000-0008-0000-0100-000093000000}"/>
            </a:ext>
          </a:extLst>
        </xdr:cNvPr>
        <xdr:cNvSpPr>
          <a:spLocks noChangeAspect="1" noChangeArrowheads="1"/>
        </xdr:cNvSpPr>
      </xdr:nvSpPr>
      <xdr:spPr bwMode="auto">
        <a:xfrm>
          <a:off x="0" y="26193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xdr:row>
      <xdr:rowOff>0</xdr:rowOff>
    </xdr:from>
    <xdr:ext cx="304800" cy="298449"/>
    <xdr:sp macro="" textlink="">
      <xdr:nvSpPr>
        <xdr:cNvPr id="148" name="avatar">
          <a:extLst>
            <a:ext uri="{FF2B5EF4-FFF2-40B4-BE49-F238E27FC236}">
              <a16:creationId xmlns:a16="http://schemas.microsoft.com/office/drawing/2014/main" id="{00000000-0008-0000-0100-000094000000}"/>
            </a:ext>
          </a:extLst>
        </xdr:cNvPr>
        <xdr:cNvSpPr>
          <a:spLocks noChangeAspect="1" noChangeArrowheads="1"/>
        </xdr:cNvSpPr>
      </xdr:nvSpPr>
      <xdr:spPr bwMode="auto">
        <a:xfrm>
          <a:off x="0" y="26193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xdr:row>
      <xdr:rowOff>0</xdr:rowOff>
    </xdr:from>
    <xdr:ext cx="304800" cy="304701"/>
    <xdr:sp macro="" textlink="">
      <xdr:nvSpPr>
        <xdr:cNvPr id="149" name="avatar">
          <a:extLst>
            <a:ext uri="{FF2B5EF4-FFF2-40B4-BE49-F238E27FC236}">
              <a16:creationId xmlns:a16="http://schemas.microsoft.com/office/drawing/2014/main" id="{00000000-0008-0000-0100-000095000000}"/>
            </a:ext>
          </a:extLst>
        </xdr:cNvPr>
        <xdr:cNvSpPr>
          <a:spLocks noChangeAspect="1" noChangeArrowheads="1"/>
        </xdr:cNvSpPr>
      </xdr:nvSpPr>
      <xdr:spPr bwMode="auto">
        <a:xfrm>
          <a:off x="0" y="26193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xdr:row>
      <xdr:rowOff>0</xdr:rowOff>
    </xdr:from>
    <xdr:ext cx="304800" cy="302259"/>
    <xdr:sp macro="" textlink="">
      <xdr:nvSpPr>
        <xdr:cNvPr id="150" name="avatar">
          <a:extLst>
            <a:ext uri="{FF2B5EF4-FFF2-40B4-BE49-F238E27FC236}">
              <a16:creationId xmlns:a16="http://schemas.microsoft.com/office/drawing/2014/main" id="{00000000-0008-0000-0100-000096000000}"/>
            </a:ext>
          </a:extLst>
        </xdr:cNvPr>
        <xdr:cNvSpPr>
          <a:spLocks noChangeAspect="1" noChangeArrowheads="1"/>
        </xdr:cNvSpPr>
      </xdr:nvSpPr>
      <xdr:spPr bwMode="auto">
        <a:xfrm>
          <a:off x="0" y="26193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xdr:row>
      <xdr:rowOff>0</xdr:rowOff>
    </xdr:from>
    <xdr:ext cx="304800" cy="304701"/>
    <xdr:sp macro="" textlink="">
      <xdr:nvSpPr>
        <xdr:cNvPr id="151" name="avatar">
          <a:extLst>
            <a:ext uri="{FF2B5EF4-FFF2-40B4-BE49-F238E27FC236}">
              <a16:creationId xmlns:a16="http://schemas.microsoft.com/office/drawing/2014/main" id="{00000000-0008-0000-0100-000097000000}"/>
            </a:ext>
          </a:extLst>
        </xdr:cNvPr>
        <xdr:cNvSpPr>
          <a:spLocks noChangeAspect="1" noChangeArrowheads="1"/>
        </xdr:cNvSpPr>
      </xdr:nvSpPr>
      <xdr:spPr bwMode="auto">
        <a:xfrm>
          <a:off x="0" y="26193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42</xdr:row>
      <xdr:rowOff>0</xdr:rowOff>
    </xdr:from>
    <xdr:ext cx="304800" cy="298449"/>
    <xdr:sp macro="" textlink="">
      <xdr:nvSpPr>
        <xdr:cNvPr id="152" name="avatar">
          <a:extLst>
            <a:ext uri="{FF2B5EF4-FFF2-40B4-BE49-F238E27FC236}">
              <a16:creationId xmlns:a16="http://schemas.microsoft.com/office/drawing/2014/main" id="{00000000-0008-0000-0100-000098000000}"/>
            </a:ext>
          </a:extLst>
        </xdr:cNvPr>
        <xdr:cNvSpPr>
          <a:spLocks noChangeAspect="1" noChangeArrowheads="1"/>
        </xdr:cNvSpPr>
      </xdr:nvSpPr>
      <xdr:spPr bwMode="auto">
        <a:xfrm>
          <a:off x="0" y="164782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42</xdr:row>
      <xdr:rowOff>0</xdr:rowOff>
    </xdr:from>
    <xdr:ext cx="304800" cy="304701"/>
    <xdr:sp macro="" textlink="">
      <xdr:nvSpPr>
        <xdr:cNvPr id="153" name="avatar">
          <a:extLst>
            <a:ext uri="{FF2B5EF4-FFF2-40B4-BE49-F238E27FC236}">
              <a16:creationId xmlns:a16="http://schemas.microsoft.com/office/drawing/2014/main" id="{00000000-0008-0000-0100-000099000000}"/>
            </a:ext>
          </a:extLst>
        </xdr:cNvPr>
        <xdr:cNvSpPr>
          <a:spLocks noChangeAspect="1" noChangeArrowheads="1"/>
        </xdr:cNvSpPr>
      </xdr:nvSpPr>
      <xdr:spPr bwMode="auto">
        <a:xfrm>
          <a:off x="0" y="16478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42</xdr:row>
      <xdr:rowOff>0</xdr:rowOff>
    </xdr:from>
    <xdr:ext cx="304800" cy="299084"/>
    <xdr:sp macro="" textlink="">
      <xdr:nvSpPr>
        <xdr:cNvPr id="154" name="avatar">
          <a:extLst>
            <a:ext uri="{FF2B5EF4-FFF2-40B4-BE49-F238E27FC236}">
              <a16:creationId xmlns:a16="http://schemas.microsoft.com/office/drawing/2014/main" id="{00000000-0008-0000-0100-00009A000000}"/>
            </a:ext>
          </a:extLst>
        </xdr:cNvPr>
        <xdr:cNvSpPr>
          <a:spLocks noChangeAspect="1" noChangeArrowheads="1"/>
        </xdr:cNvSpPr>
      </xdr:nvSpPr>
      <xdr:spPr bwMode="auto">
        <a:xfrm>
          <a:off x="0" y="164782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42</xdr:row>
      <xdr:rowOff>0</xdr:rowOff>
    </xdr:from>
    <xdr:ext cx="304800" cy="295274"/>
    <xdr:sp macro="" textlink="">
      <xdr:nvSpPr>
        <xdr:cNvPr id="155" name="avatar">
          <a:extLst>
            <a:ext uri="{FF2B5EF4-FFF2-40B4-BE49-F238E27FC236}">
              <a16:creationId xmlns:a16="http://schemas.microsoft.com/office/drawing/2014/main" id="{00000000-0008-0000-0100-00009B000000}"/>
            </a:ext>
          </a:extLst>
        </xdr:cNvPr>
        <xdr:cNvSpPr>
          <a:spLocks noChangeAspect="1" noChangeArrowheads="1"/>
        </xdr:cNvSpPr>
      </xdr:nvSpPr>
      <xdr:spPr bwMode="auto">
        <a:xfrm>
          <a:off x="0" y="164782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42</xdr:row>
      <xdr:rowOff>0</xdr:rowOff>
    </xdr:from>
    <xdr:ext cx="304800" cy="298449"/>
    <xdr:sp macro="" textlink="">
      <xdr:nvSpPr>
        <xdr:cNvPr id="156" name="avatar">
          <a:extLst>
            <a:ext uri="{FF2B5EF4-FFF2-40B4-BE49-F238E27FC236}">
              <a16:creationId xmlns:a16="http://schemas.microsoft.com/office/drawing/2014/main" id="{00000000-0008-0000-0100-00009C000000}"/>
            </a:ext>
          </a:extLst>
        </xdr:cNvPr>
        <xdr:cNvSpPr>
          <a:spLocks noChangeAspect="1" noChangeArrowheads="1"/>
        </xdr:cNvSpPr>
      </xdr:nvSpPr>
      <xdr:spPr bwMode="auto">
        <a:xfrm>
          <a:off x="0" y="164782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42</xdr:row>
      <xdr:rowOff>0</xdr:rowOff>
    </xdr:from>
    <xdr:ext cx="304800" cy="304701"/>
    <xdr:sp macro="" textlink="">
      <xdr:nvSpPr>
        <xdr:cNvPr id="157" name="avatar">
          <a:extLst>
            <a:ext uri="{FF2B5EF4-FFF2-40B4-BE49-F238E27FC236}">
              <a16:creationId xmlns:a16="http://schemas.microsoft.com/office/drawing/2014/main" id="{00000000-0008-0000-0100-00009D000000}"/>
            </a:ext>
          </a:extLst>
        </xdr:cNvPr>
        <xdr:cNvSpPr>
          <a:spLocks noChangeAspect="1" noChangeArrowheads="1"/>
        </xdr:cNvSpPr>
      </xdr:nvSpPr>
      <xdr:spPr bwMode="auto">
        <a:xfrm>
          <a:off x="0" y="16478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42</xdr:row>
      <xdr:rowOff>0</xdr:rowOff>
    </xdr:from>
    <xdr:ext cx="304800" cy="302259"/>
    <xdr:sp macro="" textlink="">
      <xdr:nvSpPr>
        <xdr:cNvPr id="158" name="avatar">
          <a:extLst>
            <a:ext uri="{FF2B5EF4-FFF2-40B4-BE49-F238E27FC236}">
              <a16:creationId xmlns:a16="http://schemas.microsoft.com/office/drawing/2014/main" id="{00000000-0008-0000-0100-00009E000000}"/>
            </a:ext>
          </a:extLst>
        </xdr:cNvPr>
        <xdr:cNvSpPr>
          <a:spLocks noChangeAspect="1" noChangeArrowheads="1"/>
        </xdr:cNvSpPr>
      </xdr:nvSpPr>
      <xdr:spPr bwMode="auto">
        <a:xfrm>
          <a:off x="0" y="164782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42</xdr:row>
      <xdr:rowOff>0</xdr:rowOff>
    </xdr:from>
    <xdr:ext cx="304800" cy="304701"/>
    <xdr:sp macro="" textlink="">
      <xdr:nvSpPr>
        <xdr:cNvPr id="159" name="avatar">
          <a:extLst>
            <a:ext uri="{FF2B5EF4-FFF2-40B4-BE49-F238E27FC236}">
              <a16:creationId xmlns:a16="http://schemas.microsoft.com/office/drawing/2014/main" id="{00000000-0008-0000-0100-00009F000000}"/>
            </a:ext>
          </a:extLst>
        </xdr:cNvPr>
        <xdr:cNvSpPr>
          <a:spLocks noChangeAspect="1" noChangeArrowheads="1"/>
        </xdr:cNvSpPr>
      </xdr:nvSpPr>
      <xdr:spPr bwMode="auto">
        <a:xfrm>
          <a:off x="0" y="16478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109</xdr:row>
      <xdr:rowOff>0</xdr:rowOff>
    </xdr:from>
    <xdr:to>
      <xdr:col>1</xdr:col>
      <xdr:colOff>304800</xdr:colOff>
      <xdr:row>110</xdr:row>
      <xdr:rowOff>118428</xdr:rowOff>
    </xdr:to>
    <xdr:sp macro="" textlink="">
      <xdr:nvSpPr>
        <xdr:cNvPr id="15" name="avatar">
          <a:extLst>
            <a:ext uri="{FF2B5EF4-FFF2-40B4-BE49-F238E27FC236}">
              <a16:creationId xmlns:a16="http://schemas.microsoft.com/office/drawing/2014/main" id="{6A8D98A7-ACF7-4B89-AEBA-B9F7964E4B8C}"/>
            </a:ext>
          </a:extLst>
        </xdr:cNvPr>
        <xdr:cNvSpPr>
          <a:spLocks noChangeAspect="1" noChangeArrowheads="1"/>
        </xdr:cNvSpPr>
      </xdr:nvSpPr>
      <xdr:spPr bwMode="auto">
        <a:xfrm>
          <a:off x="3876675" y="1314450"/>
          <a:ext cx="304800" cy="28416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xdr:row>
      <xdr:rowOff>0</xdr:rowOff>
    </xdr:from>
    <xdr:to>
      <xdr:col>0</xdr:col>
      <xdr:colOff>304800</xdr:colOff>
      <xdr:row>110</xdr:row>
      <xdr:rowOff>117792</xdr:rowOff>
    </xdr:to>
    <xdr:sp macro="" textlink="">
      <xdr:nvSpPr>
        <xdr:cNvPr id="160" name="avatar">
          <a:extLst>
            <a:ext uri="{FF2B5EF4-FFF2-40B4-BE49-F238E27FC236}">
              <a16:creationId xmlns:a16="http://schemas.microsoft.com/office/drawing/2014/main" id="{5B9338C1-E8EB-4211-BDD5-D71763BB990D}"/>
            </a:ext>
          </a:extLst>
        </xdr:cNvPr>
        <xdr:cNvSpPr>
          <a:spLocks noChangeAspect="1" noChangeArrowheads="1"/>
        </xdr:cNvSpPr>
      </xdr:nvSpPr>
      <xdr:spPr bwMode="auto">
        <a:xfrm>
          <a:off x="0" y="131445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109</xdr:row>
      <xdr:rowOff>0</xdr:rowOff>
    </xdr:from>
    <xdr:ext cx="304800" cy="304701"/>
    <xdr:sp macro="" textlink="">
      <xdr:nvSpPr>
        <xdr:cNvPr id="161" name="avatar">
          <a:extLst>
            <a:ext uri="{FF2B5EF4-FFF2-40B4-BE49-F238E27FC236}">
              <a16:creationId xmlns:a16="http://schemas.microsoft.com/office/drawing/2014/main" id="{6E929A05-42B5-43BE-8EC7-246041F484FE}"/>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109</xdr:row>
      <xdr:rowOff>0</xdr:rowOff>
    </xdr:from>
    <xdr:to>
      <xdr:col>1</xdr:col>
      <xdr:colOff>304800</xdr:colOff>
      <xdr:row>110</xdr:row>
      <xdr:rowOff>117792</xdr:rowOff>
    </xdr:to>
    <xdr:sp macro="" textlink="">
      <xdr:nvSpPr>
        <xdr:cNvPr id="162" name="avatar">
          <a:extLst>
            <a:ext uri="{FF2B5EF4-FFF2-40B4-BE49-F238E27FC236}">
              <a16:creationId xmlns:a16="http://schemas.microsoft.com/office/drawing/2014/main" id="{129C095E-E525-4B5A-B29A-876AF32C40BE}"/>
            </a:ext>
          </a:extLst>
        </xdr:cNvPr>
        <xdr:cNvSpPr>
          <a:spLocks noChangeAspect="1" noChangeArrowheads="1"/>
        </xdr:cNvSpPr>
      </xdr:nvSpPr>
      <xdr:spPr bwMode="auto">
        <a:xfrm>
          <a:off x="3876675" y="1314450"/>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xdr:row>
      <xdr:rowOff>0</xdr:rowOff>
    </xdr:from>
    <xdr:to>
      <xdr:col>0</xdr:col>
      <xdr:colOff>304800</xdr:colOff>
      <xdr:row>110</xdr:row>
      <xdr:rowOff>117792</xdr:rowOff>
    </xdr:to>
    <xdr:sp macro="" textlink="">
      <xdr:nvSpPr>
        <xdr:cNvPr id="163" name="avatar">
          <a:extLst>
            <a:ext uri="{FF2B5EF4-FFF2-40B4-BE49-F238E27FC236}">
              <a16:creationId xmlns:a16="http://schemas.microsoft.com/office/drawing/2014/main" id="{90215EE4-8362-4C32-BF25-28A10E50C847}"/>
            </a:ext>
          </a:extLst>
        </xdr:cNvPr>
        <xdr:cNvSpPr>
          <a:spLocks noChangeAspect="1" noChangeArrowheads="1"/>
        </xdr:cNvSpPr>
      </xdr:nvSpPr>
      <xdr:spPr bwMode="auto">
        <a:xfrm>
          <a:off x="0" y="1314450"/>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109</xdr:row>
      <xdr:rowOff>0</xdr:rowOff>
    </xdr:from>
    <xdr:ext cx="304800" cy="295274"/>
    <xdr:sp macro="" textlink="">
      <xdr:nvSpPr>
        <xdr:cNvPr id="164" name="avatar">
          <a:extLst>
            <a:ext uri="{FF2B5EF4-FFF2-40B4-BE49-F238E27FC236}">
              <a16:creationId xmlns:a16="http://schemas.microsoft.com/office/drawing/2014/main" id="{2B829817-87CB-4C59-84F5-9E83EE4EE810}"/>
            </a:ext>
          </a:extLst>
        </xdr:cNvPr>
        <xdr:cNvSpPr>
          <a:spLocks noChangeAspect="1" noChangeArrowheads="1"/>
        </xdr:cNvSpPr>
      </xdr:nvSpPr>
      <xdr:spPr bwMode="auto">
        <a:xfrm>
          <a:off x="3876675"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5274"/>
    <xdr:sp macro="" textlink="">
      <xdr:nvSpPr>
        <xdr:cNvPr id="165" name="avatar">
          <a:extLst>
            <a:ext uri="{FF2B5EF4-FFF2-40B4-BE49-F238E27FC236}">
              <a16:creationId xmlns:a16="http://schemas.microsoft.com/office/drawing/2014/main" id="{32A39474-D2D3-44CF-BA83-CA725E910DB8}"/>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109</xdr:row>
      <xdr:rowOff>0</xdr:rowOff>
    </xdr:from>
    <xdr:to>
      <xdr:col>1</xdr:col>
      <xdr:colOff>304800</xdr:colOff>
      <xdr:row>110</xdr:row>
      <xdr:rowOff>118456</xdr:rowOff>
    </xdr:to>
    <xdr:sp macro="" textlink="">
      <xdr:nvSpPr>
        <xdr:cNvPr id="166" name="avatar">
          <a:extLst>
            <a:ext uri="{FF2B5EF4-FFF2-40B4-BE49-F238E27FC236}">
              <a16:creationId xmlns:a16="http://schemas.microsoft.com/office/drawing/2014/main" id="{5D7CA58F-FF8E-4723-9A76-93E1CAC5A823}"/>
            </a:ext>
          </a:extLst>
        </xdr:cNvPr>
        <xdr:cNvSpPr>
          <a:spLocks noChangeAspect="1" noChangeArrowheads="1"/>
        </xdr:cNvSpPr>
      </xdr:nvSpPr>
      <xdr:spPr bwMode="auto">
        <a:xfrm>
          <a:off x="3876675" y="1314450"/>
          <a:ext cx="304800" cy="2880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xdr:row>
      <xdr:rowOff>0</xdr:rowOff>
    </xdr:from>
    <xdr:to>
      <xdr:col>0</xdr:col>
      <xdr:colOff>304800</xdr:colOff>
      <xdr:row>110</xdr:row>
      <xdr:rowOff>117792</xdr:rowOff>
    </xdr:to>
    <xdr:sp macro="" textlink="">
      <xdr:nvSpPr>
        <xdr:cNvPr id="167" name="avatar">
          <a:extLst>
            <a:ext uri="{FF2B5EF4-FFF2-40B4-BE49-F238E27FC236}">
              <a16:creationId xmlns:a16="http://schemas.microsoft.com/office/drawing/2014/main" id="{F1C848A2-E453-4F79-94B3-1E75269BA65B}"/>
            </a:ext>
          </a:extLst>
        </xdr:cNvPr>
        <xdr:cNvSpPr>
          <a:spLocks noChangeAspect="1" noChangeArrowheads="1"/>
        </xdr:cNvSpPr>
      </xdr:nvSpPr>
      <xdr:spPr bwMode="auto">
        <a:xfrm>
          <a:off x="0" y="131445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109</xdr:row>
      <xdr:rowOff>0</xdr:rowOff>
    </xdr:from>
    <xdr:ext cx="304800" cy="304701"/>
    <xdr:sp macro="" textlink="">
      <xdr:nvSpPr>
        <xdr:cNvPr id="168" name="avatar">
          <a:extLst>
            <a:ext uri="{FF2B5EF4-FFF2-40B4-BE49-F238E27FC236}">
              <a16:creationId xmlns:a16="http://schemas.microsoft.com/office/drawing/2014/main" id="{FB6F99A8-0E19-4DAE-9427-90DDFDB34170}"/>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109</xdr:row>
      <xdr:rowOff>0</xdr:rowOff>
    </xdr:from>
    <xdr:to>
      <xdr:col>1</xdr:col>
      <xdr:colOff>304800</xdr:colOff>
      <xdr:row>110</xdr:row>
      <xdr:rowOff>148301</xdr:rowOff>
    </xdr:to>
    <xdr:sp macro="" textlink="">
      <xdr:nvSpPr>
        <xdr:cNvPr id="169" name="avatar">
          <a:extLst>
            <a:ext uri="{FF2B5EF4-FFF2-40B4-BE49-F238E27FC236}">
              <a16:creationId xmlns:a16="http://schemas.microsoft.com/office/drawing/2014/main" id="{BB8AB4F3-4CF6-4F1E-8057-D3466C7AF62D}"/>
            </a:ext>
          </a:extLst>
        </xdr:cNvPr>
        <xdr:cNvSpPr>
          <a:spLocks noChangeAspect="1" noChangeArrowheads="1"/>
        </xdr:cNvSpPr>
      </xdr:nvSpPr>
      <xdr:spPr bwMode="auto">
        <a:xfrm>
          <a:off x="3876675" y="1314450"/>
          <a:ext cx="304800" cy="30641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xdr:row>
      <xdr:rowOff>0</xdr:rowOff>
    </xdr:from>
    <xdr:to>
      <xdr:col>0</xdr:col>
      <xdr:colOff>304800</xdr:colOff>
      <xdr:row>110</xdr:row>
      <xdr:rowOff>119062</xdr:rowOff>
    </xdr:to>
    <xdr:sp macro="" textlink="">
      <xdr:nvSpPr>
        <xdr:cNvPr id="170" name="avatar">
          <a:extLst>
            <a:ext uri="{FF2B5EF4-FFF2-40B4-BE49-F238E27FC236}">
              <a16:creationId xmlns:a16="http://schemas.microsoft.com/office/drawing/2014/main" id="{AABCE57A-FD33-49A3-9EEF-96A83C3731BA}"/>
            </a:ext>
          </a:extLst>
        </xdr:cNvPr>
        <xdr:cNvSpPr>
          <a:spLocks noChangeAspect="1" noChangeArrowheads="1"/>
        </xdr:cNvSpPr>
      </xdr:nvSpPr>
      <xdr:spPr bwMode="auto">
        <a:xfrm>
          <a:off x="0" y="1314450"/>
          <a:ext cx="304800" cy="28479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109</xdr:row>
      <xdr:rowOff>0</xdr:rowOff>
    </xdr:from>
    <xdr:ext cx="304800" cy="304701"/>
    <xdr:sp macro="" textlink="">
      <xdr:nvSpPr>
        <xdr:cNvPr id="171" name="avatar">
          <a:extLst>
            <a:ext uri="{FF2B5EF4-FFF2-40B4-BE49-F238E27FC236}">
              <a16:creationId xmlns:a16="http://schemas.microsoft.com/office/drawing/2014/main" id="{2B4A3FB5-BD99-412F-8ECD-C33CFCA64C88}"/>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109</xdr:row>
      <xdr:rowOff>0</xdr:rowOff>
    </xdr:from>
    <xdr:to>
      <xdr:col>1</xdr:col>
      <xdr:colOff>304800</xdr:colOff>
      <xdr:row>110</xdr:row>
      <xdr:rowOff>149225</xdr:rowOff>
    </xdr:to>
    <xdr:sp macro="" textlink="">
      <xdr:nvSpPr>
        <xdr:cNvPr id="172" name="avatar">
          <a:extLst>
            <a:ext uri="{FF2B5EF4-FFF2-40B4-BE49-F238E27FC236}">
              <a16:creationId xmlns:a16="http://schemas.microsoft.com/office/drawing/2014/main" id="{A1DE61AF-5684-49A6-B6B4-1B88A1CC876F}"/>
            </a:ext>
          </a:extLst>
        </xdr:cNvPr>
        <xdr:cNvSpPr>
          <a:spLocks noChangeAspect="1" noChangeArrowheads="1"/>
        </xdr:cNvSpPr>
      </xdr:nvSpPr>
      <xdr:spPr bwMode="auto">
        <a:xfrm>
          <a:off x="3876675" y="1314450"/>
          <a:ext cx="304800" cy="2940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xdr:row>
      <xdr:rowOff>0</xdr:rowOff>
    </xdr:from>
    <xdr:to>
      <xdr:col>0</xdr:col>
      <xdr:colOff>304800</xdr:colOff>
      <xdr:row>110</xdr:row>
      <xdr:rowOff>147954</xdr:rowOff>
    </xdr:to>
    <xdr:sp macro="" textlink="">
      <xdr:nvSpPr>
        <xdr:cNvPr id="173" name="avatar">
          <a:extLst>
            <a:ext uri="{FF2B5EF4-FFF2-40B4-BE49-F238E27FC236}">
              <a16:creationId xmlns:a16="http://schemas.microsoft.com/office/drawing/2014/main" id="{F0C9DD45-1C56-4698-9C8D-F9766632C5A6}"/>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109</xdr:row>
      <xdr:rowOff>0</xdr:rowOff>
    </xdr:from>
    <xdr:ext cx="304800" cy="304701"/>
    <xdr:sp macro="" textlink="">
      <xdr:nvSpPr>
        <xdr:cNvPr id="174" name="avatar">
          <a:extLst>
            <a:ext uri="{FF2B5EF4-FFF2-40B4-BE49-F238E27FC236}">
              <a16:creationId xmlns:a16="http://schemas.microsoft.com/office/drawing/2014/main" id="{E1E14BD3-8918-43E4-93F9-CCC28CA1BE4F}"/>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109</xdr:row>
      <xdr:rowOff>0</xdr:rowOff>
    </xdr:from>
    <xdr:to>
      <xdr:col>1</xdr:col>
      <xdr:colOff>304800</xdr:colOff>
      <xdr:row>110</xdr:row>
      <xdr:rowOff>149224</xdr:rowOff>
    </xdr:to>
    <xdr:sp macro="" textlink="">
      <xdr:nvSpPr>
        <xdr:cNvPr id="175" name="avatar">
          <a:extLst>
            <a:ext uri="{FF2B5EF4-FFF2-40B4-BE49-F238E27FC236}">
              <a16:creationId xmlns:a16="http://schemas.microsoft.com/office/drawing/2014/main" id="{D3A7AB9D-8409-4D7B-9C2C-79AB65DDDB7C}"/>
            </a:ext>
          </a:extLst>
        </xdr:cNvPr>
        <xdr:cNvSpPr>
          <a:spLocks noChangeAspect="1" noChangeArrowheads="1"/>
        </xdr:cNvSpPr>
      </xdr:nvSpPr>
      <xdr:spPr bwMode="auto">
        <a:xfrm>
          <a:off x="3876675" y="1314450"/>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xdr:row>
      <xdr:rowOff>0</xdr:rowOff>
    </xdr:from>
    <xdr:to>
      <xdr:col>0</xdr:col>
      <xdr:colOff>304800</xdr:colOff>
      <xdr:row>110</xdr:row>
      <xdr:rowOff>149224</xdr:rowOff>
    </xdr:to>
    <xdr:sp macro="" textlink="">
      <xdr:nvSpPr>
        <xdr:cNvPr id="176" name="avatar">
          <a:extLst>
            <a:ext uri="{FF2B5EF4-FFF2-40B4-BE49-F238E27FC236}">
              <a16:creationId xmlns:a16="http://schemas.microsoft.com/office/drawing/2014/main" id="{42E4E459-3FA4-435C-B2B4-6BF27CF1BC8D}"/>
            </a:ext>
          </a:extLst>
        </xdr:cNvPr>
        <xdr:cNvSpPr>
          <a:spLocks noChangeAspect="1" noChangeArrowheads="1"/>
        </xdr:cNvSpPr>
      </xdr:nvSpPr>
      <xdr:spPr bwMode="auto">
        <a:xfrm>
          <a:off x="0" y="1314450"/>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109</xdr:row>
      <xdr:rowOff>0</xdr:rowOff>
    </xdr:from>
    <xdr:ext cx="304800" cy="295274"/>
    <xdr:sp macro="" textlink="">
      <xdr:nvSpPr>
        <xdr:cNvPr id="177" name="avatar">
          <a:extLst>
            <a:ext uri="{FF2B5EF4-FFF2-40B4-BE49-F238E27FC236}">
              <a16:creationId xmlns:a16="http://schemas.microsoft.com/office/drawing/2014/main" id="{87D0239D-053F-4588-9069-0FF18F704043}"/>
            </a:ext>
          </a:extLst>
        </xdr:cNvPr>
        <xdr:cNvSpPr>
          <a:spLocks noChangeAspect="1" noChangeArrowheads="1"/>
        </xdr:cNvSpPr>
      </xdr:nvSpPr>
      <xdr:spPr bwMode="auto">
        <a:xfrm>
          <a:off x="3876675"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5274"/>
    <xdr:sp macro="" textlink="">
      <xdr:nvSpPr>
        <xdr:cNvPr id="178" name="avatar">
          <a:extLst>
            <a:ext uri="{FF2B5EF4-FFF2-40B4-BE49-F238E27FC236}">
              <a16:creationId xmlns:a16="http://schemas.microsoft.com/office/drawing/2014/main" id="{80072556-B2F2-4D2D-B723-1CB53A21429B}"/>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109</xdr:row>
      <xdr:rowOff>0</xdr:rowOff>
    </xdr:from>
    <xdr:to>
      <xdr:col>1</xdr:col>
      <xdr:colOff>304800</xdr:colOff>
      <xdr:row>110</xdr:row>
      <xdr:rowOff>151793</xdr:rowOff>
    </xdr:to>
    <xdr:sp macro="" textlink="">
      <xdr:nvSpPr>
        <xdr:cNvPr id="179" name="avatar">
          <a:extLst>
            <a:ext uri="{FF2B5EF4-FFF2-40B4-BE49-F238E27FC236}">
              <a16:creationId xmlns:a16="http://schemas.microsoft.com/office/drawing/2014/main" id="{C3A037C5-B4CC-4F25-B259-8D1DA1E54F88}"/>
            </a:ext>
          </a:extLst>
        </xdr:cNvPr>
        <xdr:cNvSpPr>
          <a:spLocks noChangeAspect="1" noChangeArrowheads="1"/>
        </xdr:cNvSpPr>
      </xdr:nvSpPr>
      <xdr:spPr bwMode="auto">
        <a:xfrm>
          <a:off x="3876675" y="1314450"/>
          <a:ext cx="304800" cy="31371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xdr:row>
      <xdr:rowOff>0</xdr:rowOff>
    </xdr:from>
    <xdr:to>
      <xdr:col>0</xdr:col>
      <xdr:colOff>304800</xdr:colOff>
      <xdr:row>110</xdr:row>
      <xdr:rowOff>147954</xdr:rowOff>
    </xdr:to>
    <xdr:sp macro="" textlink="">
      <xdr:nvSpPr>
        <xdr:cNvPr id="180" name="avatar">
          <a:extLst>
            <a:ext uri="{FF2B5EF4-FFF2-40B4-BE49-F238E27FC236}">
              <a16:creationId xmlns:a16="http://schemas.microsoft.com/office/drawing/2014/main" id="{5C91AA38-3B14-4887-9546-B358ADFB011A}"/>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109</xdr:row>
      <xdr:rowOff>0</xdr:rowOff>
    </xdr:from>
    <xdr:ext cx="304800" cy="304701"/>
    <xdr:sp macro="" textlink="">
      <xdr:nvSpPr>
        <xdr:cNvPr id="181" name="avatar">
          <a:extLst>
            <a:ext uri="{FF2B5EF4-FFF2-40B4-BE49-F238E27FC236}">
              <a16:creationId xmlns:a16="http://schemas.microsoft.com/office/drawing/2014/main" id="{2D9A2E08-8647-40E4-89B3-15547B0CF576}"/>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109</xdr:row>
      <xdr:rowOff>0</xdr:rowOff>
    </xdr:from>
    <xdr:to>
      <xdr:col>1</xdr:col>
      <xdr:colOff>304800</xdr:colOff>
      <xdr:row>111</xdr:row>
      <xdr:rowOff>0</xdr:rowOff>
    </xdr:to>
    <xdr:sp macro="" textlink="">
      <xdr:nvSpPr>
        <xdr:cNvPr id="182" name="avatar">
          <a:extLst>
            <a:ext uri="{FF2B5EF4-FFF2-40B4-BE49-F238E27FC236}">
              <a16:creationId xmlns:a16="http://schemas.microsoft.com/office/drawing/2014/main" id="{FB216A8E-AB12-4A98-BF32-A63ADAE0A788}"/>
            </a:ext>
          </a:extLst>
        </xdr:cNvPr>
        <xdr:cNvSpPr>
          <a:spLocks noChangeAspect="1" noChangeArrowheads="1"/>
        </xdr:cNvSpPr>
      </xdr:nvSpPr>
      <xdr:spPr bwMode="auto">
        <a:xfrm>
          <a:off x="3876675" y="1314450"/>
          <a:ext cx="304800" cy="3238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xdr:row>
      <xdr:rowOff>0</xdr:rowOff>
    </xdr:from>
    <xdr:to>
      <xdr:col>0</xdr:col>
      <xdr:colOff>304800</xdr:colOff>
      <xdr:row>110</xdr:row>
      <xdr:rowOff>147954</xdr:rowOff>
    </xdr:to>
    <xdr:sp macro="" textlink="">
      <xdr:nvSpPr>
        <xdr:cNvPr id="183" name="avatar">
          <a:extLst>
            <a:ext uri="{FF2B5EF4-FFF2-40B4-BE49-F238E27FC236}">
              <a16:creationId xmlns:a16="http://schemas.microsoft.com/office/drawing/2014/main" id="{64C03BD2-325A-4D0D-877E-7DE1B7572AF4}"/>
            </a:ext>
          </a:extLst>
        </xdr:cNvPr>
        <xdr:cNvSpPr>
          <a:spLocks noChangeAspect="1" noChangeArrowheads="1"/>
        </xdr:cNvSpPr>
      </xdr:nvSpPr>
      <xdr:spPr bwMode="auto">
        <a:xfrm>
          <a:off x="0" y="1314450"/>
          <a:ext cx="304800" cy="2946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109</xdr:row>
      <xdr:rowOff>0</xdr:rowOff>
    </xdr:from>
    <xdr:ext cx="304800" cy="304701"/>
    <xdr:sp macro="" textlink="">
      <xdr:nvSpPr>
        <xdr:cNvPr id="184" name="avatar">
          <a:extLst>
            <a:ext uri="{FF2B5EF4-FFF2-40B4-BE49-F238E27FC236}">
              <a16:creationId xmlns:a16="http://schemas.microsoft.com/office/drawing/2014/main" id="{512AA034-581E-4838-AD07-0F18098EE6C5}"/>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185" name="avatar">
          <a:extLst>
            <a:ext uri="{FF2B5EF4-FFF2-40B4-BE49-F238E27FC236}">
              <a16:creationId xmlns:a16="http://schemas.microsoft.com/office/drawing/2014/main" id="{1F1B4C96-6714-492E-AB4D-AF6FDCF59B8E}"/>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186" name="avatar">
          <a:extLst>
            <a:ext uri="{FF2B5EF4-FFF2-40B4-BE49-F238E27FC236}">
              <a16:creationId xmlns:a16="http://schemas.microsoft.com/office/drawing/2014/main" id="{FBBDCA5E-0C9D-4E9E-9FE1-3656B914E5DD}"/>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9084"/>
    <xdr:sp macro="" textlink="">
      <xdr:nvSpPr>
        <xdr:cNvPr id="187" name="avatar">
          <a:extLst>
            <a:ext uri="{FF2B5EF4-FFF2-40B4-BE49-F238E27FC236}">
              <a16:creationId xmlns:a16="http://schemas.microsoft.com/office/drawing/2014/main" id="{0689A8C0-0D04-43D8-8DC6-E3AB004FE144}"/>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5274"/>
    <xdr:sp macro="" textlink="">
      <xdr:nvSpPr>
        <xdr:cNvPr id="188" name="avatar">
          <a:extLst>
            <a:ext uri="{FF2B5EF4-FFF2-40B4-BE49-F238E27FC236}">
              <a16:creationId xmlns:a16="http://schemas.microsoft.com/office/drawing/2014/main" id="{9BC488BB-E19E-40AD-B9D3-D2F6F2226907}"/>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189" name="avatar">
          <a:extLst>
            <a:ext uri="{FF2B5EF4-FFF2-40B4-BE49-F238E27FC236}">
              <a16:creationId xmlns:a16="http://schemas.microsoft.com/office/drawing/2014/main" id="{8EEA3784-3170-4120-8E25-8CEFF55848A2}"/>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190" name="avatar">
          <a:extLst>
            <a:ext uri="{FF2B5EF4-FFF2-40B4-BE49-F238E27FC236}">
              <a16:creationId xmlns:a16="http://schemas.microsoft.com/office/drawing/2014/main" id="{7AD9ED24-19B4-4031-A0D1-D25DCC4D8B12}"/>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2259"/>
    <xdr:sp macro="" textlink="">
      <xdr:nvSpPr>
        <xdr:cNvPr id="191" name="avatar">
          <a:extLst>
            <a:ext uri="{FF2B5EF4-FFF2-40B4-BE49-F238E27FC236}">
              <a16:creationId xmlns:a16="http://schemas.microsoft.com/office/drawing/2014/main" id="{59CD8546-6ACF-4B32-8EDB-FC18D667093B}"/>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560" name="avatar">
          <a:extLst>
            <a:ext uri="{FF2B5EF4-FFF2-40B4-BE49-F238E27FC236}">
              <a16:creationId xmlns:a16="http://schemas.microsoft.com/office/drawing/2014/main" id="{1AA83171-38DA-421C-AD24-69C75857AFF8}"/>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561" name="avatar">
          <a:extLst>
            <a:ext uri="{FF2B5EF4-FFF2-40B4-BE49-F238E27FC236}">
              <a16:creationId xmlns:a16="http://schemas.microsoft.com/office/drawing/2014/main" id="{9F195D28-A2AE-4355-A654-7E796E012F93}"/>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562" name="avatar">
          <a:extLst>
            <a:ext uri="{FF2B5EF4-FFF2-40B4-BE49-F238E27FC236}">
              <a16:creationId xmlns:a16="http://schemas.microsoft.com/office/drawing/2014/main" id="{5ECD6EE7-5E69-47E4-9250-3699C75A3E0F}"/>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9084"/>
    <xdr:sp macro="" textlink="">
      <xdr:nvSpPr>
        <xdr:cNvPr id="66563" name="avatar">
          <a:extLst>
            <a:ext uri="{FF2B5EF4-FFF2-40B4-BE49-F238E27FC236}">
              <a16:creationId xmlns:a16="http://schemas.microsoft.com/office/drawing/2014/main" id="{2C80C85E-E6F3-4680-A782-47A0CE0E90B8}"/>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5274"/>
    <xdr:sp macro="" textlink="">
      <xdr:nvSpPr>
        <xdr:cNvPr id="66564" name="avatar">
          <a:extLst>
            <a:ext uri="{FF2B5EF4-FFF2-40B4-BE49-F238E27FC236}">
              <a16:creationId xmlns:a16="http://schemas.microsoft.com/office/drawing/2014/main" id="{69B1E711-3B31-47CA-8BAC-198040CA448D}"/>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565" name="avatar">
          <a:extLst>
            <a:ext uri="{FF2B5EF4-FFF2-40B4-BE49-F238E27FC236}">
              <a16:creationId xmlns:a16="http://schemas.microsoft.com/office/drawing/2014/main" id="{04C291A9-7483-4A12-8F2A-00D5A222939B}"/>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566" name="avatar">
          <a:extLst>
            <a:ext uri="{FF2B5EF4-FFF2-40B4-BE49-F238E27FC236}">
              <a16:creationId xmlns:a16="http://schemas.microsoft.com/office/drawing/2014/main" id="{83ACECEC-CCC9-4282-BDDB-7BB4AEED80E9}"/>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2259"/>
    <xdr:sp macro="" textlink="">
      <xdr:nvSpPr>
        <xdr:cNvPr id="66567" name="avatar">
          <a:extLst>
            <a:ext uri="{FF2B5EF4-FFF2-40B4-BE49-F238E27FC236}">
              <a16:creationId xmlns:a16="http://schemas.microsoft.com/office/drawing/2014/main" id="{998C977A-D68B-4AB3-A97C-F22E56AF24A7}"/>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568" name="avatar">
          <a:extLst>
            <a:ext uri="{FF2B5EF4-FFF2-40B4-BE49-F238E27FC236}">
              <a16:creationId xmlns:a16="http://schemas.microsoft.com/office/drawing/2014/main" id="{B6A76B6D-1CFF-4E11-9EB7-61065775B517}"/>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569" name="avatar">
          <a:extLst>
            <a:ext uri="{FF2B5EF4-FFF2-40B4-BE49-F238E27FC236}">
              <a16:creationId xmlns:a16="http://schemas.microsoft.com/office/drawing/2014/main" id="{DCB0D72B-746D-4531-B493-E7406DA62E3B}"/>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570" name="avatar">
          <a:extLst>
            <a:ext uri="{FF2B5EF4-FFF2-40B4-BE49-F238E27FC236}">
              <a16:creationId xmlns:a16="http://schemas.microsoft.com/office/drawing/2014/main" id="{843FA763-DBF7-4A18-ACBF-51D1FF975AFA}"/>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9084"/>
    <xdr:sp macro="" textlink="">
      <xdr:nvSpPr>
        <xdr:cNvPr id="66571" name="avatar">
          <a:extLst>
            <a:ext uri="{FF2B5EF4-FFF2-40B4-BE49-F238E27FC236}">
              <a16:creationId xmlns:a16="http://schemas.microsoft.com/office/drawing/2014/main" id="{D599117E-3F61-46DF-98E2-DEB20B03A8F2}"/>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5274"/>
    <xdr:sp macro="" textlink="">
      <xdr:nvSpPr>
        <xdr:cNvPr id="66572" name="avatar">
          <a:extLst>
            <a:ext uri="{FF2B5EF4-FFF2-40B4-BE49-F238E27FC236}">
              <a16:creationId xmlns:a16="http://schemas.microsoft.com/office/drawing/2014/main" id="{597BAA25-1AC5-4C5E-87CE-F13867C2BB78}"/>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573" name="avatar">
          <a:extLst>
            <a:ext uri="{FF2B5EF4-FFF2-40B4-BE49-F238E27FC236}">
              <a16:creationId xmlns:a16="http://schemas.microsoft.com/office/drawing/2014/main" id="{125DB669-62CD-413D-B5A2-1627683B9C31}"/>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574" name="avatar">
          <a:extLst>
            <a:ext uri="{FF2B5EF4-FFF2-40B4-BE49-F238E27FC236}">
              <a16:creationId xmlns:a16="http://schemas.microsoft.com/office/drawing/2014/main" id="{7BFB79B0-8BF4-4F95-821F-9F5746E93620}"/>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2259"/>
    <xdr:sp macro="" textlink="">
      <xdr:nvSpPr>
        <xdr:cNvPr id="66575" name="avatar">
          <a:extLst>
            <a:ext uri="{FF2B5EF4-FFF2-40B4-BE49-F238E27FC236}">
              <a16:creationId xmlns:a16="http://schemas.microsoft.com/office/drawing/2014/main" id="{EC2E79E7-DAB4-43F1-AC5A-D4BD890390A8}"/>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576" name="avatar">
          <a:extLst>
            <a:ext uri="{FF2B5EF4-FFF2-40B4-BE49-F238E27FC236}">
              <a16:creationId xmlns:a16="http://schemas.microsoft.com/office/drawing/2014/main" id="{5E6139D3-A19F-435D-8887-563F924E9BDF}"/>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577" name="avatar">
          <a:extLst>
            <a:ext uri="{FF2B5EF4-FFF2-40B4-BE49-F238E27FC236}">
              <a16:creationId xmlns:a16="http://schemas.microsoft.com/office/drawing/2014/main" id="{62351C4C-43FA-4D9A-A9B4-33250B48168B}"/>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578" name="avatar">
          <a:extLst>
            <a:ext uri="{FF2B5EF4-FFF2-40B4-BE49-F238E27FC236}">
              <a16:creationId xmlns:a16="http://schemas.microsoft.com/office/drawing/2014/main" id="{26E34FF8-60A0-434A-860E-57BADA289734}"/>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9084"/>
    <xdr:sp macro="" textlink="">
      <xdr:nvSpPr>
        <xdr:cNvPr id="66579" name="avatar">
          <a:extLst>
            <a:ext uri="{FF2B5EF4-FFF2-40B4-BE49-F238E27FC236}">
              <a16:creationId xmlns:a16="http://schemas.microsoft.com/office/drawing/2014/main" id="{52F4EB3B-F3A8-4CAD-B738-13843BB20BED}"/>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5274"/>
    <xdr:sp macro="" textlink="">
      <xdr:nvSpPr>
        <xdr:cNvPr id="66580" name="avatar">
          <a:extLst>
            <a:ext uri="{FF2B5EF4-FFF2-40B4-BE49-F238E27FC236}">
              <a16:creationId xmlns:a16="http://schemas.microsoft.com/office/drawing/2014/main" id="{7443C1D4-D138-4A46-BC1F-6FE2CF6A8E6C}"/>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581" name="avatar">
          <a:extLst>
            <a:ext uri="{FF2B5EF4-FFF2-40B4-BE49-F238E27FC236}">
              <a16:creationId xmlns:a16="http://schemas.microsoft.com/office/drawing/2014/main" id="{A1676C58-D8FE-4E86-AB77-91CA238B18AB}"/>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582" name="avatar">
          <a:extLst>
            <a:ext uri="{FF2B5EF4-FFF2-40B4-BE49-F238E27FC236}">
              <a16:creationId xmlns:a16="http://schemas.microsoft.com/office/drawing/2014/main" id="{84CFCC70-6F19-4E3F-9E1C-B43ED6FEE9FC}"/>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2259"/>
    <xdr:sp macro="" textlink="">
      <xdr:nvSpPr>
        <xdr:cNvPr id="66583" name="avatar">
          <a:extLst>
            <a:ext uri="{FF2B5EF4-FFF2-40B4-BE49-F238E27FC236}">
              <a16:creationId xmlns:a16="http://schemas.microsoft.com/office/drawing/2014/main" id="{DC822B50-702D-4D31-92AD-C3594343D716}"/>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584" name="avatar">
          <a:extLst>
            <a:ext uri="{FF2B5EF4-FFF2-40B4-BE49-F238E27FC236}">
              <a16:creationId xmlns:a16="http://schemas.microsoft.com/office/drawing/2014/main" id="{0141FA83-1BCE-4BF3-9997-9BC6E91887F6}"/>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586" name="avatar">
          <a:extLst>
            <a:ext uri="{FF2B5EF4-FFF2-40B4-BE49-F238E27FC236}">
              <a16:creationId xmlns:a16="http://schemas.microsoft.com/office/drawing/2014/main" id="{D6C54765-857B-4929-9145-E6FC24E5B9EC}"/>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587" name="avatar">
          <a:extLst>
            <a:ext uri="{FF2B5EF4-FFF2-40B4-BE49-F238E27FC236}">
              <a16:creationId xmlns:a16="http://schemas.microsoft.com/office/drawing/2014/main" id="{C7262A28-97A6-45B4-9700-A8AF1866E3DF}"/>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9084"/>
    <xdr:sp macro="" textlink="">
      <xdr:nvSpPr>
        <xdr:cNvPr id="66588" name="avatar">
          <a:extLst>
            <a:ext uri="{FF2B5EF4-FFF2-40B4-BE49-F238E27FC236}">
              <a16:creationId xmlns:a16="http://schemas.microsoft.com/office/drawing/2014/main" id="{410F5706-BEE3-45ED-834F-0FC71E184FF4}"/>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5274"/>
    <xdr:sp macro="" textlink="">
      <xdr:nvSpPr>
        <xdr:cNvPr id="66589" name="avatar">
          <a:extLst>
            <a:ext uri="{FF2B5EF4-FFF2-40B4-BE49-F238E27FC236}">
              <a16:creationId xmlns:a16="http://schemas.microsoft.com/office/drawing/2014/main" id="{727602F0-5B97-4BB2-B54C-0E8ECCAFAE41}"/>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590" name="avatar">
          <a:extLst>
            <a:ext uri="{FF2B5EF4-FFF2-40B4-BE49-F238E27FC236}">
              <a16:creationId xmlns:a16="http://schemas.microsoft.com/office/drawing/2014/main" id="{294A44D2-8253-4D5E-A2F0-C21CA9088A6D}"/>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591" name="avatar">
          <a:extLst>
            <a:ext uri="{FF2B5EF4-FFF2-40B4-BE49-F238E27FC236}">
              <a16:creationId xmlns:a16="http://schemas.microsoft.com/office/drawing/2014/main" id="{52942AE8-596D-48EC-A395-9CFCF6A2821A}"/>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2259"/>
    <xdr:sp macro="" textlink="">
      <xdr:nvSpPr>
        <xdr:cNvPr id="66592" name="avatar">
          <a:extLst>
            <a:ext uri="{FF2B5EF4-FFF2-40B4-BE49-F238E27FC236}">
              <a16:creationId xmlns:a16="http://schemas.microsoft.com/office/drawing/2014/main" id="{1B384B9E-3318-42E4-BA29-6EF2EE319BC7}"/>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593" name="avatar">
          <a:extLst>
            <a:ext uri="{FF2B5EF4-FFF2-40B4-BE49-F238E27FC236}">
              <a16:creationId xmlns:a16="http://schemas.microsoft.com/office/drawing/2014/main" id="{F4ED6321-2F78-4A24-B943-0F0E22291C8C}"/>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594" name="avatar">
          <a:extLst>
            <a:ext uri="{FF2B5EF4-FFF2-40B4-BE49-F238E27FC236}">
              <a16:creationId xmlns:a16="http://schemas.microsoft.com/office/drawing/2014/main" id="{BA0555CF-C44C-4FE0-AA3F-C2A924B6AF0F}"/>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595" name="avatar">
          <a:extLst>
            <a:ext uri="{FF2B5EF4-FFF2-40B4-BE49-F238E27FC236}">
              <a16:creationId xmlns:a16="http://schemas.microsoft.com/office/drawing/2014/main" id="{BE2707E8-A936-46D6-A8D6-589F6A61280E}"/>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9084"/>
    <xdr:sp macro="" textlink="">
      <xdr:nvSpPr>
        <xdr:cNvPr id="66596" name="avatar">
          <a:extLst>
            <a:ext uri="{FF2B5EF4-FFF2-40B4-BE49-F238E27FC236}">
              <a16:creationId xmlns:a16="http://schemas.microsoft.com/office/drawing/2014/main" id="{8F978AAB-F24F-4E10-8F54-CA18C04F2CF8}"/>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5274"/>
    <xdr:sp macro="" textlink="">
      <xdr:nvSpPr>
        <xdr:cNvPr id="66597" name="avatar">
          <a:extLst>
            <a:ext uri="{FF2B5EF4-FFF2-40B4-BE49-F238E27FC236}">
              <a16:creationId xmlns:a16="http://schemas.microsoft.com/office/drawing/2014/main" id="{59955A33-E0CD-4D8A-8CF9-08C316C1A9A6}"/>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598" name="avatar">
          <a:extLst>
            <a:ext uri="{FF2B5EF4-FFF2-40B4-BE49-F238E27FC236}">
              <a16:creationId xmlns:a16="http://schemas.microsoft.com/office/drawing/2014/main" id="{C216A0A5-CCF7-49DD-879B-DA88849B7EE3}"/>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599" name="avatar">
          <a:extLst>
            <a:ext uri="{FF2B5EF4-FFF2-40B4-BE49-F238E27FC236}">
              <a16:creationId xmlns:a16="http://schemas.microsoft.com/office/drawing/2014/main" id="{6C6A886A-42C6-4AC9-8D71-AC8BC30E783E}"/>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2259"/>
    <xdr:sp macro="" textlink="">
      <xdr:nvSpPr>
        <xdr:cNvPr id="66600" name="avatar">
          <a:extLst>
            <a:ext uri="{FF2B5EF4-FFF2-40B4-BE49-F238E27FC236}">
              <a16:creationId xmlns:a16="http://schemas.microsoft.com/office/drawing/2014/main" id="{2C561257-9D6D-4637-BFE3-3546EE1C1DCE}"/>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01" name="avatar">
          <a:extLst>
            <a:ext uri="{FF2B5EF4-FFF2-40B4-BE49-F238E27FC236}">
              <a16:creationId xmlns:a16="http://schemas.microsoft.com/office/drawing/2014/main" id="{6960E12B-C767-4B0B-ADBF-42CA0A83B684}"/>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602" name="avatar">
          <a:extLst>
            <a:ext uri="{FF2B5EF4-FFF2-40B4-BE49-F238E27FC236}">
              <a16:creationId xmlns:a16="http://schemas.microsoft.com/office/drawing/2014/main" id="{A803B5E7-5429-4411-AB60-A59D1EEEE483}"/>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03" name="avatar">
          <a:extLst>
            <a:ext uri="{FF2B5EF4-FFF2-40B4-BE49-F238E27FC236}">
              <a16:creationId xmlns:a16="http://schemas.microsoft.com/office/drawing/2014/main" id="{570CF024-74CF-4FEC-8172-184FF79EB17E}"/>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9084"/>
    <xdr:sp macro="" textlink="">
      <xdr:nvSpPr>
        <xdr:cNvPr id="66604" name="avatar">
          <a:extLst>
            <a:ext uri="{FF2B5EF4-FFF2-40B4-BE49-F238E27FC236}">
              <a16:creationId xmlns:a16="http://schemas.microsoft.com/office/drawing/2014/main" id="{61E27944-7B87-4677-8D37-F2394EE86497}"/>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5274"/>
    <xdr:sp macro="" textlink="">
      <xdr:nvSpPr>
        <xdr:cNvPr id="66605" name="avatar">
          <a:extLst>
            <a:ext uri="{FF2B5EF4-FFF2-40B4-BE49-F238E27FC236}">
              <a16:creationId xmlns:a16="http://schemas.microsoft.com/office/drawing/2014/main" id="{B8389EC9-23D6-4EFB-BEF9-890BC3A6499B}"/>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606" name="avatar">
          <a:extLst>
            <a:ext uri="{FF2B5EF4-FFF2-40B4-BE49-F238E27FC236}">
              <a16:creationId xmlns:a16="http://schemas.microsoft.com/office/drawing/2014/main" id="{8B2B237F-7179-45E7-A685-67E272164201}"/>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07" name="avatar">
          <a:extLst>
            <a:ext uri="{FF2B5EF4-FFF2-40B4-BE49-F238E27FC236}">
              <a16:creationId xmlns:a16="http://schemas.microsoft.com/office/drawing/2014/main" id="{E699F6D4-6D80-4E1A-88C4-ED42629ABE93}"/>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2259"/>
    <xdr:sp macro="" textlink="">
      <xdr:nvSpPr>
        <xdr:cNvPr id="66608" name="avatar">
          <a:extLst>
            <a:ext uri="{FF2B5EF4-FFF2-40B4-BE49-F238E27FC236}">
              <a16:creationId xmlns:a16="http://schemas.microsoft.com/office/drawing/2014/main" id="{01C71B21-DD62-4D19-AE84-1565F6FB01A1}"/>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09" name="avatar">
          <a:extLst>
            <a:ext uri="{FF2B5EF4-FFF2-40B4-BE49-F238E27FC236}">
              <a16:creationId xmlns:a16="http://schemas.microsoft.com/office/drawing/2014/main" id="{4ADFA47E-2401-4AC3-8080-6E88162AE21F}"/>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610" name="avatar">
          <a:extLst>
            <a:ext uri="{FF2B5EF4-FFF2-40B4-BE49-F238E27FC236}">
              <a16:creationId xmlns:a16="http://schemas.microsoft.com/office/drawing/2014/main" id="{DDB65436-C327-4F07-A660-23622D8C6F10}"/>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11" name="avatar">
          <a:extLst>
            <a:ext uri="{FF2B5EF4-FFF2-40B4-BE49-F238E27FC236}">
              <a16:creationId xmlns:a16="http://schemas.microsoft.com/office/drawing/2014/main" id="{F6B4CAE0-268E-45A8-9E68-96A9AAF560F4}"/>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9084"/>
    <xdr:sp macro="" textlink="">
      <xdr:nvSpPr>
        <xdr:cNvPr id="66612" name="avatar">
          <a:extLst>
            <a:ext uri="{FF2B5EF4-FFF2-40B4-BE49-F238E27FC236}">
              <a16:creationId xmlns:a16="http://schemas.microsoft.com/office/drawing/2014/main" id="{3424C66C-49FE-441E-8EE1-7272CC5DD281}"/>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5274"/>
    <xdr:sp macro="" textlink="">
      <xdr:nvSpPr>
        <xdr:cNvPr id="66613" name="avatar">
          <a:extLst>
            <a:ext uri="{FF2B5EF4-FFF2-40B4-BE49-F238E27FC236}">
              <a16:creationId xmlns:a16="http://schemas.microsoft.com/office/drawing/2014/main" id="{BB03C4D6-6119-4488-9347-E2FA7AD09FA4}"/>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614" name="avatar">
          <a:extLst>
            <a:ext uri="{FF2B5EF4-FFF2-40B4-BE49-F238E27FC236}">
              <a16:creationId xmlns:a16="http://schemas.microsoft.com/office/drawing/2014/main" id="{9B0983A4-B170-40BC-ACAE-F7C37AA8D82D}"/>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15" name="avatar">
          <a:extLst>
            <a:ext uri="{FF2B5EF4-FFF2-40B4-BE49-F238E27FC236}">
              <a16:creationId xmlns:a16="http://schemas.microsoft.com/office/drawing/2014/main" id="{F4CB252D-C698-4488-A723-51FE9282A8D8}"/>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2259"/>
    <xdr:sp macro="" textlink="">
      <xdr:nvSpPr>
        <xdr:cNvPr id="66616" name="avatar">
          <a:extLst>
            <a:ext uri="{FF2B5EF4-FFF2-40B4-BE49-F238E27FC236}">
              <a16:creationId xmlns:a16="http://schemas.microsoft.com/office/drawing/2014/main" id="{AF3D1758-A113-499B-8B5A-A9065FEB9DFD}"/>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17" name="avatar">
          <a:extLst>
            <a:ext uri="{FF2B5EF4-FFF2-40B4-BE49-F238E27FC236}">
              <a16:creationId xmlns:a16="http://schemas.microsoft.com/office/drawing/2014/main" id="{9B44C6D1-DBC2-4341-8C1C-B983D3EB2298}"/>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618" name="avatar">
          <a:extLst>
            <a:ext uri="{FF2B5EF4-FFF2-40B4-BE49-F238E27FC236}">
              <a16:creationId xmlns:a16="http://schemas.microsoft.com/office/drawing/2014/main" id="{314A23CC-8599-475A-A6CA-6A71E4E4EFB4}"/>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19" name="avatar">
          <a:extLst>
            <a:ext uri="{FF2B5EF4-FFF2-40B4-BE49-F238E27FC236}">
              <a16:creationId xmlns:a16="http://schemas.microsoft.com/office/drawing/2014/main" id="{CCF8D89A-9AD0-4D5E-A405-2289C7153354}"/>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9084"/>
    <xdr:sp macro="" textlink="">
      <xdr:nvSpPr>
        <xdr:cNvPr id="66620" name="avatar">
          <a:extLst>
            <a:ext uri="{FF2B5EF4-FFF2-40B4-BE49-F238E27FC236}">
              <a16:creationId xmlns:a16="http://schemas.microsoft.com/office/drawing/2014/main" id="{F1B02C1A-1D4D-47E5-89A2-7951A9E5E981}"/>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5274"/>
    <xdr:sp macro="" textlink="">
      <xdr:nvSpPr>
        <xdr:cNvPr id="66621" name="avatar">
          <a:extLst>
            <a:ext uri="{FF2B5EF4-FFF2-40B4-BE49-F238E27FC236}">
              <a16:creationId xmlns:a16="http://schemas.microsoft.com/office/drawing/2014/main" id="{AFD8B28D-EB59-4D31-8C9C-511E822AE1B7}"/>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622" name="avatar">
          <a:extLst>
            <a:ext uri="{FF2B5EF4-FFF2-40B4-BE49-F238E27FC236}">
              <a16:creationId xmlns:a16="http://schemas.microsoft.com/office/drawing/2014/main" id="{2BEC5227-B7A3-4BE3-8B3C-D372C0DE0533}"/>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23" name="avatar">
          <a:extLst>
            <a:ext uri="{FF2B5EF4-FFF2-40B4-BE49-F238E27FC236}">
              <a16:creationId xmlns:a16="http://schemas.microsoft.com/office/drawing/2014/main" id="{EE5F6AF8-BD8E-4541-88CB-F8AE095B409C}"/>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2259"/>
    <xdr:sp macro="" textlink="">
      <xdr:nvSpPr>
        <xdr:cNvPr id="66624" name="avatar">
          <a:extLst>
            <a:ext uri="{FF2B5EF4-FFF2-40B4-BE49-F238E27FC236}">
              <a16:creationId xmlns:a16="http://schemas.microsoft.com/office/drawing/2014/main" id="{22F10F8C-D8CA-4B6D-85B1-6E6A2496E230}"/>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25" name="avatar">
          <a:extLst>
            <a:ext uri="{FF2B5EF4-FFF2-40B4-BE49-F238E27FC236}">
              <a16:creationId xmlns:a16="http://schemas.microsoft.com/office/drawing/2014/main" id="{4C340937-F57F-4CB3-B254-60FF61208011}"/>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626" name="avatar">
          <a:extLst>
            <a:ext uri="{FF2B5EF4-FFF2-40B4-BE49-F238E27FC236}">
              <a16:creationId xmlns:a16="http://schemas.microsoft.com/office/drawing/2014/main" id="{7A071D20-0C18-424F-8EFC-A5FCEAA39FA1}"/>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27" name="avatar">
          <a:extLst>
            <a:ext uri="{FF2B5EF4-FFF2-40B4-BE49-F238E27FC236}">
              <a16:creationId xmlns:a16="http://schemas.microsoft.com/office/drawing/2014/main" id="{1E1461B1-8F95-46F0-B210-B2A3086F9632}"/>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9084"/>
    <xdr:sp macro="" textlink="">
      <xdr:nvSpPr>
        <xdr:cNvPr id="66628" name="avatar">
          <a:extLst>
            <a:ext uri="{FF2B5EF4-FFF2-40B4-BE49-F238E27FC236}">
              <a16:creationId xmlns:a16="http://schemas.microsoft.com/office/drawing/2014/main" id="{A17BF8FE-901D-4F69-9694-0ECACDCE7EEA}"/>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5274"/>
    <xdr:sp macro="" textlink="">
      <xdr:nvSpPr>
        <xdr:cNvPr id="66629" name="avatar">
          <a:extLst>
            <a:ext uri="{FF2B5EF4-FFF2-40B4-BE49-F238E27FC236}">
              <a16:creationId xmlns:a16="http://schemas.microsoft.com/office/drawing/2014/main" id="{F77D82FC-042A-4C90-AD7B-C14E215ACA10}"/>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630" name="avatar">
          <a:extLst>
            <a:ext uri="{FF2B5EF4-FFF2-40B4-BE49-F238E27FC236}">
              <a16:creationId xmlns:a16="http://schemas.microsoft.com/office/drawing/2014/main" id="{72FF60E5-5DA0-4EE4-B4BD-D5B2703DE7D0}"/>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31" name="avatar">
          <a:extLst>
            <a:ext uri="{FF2B5EF4-FFF2-40B4-BE49-F238E27FC236}">
              <a16:creationId xmlns:a16="http://schemas.microsoft.com/office/drawing/2014/main" id="{E96F657B-BFD2-4160-913B-688F6BC9DCD0}"/>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2259"/>
    <xdr:sp macro="" textlink="">
      <xdr:nvSpPr>
        <xdr:cNvPr id="66632" name="avatar">
          <a:extLst>
            <a:ext uri="{FF2B5EF4-FFF2-40B4-BE49-F238E27FC236}">
              <a16:creationId xmlns:a16="http://schemas.microsoft.com/office/drawing/2014/main" id="{63A05A7D-6677-48FE-BB11-1621A57ABA73}"/>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33" name="avatar">
          <a:extLst>
            <a:ext uri="{FF2B5EF4-FFF2-40B4-BE49-F238E27FC236}">
              <a16:creationId xmlns:a16="http://schemas.microsoft.com/office/drawing/2014/main" id="{0B4E0260-1D17-4048-97B1-EE8371C69C82}"/>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634" name="avatar">
          <a:extLst>
            <a:ext uri="{FF2B5EF4-FFF2-40B4-BE49-F238E27FC236}">
              <a16:creationId xmlns:a16="http://schemas.microsoft.com/office/drawing/2014/main" id="{4FA11F1E-9792-4B02-9F40-E47FAF1656A8}"/>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35" name="avatar">
          <a:extLst>
            <a:ext uri="{FF2B5EF4-FFF2-40B4-BE49-F238E27FC236}">
              <a16:creationId xmlns:a16="http://schemas.microsoft.com/office/drawing/2014/main" id="{9123C893-5690-4F22-9F48-82C361040502}"/>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9084"/>
    <xdr:sp macro="" textlink="">
      <xdr:nvSpPr>
        <xdr:cNvPr id="66636" name="avatar">
          <a:extLst>
            <a:ext uri="{FF2B5EF4-FFF2-40B4-BE49-F238E27FC236}">
              <a16:creationId xmlns:a16="http://schemas.microsoft.com/office/drawing/2014/main" id="{F3DB786F-8173-4257-B8D5-D75A57C4DEDD}"/>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5274"/>
    <xdr:sp macro="" textlink="">
      <xdr:nvSpPr>
        <xdr:cNvPr id="66637" name="avatar">
          <a:extLst>
            <a:ext uri="{FF2B5EF4-FFF2-40B4-BE49-F238E27FC236}">
              <a16:creationId xmlns:a16="http://schemas.microsoft.com/office/drawing/2014/main" id="{2E8FA15E-BBC2-4F71-945F-B57B31C286C6}"/>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638" name="avatar">
          <a:extLst>
            <a:ext uri="{FF2B5EF4-FFF2-40B4-BE49-F238E27FC236}">
              <a16:creationId xmlns:a16="http://schemas.microsoft.com/office/drawing/2014/main" id="{90D6D40D-A4D6-4C64-9E43-E9D8D2B717EC}"/>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39" name="avatar">
          <a:extLst>
            <a:ext uri="{FF2B5EF4-FFF2-40B4-BE49-F238E27FC236}">
              <a16:creationId xmlns:a16="http://schemas.microsoft.com/office/drawing/2014/main" id="{0EFD5920-9B26-4A76-917B-D342ACD5FD2B}"/>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2259"/>
    <xdr:sp macro="" textlink="">
      <xdr:nvSpPr>
        <xdr:cNvPr id="66640" name="avatar">
          <a:extLst>
            <a:ext uri="{FF2B5EF4-FFF2-40B4-BE49-F238E27FC236}">
              <a16:creationId xmlns:a16="http://schemas.microsoft.com/office/drawing/2014/main" id="{8EA22DDD-981D-41D6-A17A-2AE93F7D14E4}"/>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41" name="avatar">
          <a:extLst>
            <a:ext uri="{FF2B5EF4-FFF2-40B4-BE49-F238E27FC236}">
              <a16:creationId xmlns:a16="http://schemas.microsoft.com/office/drawing/2014/main" id="{C917A460-1357-4515-9A79-153A5615CAAF}"/>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642" name="avatar">
          <a:extLst>
            <a:ext uri="{FF2B5EF4-FFF2-40B4-BE49-F238E27FC236}">
              <a16:creationId xmlns:a16="http://schemas.microsoft.com/office/drawing/2014/main" id="{69D55F78-26B2-4DA3-BAB9-236952307465}"/>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43" name="avatar">
          <a:extLst>
            <a:ext uri="{FF2B5EF4-FFF2-40B4-BE49-F238E27FC236}">
              <a16:creationId xmlns:a16="http://schemas.microsoft.com/office/drawing/2014/main" id="{A6B496AB-4E6F-434F-BACB-459A2C93B3F2}"/>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9084"/>
    <xdr:sp macro="" textlink="">
      <xdr:nvSpPr>
        <xdr:cNvPr id="66644" name="avatar">
          <a:extLst>
            <a:ext uri="{FF2B5EF4-FFF2-40B4-BE49-F238E27FC236}">
              <a16:creationId xmlns:a16="http://schemas.microsoft.com/office/drawing/2014/main" id="{03B449BA-BE7B-41A0-98AC-2ED129C2896B}"/>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5274"/>
    <xdr:sp macro="" textlink="">
      <xdr:nvSpPr>
        <xdr:cNvPr id="66645" name="avatar">
          <a:extLst>
            <a:ext uri="{FF2B5EF4-FFF2-40B4-BE49-F238E27FC236}">
              <a16:creationId xmlns:a16="http://schemas.microsoft.com/office/drawing/2014/main" id="{3A441425-8C21-4D9C-B918-5C852D277D02}"/>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646" name="avatar">
          <a:extLst>
            <a:ext uri="{FF2B5EF4-FFF2-40B4-BE49-F238E27FC236}">
              <a16:creationId xmlns:a16="http://schemas.microsoft.com/office/drawing/2014/main" id="{190080D2-9611-4803-8609-2C46F26B56D0}"/>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47" name="avatar">
          <a:extLst>
            <a:ext uri="{FF2B5EF4-FFF2-40B4-BE49-F238E27FC236}">
              <a16:creationId xmlns:a16="http://schemas.microsoft.com/office/drawing/2014/main" id="{4BE1A380-6158-4FE5-A5F0-0C78EF606F8A}"/>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2259"/>
    <xdr:sp macro="" textlink="">
      <xdr:nvSpPr>
        <xdr:cNvPr id="66648" name="avatar">
          <a:extLst>
            <a:ext uri="{FF2B5EF4-FFF2-40B4-BE49-F238E27FC236}">
              <a16:creationId xmlns:a16="http://schemas.microsoft.com/office/drawing/2014/main" id="{B2311E60-BE50-464E-94FE-9D504AD89D97}"/>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49" name="avatar">
          <a:extLst>
            <a:ext uri="{FF2B5EF4-FFF2-40B4-BE49-F238E27FC236}">
              <a16:creationId xmlns:a16="http://schemas.microsoft.com/office/drawing/2014/main" id="{7D0ED815-227E-4BE2-8C4D-870671F69613}"/>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650" name="avatar">
          <a:extLst>
            <a:ext uri="{FF2B5EF4-FFF2-40B4-BE49-F238E27FC236}">
              <a16:creationId xmlns:a16="http://schemas.microsoft.com/office/drawing/2014/main" id="{0B4116D4-662A-4D9C-B24C-1B625FF54274}"/>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51" name="avatar">
          <a:extLst>
            <a:ext uri="{FF2B5EF4-FFF2-40B4-BE49-F238E27FC236}">
              <a16:creationId xmlns:a16="http://schemas.microsoft.com/office/drawing/2014/main" id="{8676959A-D258-41FB-880D-AFE0A9D2FC27}"/>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9084"/>
    <xdr:sp macro="" textlink="">
      <xdr:nvSpPr>
        <xdr:cNvPr id="66652" name="avatar">
          <a:extLst>
            <a:ext uri="{FF2B5EF4-FFF2-40B4-BE49-F238E27FC236}">
              <a16:creationId xmlns:a16="http://schemas.microsoft.com/office/drawing/2014/main" id="{B741F7AE-E99D-47E6-AFF8-6854DDCA83AE}"/>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5274"/>
    <xdr:sp macro="" textlink="">
      <xdr:nvSpPr>
        <xdr:cNvPr id="66653" name="avatar">
          <a:extLst>
            <a:ext uri="{FF2B5EF4-FFF2-40B4-BE49-F238E27FC236}">
              <a16:creationId xmlns:a16="http://schemas.microsoft.com/office/drawing/2014/main" id="{D9112985-AD20-4DF5-A426-EF74C65F439A}"/>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654" name="avatar">
          <a:extLst>
            <a:ext uri="{FF2B5EF4-FFF2-40B4-BE49-F238E27FC236}">
              <a16:creationId xmlns:a16="http://schemas.microsoft.com/office/drawing/2014/main" id="{6574B8D3-5B1A-4485-9849-82EEB755E385}"/>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55" name="avatar">
          <a:extLst>
            <a:ext uri="{FF2B5EF4-FFF2-40B4-BE49-F238E27FC236}">
              <a16:creationId xmlns:a16="http://schemas.microsoft.com/office/drawing/2014/main" id="{DCEFB8B6-C0C0-44C2-AFC4-6E330073D09B}"/>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2259"/>
    <xdr:sp macro="" textlink="">
      <xdr:nvSpPr>
        <xdr:cNvPr id="66656" name="avatar">
          <a:extLst>
            <a:ext uri="{FF2B5EF4-FFF2-40B4-BE49-F238E27FC236}">
              <a16:creationId xmlns:a16="http://schemas.microsoft.com/office/drawing/2014/main" id="{0A456A10-6008-45BF-B146-9EBBDD023B6A}"/>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57" name="avatar">
          <a:extLst>
            <a:ext uri="{FF2B5EF4-FFF2-40B4-BE49-F238E27FC236}">
              <a16:creationId xmlns:a16="http://schemas.microsoft.com/office/drawing/2014/main" id="{6FBD10B8-DF63-4071-8354-4C68CD4E9144}"/>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658" name="avatar">
          <a:extLst>
            <a:ext uri="{FF2B5EF4-FFF2-40B4-BE49-F238E27FC236}">
              <a16:creationId xmlns:a16="http://schemas.microsoft.com/office/drawing/2014/main" id="{17B96761-6FBA-4408-B460-6817B56D9458}"/>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59" name="avatar">
          <a:extLst>
            <a:ext uri="{FF2B5EF4-FFF2-40B4-BE49-F238E27FC236}">
              <a16:creationId xmlns:a16="http://schemas.microsoft.com/office/drawing/2014/main" id="{804BAFCA-FEE2-423A-881E-8E1FCA33B933}"/>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9084"/>
    <xdr:sp macro="" textlink="">
      <xdr:nvSpPr>
        <xdr:cNvPr id="66660" name="avatar">
          <a:extLst>
            <a:ext uri="{FF2B5EF4-FFF2-40B4-BE49-F238E27FC236}">
              <a16:creationId xmlns:a16="http://schemas.microsoft.com/office/drawing/2014/main" id="{6A31445E-1146-4B4B-907E-7345B6DEF835}"/>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5274"/>
    <xdr:sp macro="" textlink="">
      <xdr:nvSpPr>
        <xdr:cNvPr id="66661" name="avatar">
          <a:extLst>
            <a:ext uri="{FF2B5EF4-FFF2-40B4-BE49-F238E27FC236}">
              <a16:creationId xmlns:a16="http://schemas.microsoft.com/office/drawing/2014/main" id="{10DC6609-4079-4337-BC2A-10F2DC5FC01D}"/>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662" name="avatar">
          <a:extLst>
            <a:ext uri="{FF2B5EF4-FFF2-40B4-BE49-F238E27FC236}">
              <a16:creationId xmlns:a16="http://schemas.microsoft.com/office/drawing/2014/main" id="{89B2442D-8E11-443E-8866-EB9E76786078}"/>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63" name="avatar">
          <a:extLst>
            <a:ext uri="{FF2B5EF4-FFF2-40B4-BE49-F238E27FC236}">
              <a16:creationId xmlns:a16="http://schemas.microsoft.com/office/drawing/2014/main" id="{116404A1-CD2A-4E1A-B8D3-091A00BF755E}"/>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2259"/>
    <xdr:sp macro="" textlink="">
      <xdr:nvSpPr>
        <xdr:cNvPr id="66664" name="avatar">
          <a:extLst>
            <a:ext uri="{FF2B5EF4-FFF2-40B4-BE49-F238E27FC236}">
              <a16:creationId xmlns:a16="http://schemas.microsoft.com/office/drawing/2014/main" id="{1BA4E313-0700-4F00-B8D0-0494817F7FFB}"/>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65" name="avatar">
          <a:extLst>
            <a:ext uri="{FF2B5EF4-FFF2-40B4-BE49-F238E27FC236}">
              <a16:creationId xmlns:a16="http://schemas.microsoft.com/office/drawing/2014/main" id="{C0840B67-5770-4CD6-8FA9-5C7DDA171479}"/>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666" name="avatar">
          <a:extLst>
            <a:ext uri="{FF2B5EF4-FFF2-40B4-BE49-F238E27FC236}">
              <a16:creationId xmlns:a16="http://schemas.microsoft.com/office/drawing/2014/main" id="{560B2871-36F8-4AB1-8507-C5E6E55B2DFD}"/>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67" name="avatar">
          <a:extLst>
            <a:ext uri="{FF2B5EF4-FFF2-40B4-BE49-F238E27FC236}">
              <a16:creationId xmlns:a16="http://schemas.microsoft.com/office/drawing/2014/main" id="{8D3BE451-6738-4269-9A5F-1513E9C377BB}"/>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9084"/>
    <xdr:sp macro="" textlink="">
      <xdr:nvSpPr>
        <xdr:cNvPr id="66668" name="avatar">
          <a:extLst>
            <a:ext uri="{FF2B5EF4-FFF2-40B4-BE49-F238E27FC236}">
              <a16:creationId xmlns:a16="http://schemas.microsoft.com/office/drawing/2014/main" id="{E5312424-A9B1-4AC4-9C70-A114129AF080}"/>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5274"/>
    <xdr:sp macro="" textlink="">
      <xdr:nvSpPr>
        <xdr:cNvPr id="66669" name="avatar">
          <a:extLst>
            <a:ext uri="{FF2B5EF4-FFF2-40B4-BE49-F238E27FC236}">
              <a16:creationId xmlns:a16="http://schemas.microsoft.com/office/drawing/2014/main" id="{FE34B3CE-F675-4FCB-A981-6993929F6CCA}"/>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670" name="avatar">
          <a:extLst>
            <a:ext uri="{FF2B5EF4-FFF2-40B4-BE49-F238E27FC236}">
              <a16:creationId xmlns:a16="http://schemas.microsoft.com/office/drawing/2014/main" id="{C329E272-9795-44A0-B404-3BD6FB374A9D}"/>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71" name="avatar">
          <a:extLst>
            <a:ext uri="{FF2B5EF4-FFF2-40B4-BE49-F238E27FC236}">
              <a16:creationId xmlns:a16="http://schemas.microsoft.com/office/drawing/2014/main" id="{59EBBD6B-2492-4054-AA63-498787D4D89C}"/>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2259"/>
    <xdr:sp macro="" textlink="">
      <xdr:nvSpPr>
        <xdr:cNvPr id="66672" name="avatar">
          <a:extLst>
            <a:ext uri="{FF2B5EF4-FFF2-40B4-BE49-F238E27FC236}">
              <a16:creationId xmlns:a16="http://schemas.microsoft.com/office/drawing/2014/main" id="{7F911EAD-7D8E-4F3E-AA57-F948C94B7583}"/>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73" name="avatar">
          <a:extLst>
            <a:ext uri="{FF2B5EF4-FFF2-40B4-BE49-F238E27FC236}">
              <a16:creationId xmlns:a16="http://schemas.microsoft.com/office/drawing/2014/main" id="{06984531-8C4C-4DD0-BE54-E5F94CB840E4}"/>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674" name="avatar">
          <a:extLst>
            <a:ext uri="{FF2B5EF4-FFF2-40B4-BE49-F238E27FC236}">
              <a16:creationId xmlns:a16="http://schemas.microsoft.com/office/drawing/2014/main" id="{35DC3F88-263C-4462-807F-3DE5421E2BDE}"/>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75" name="avatar">
          <a:extLst>
            <a:ext uri="{FF2B5EF4-FFF2-40B4-BE49-F238E27FC236}">
              <a16:creationId xmlns:a16="http://schemas.microsoft.com/office/drawing/2014/main" id="{25139522-BA19-44D5-8630-219D771E26F0}"/>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9084"/>
    <xdr:sp macro="" textlink="">
      <xdr:nvSpPr>
        <xdr:cNvPr id="66676" name="avatar">
          <a:extLst>
            <a:ext uri="{FF2B5EF4-FFF2-40B4-BE49-F238E27FC236}">
              <a16:creationId xmlns:a16="http://schemas.microsoft.com/office/drawing/2014/main" id="{31A734A3-E26A-4396-BE7C-CE23B2F1085D}"/>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5274"/>
    <xdr:sp macro="" textlink="">
      <xdr:nvSpPr>
        <xdr:cNvPr id="66677" name="avatar">
          <a:extLst>
            <a:ext uri="{FF2B5EF4-FFF2-40B4-BE49-F238E27FC236}">
              <a16:creationId xmlns:a16="http://schemas.microsoft.com/office/drawing/2014/main" id="{643DC4F7-C2D4-4FF1-B6C6-CB1882B0113B}"/>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678" name="avatar">
          <a:extLst>
            <a:ext uri="{FF2B5EF4-FFF2-40B4-BE49-F238E27FC236}">
              <a16:creationId xmlns:a16="http://schemas.microsoft.com/office/drawing/2014/main" id="{946BD44A-3A86-40E8-9F8E-F0A51B367CEA}"/>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79" name="avatar">
          <a:extLst>
            <a:ext uri="{FF2B5EF4-FFF2-40B4-BE49-F238E27FC236}">
              <a16:creationId xmlns:a16="http://schemas.microsoft.com/office/drawing/2014/main" id="{3AE60288-55ED-4E1E-9311-3B23C885B353}"/>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2259"/>
    <xdr:sp macro="" textlink="">
      <xdr:nvSpPr>
        <xdr:cNvPr id="66680" name="avatar">
          <a:extLst>
            <a:ext uri="{FF2B5EF4-FFF2-40B4-BE49-F238E27FC236}">
              <a16:creationId xmlns:a16="http://schemas.microsoft.com/office/drawing/2014/main" id="{FDB35326-CCD2-4B64-A2E1-52FA68309F68}"/>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81" name="avatar">
          <a:extLst>
            <a:ext uri="{FF2B5EF4-FFF2-40B4-BE49-F238E27FC236}">
              <a16:creationId xmlns:a16="http://schemas.microsoft.com/office/drawing/2014/main" id="{17DB2A2E-AA8F-4104-8E0E-9534140FC379}"/>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682" name="avatar">
          <a:extLst>
            <a:ext uri="{FF2B5EF4-FFF2-40B4-BE49-F238E27FC236}">
              <a16:creationId xmlns:a16="http://schemas.microsoft.com/office/drawing/2014/main" id="{4B7C7B06-48C3-42E4-8069-3C9858EB5B44}"/>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83" name="avatar">
          <a:extLst>
            <a:ext uri="{FF2B5EF4-FFF2-40B4-BE49-F238E27FC236}">
              <a16:creationId xmlns:a16="http://schemas.microsoft.com/office/drawing/2014/main" id="{0D58FEC2-CCE7-4B3E-8B0B-87C3F640FB34}"/>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9084"/>
    <xdr:sp macro="" textlink="">
      <xdr:nvSpPr>
        <xdr:cNvPr id="66684" name="avatar">
          <a:extLst>
            <a:ext uri="{FF2B5EF4-FFF2-40B4-BE49-F238E27FC236}">
              <a16:creationId xmlns:a16="http://schemas.microsoft.com/office/drawing/2014/main" id="{44057535-4696-4633-A863-6929D64F5FF5}"/>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5274"/>
    <xdr:sp macro="" textlink="">
      <xdr:nvSpPr>
        <xdr:cNvPr id="66685" name="avatar">
          <a:extLst>
            <a:ext uri="{FF2B5EF4-FFF2-40B4-BE49-F238E27FC236}">
              <a16:creationId xmlns:a16="http://schemas.microsoft.com/office/drawing/2014/main" id="{5192EA99-8E76-4961-B310-71CF2091C467}"/>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686" name="avatar">
          <a:extLst>
            <a:ext uri="{FF2B5EF4-FFF2-40B4-BE49-F238E27FC236}">
              <a16:creationId xmlns:a16="http://schemas.microsoft.com/office/drawing/2014/main" id="{193BB1E7-2901-4C48-8EB0-0C943B4B17B5}"/>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87" name="avatar">
          <a:extLst>
            <a:ext uri="{FF2B5EF4-FFF2-40B4-BE49-F238E27FC236}">
              <a16:creationId xmlns:a16="http://schemas.microsoft.com/office/drawing/2014/main" id="{8C1C95E9-6326-4ECF-93F4-DD2F486635F1}"/>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2259"/>
    <xdr:sp macro="" textlink="">
      <xdr:nvSpPr>
        <xdr:cNvPr id="66688" name="avatar">
          <a:extLst>
            <a:ext uri="{FF2B5EF4-FFF2-40B4-BE49-F238E27FC236}">
              <a16:creationId xmlns:a16="http://schemas.microsoft.com/office/drawing/2014/main" id="{6B617915-3EED-48B0-909C-C624FEDD237E}"/>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89" name="avatar">
          <a:extLst>
            <a:ext uri="{FF2B5EF4-FFF2-40B4-BE49-F238E27FC236}">
              <a16:creationId xmlns:a16="http://schemas.microsoft.com/office/drawing/2014/main" id="{DE9B1470-19A8-4F76-A354-7286E79BA2BD}"/>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690" name="avatar">
          <a:extLst>
            <a:ext uri="{FF2B5EF4-FFF2-40B4-BE49-F238E27FC236}">
              <a16:creationId xmlns:a16="http://schemas.microsoft.com/office/drawing/2014/main" id="{A31F5FE3-0AB9-4869-A05B-9592858FFB48}"/>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91" name="avatar">
          <a:extLst>
            <a:ext uri="{FF2B5EF4-FFF2-40B4-BE49-F238E27FC236}">
              <a16:creationId xmlns:a16="http://schemas.microsoft.com/office/drawing/2014/main" id="{13C75AD3-7DAF-47DC-AB34-C63B00698BF7}"/>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9084"/>
    <xdr:sp macro="" textlink="">
      <xdr:nvSpPr>
        <xdr:cNvPr id="66692" name="avatar">
          <a:extLst>
            <a:ext uri="{FF2B5EF4-FFF2-40B4-BE49-F238E27FC236}">
              <a16:creationId xmlns:a16="http://schemas.microsoft.com/office/drawing/2014/main" id="{F4195552-C4D5-4D7A-A384-59D301867218}"/>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5274"/>
    <xdr:sp macro="" textlink="">
      <xdr:nvSpPr>
        <xdr:cNvPr id="66693" name="avatar">
          <a:extLst>
            <a:ext uri="{FF2B5EF4-FFF2-40B4-BE49-F238E27FC236}">
              <a16:creationId xmlns:a16="http://schemas.microsoft.com/office/drawing/2014/main" id="{02E3DC83-491B-4A02-AD4F-D343D31E8095}"/>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298449"/>
    <xdr:sp macro="" textlink="">
      <xdr:nvSpPr>
        <xdr:cNvPr id="66694" name="avatar">
          <a:extLst>
            <a:ext uri="{FF2B5EF4-FFF2-40B4-BE49-F238E27FC236}">
              <a16:creationId xmlns:a16="http://schemas.microsoft.com/office/drawing/2014/main" id="{261ADE6D-89AB-4B70-9410-C10871BC339E}"/>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95" name="avatar">
          <a:extLst>
            <a:ext uri="{FF2B5EF4-FFF2-40B4-BE49-F238E27FC236}">
              <a16:creationId xmlns:a16="http://schemas.microsoft.com/office/drawing/2014/main" id="{3AEC1D8D-CFE3-4254-8C20-A2B3AF093BF8}"/>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2259"/>
    <xdr:sp macro="" textlink="">
      <xdr:nvSpPr>
        <xdr:cNvPr id="66696" name="avatar">
          <a:extLst>
            <a:ext uri="{FF2B5EF4-FFF2-40B4-BE49-F238E27FC236}">
              <a16:creationId xmlns:a16="http://schemas.microsoft.com/office/drawing/2014/main" id="{EA336D6C-57A5-4ED4-892E-2F939C655CBC}"/>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xdr:row>
      <xdr:rowOff>0</xdr:rowOff>
    </xdr:from>
    <xdr:ext cx="304800" cy="304701"/>
    <xdr:sp macro="" textlink="">
      <xdr:nvSpPr>
        <xdr:cNvPr id="66697" name="avatar">
          <a:extLst>
            <a:ext uri="{FF2B5EF4-FFF2-40B4-BE49-F238E27FC236}">
              <a16:creationId xmlns:a16="http://schemas.microsoft.com/office/drawing/2014/main" id="{B8B28EEE-696F-4802-9E2A-7914654DB0E5}"/>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77</xdr:row>
      <xdr:rowOff>0</xdr:rowOff>
    </xdr:from>
    <xdr:to>
      <xdr:col>1</xdr:col>
      <xdr:colOff>304800</xdr:colOff>
      <xdr:row>78</xdr:row>
      <xdr:rowOff>117793</xdr:rowOff>
    </xdr:to>
    <xdr:sp macro="" textlink="">
      <xdr:nvSpPr>
        <xdr:cNvPr id="66698" name="avatar">
          <a:extLst>
            <a:ext uri="{FF2B5EF4-FFF2-40B4-BE49-F238E27FC236}">
              <a16:creationId xmlns:a16="http://schemas.microsoft.com/office/drawing/2014/main" id="{29AE5B39-7FCD-4FBD-A568-A6E7BF3F452A}"/>
            </a:ext>
          </a:extLst>
        </xdr:cNvPr>
        <xdr:cNvSpPr>
          <a:spLocks noChangeAspect="1" noChangeArrowheads="1"/>
        </xdr:cNvSpPr>
      </xdr:nvSpPr>
      <xdr:spPr bwMode="auto">
        <a:xfrm>
          <a:off x="3705225" y="1333500"/>
          <a:ext cx="304800" cy="28733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xdr:row>
      <xdr:rowOff>0</xdr:rowOff>
    </xdr:from>
    <xdr:to>
      <xdr:col>0</xdr:col>
      <xdr:colOff>304800</xdr:colOff>
      <xdr:row>78</xdr:row>
      <xdr:rowOff>118427</xdr:rowOff>
    </xdr:to>
    <xdr:sp macro="" textlink="">
      <xdr:nvSpPr>
        <xdr:cNvPr id="66699" name="avatar">
          <a:extLst>
            <a:ext uri="{FF2B5EF4-FFF2-40B4-BE49-F238E27FC236}">
              <a16:creationId xmlns:a16="http://schemas.microsoft.com/office/drawing/2014/main" id="{E7847FE1-11B1-4AC9-8630-8D1B2A02F46D}"/>
            </a:ext>
          </a:extLst>
        </xdr:cNvPr>
        <xdr:cNvSpPr>
          <a:spLocks noChangeAspect="1" noChangeArrowheads="1"/>
        </xdr:cNvSpPr>
      </xdr:nvSpPr>
      <xdr:spPr bwMode="auto">
        <a:xfrm>
          <a:off x="0" y="133350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77</xdr:row>
      <xdr:rowOff>0</xdr:rowOff>
    </xdr:from>
    <xdr:ext cx="304800" cy="304701"/>
    <xdr:sp macro="" textlink="">
      <xdr:nvSpPr>
        <xdr:cNvPr id="66700" name="avatar">
          <a:extLst>
            <a:ext uri="{FF2B5EF4-FFF2-40B4-BE49-F238E27FC236}">
              <a16:creationId xmlns:a16="http://schemas.microsoft.com/office/drawing/2014/main" id="{7AB0C2BE-325B-4568-AF62-85163E34450B}"/>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77</xdr:row>
      <xdr:rowOff>0</xdr:rowOff>
    </xdr:from>
    <xdr:to>
      <xdr:col>1</xdr:col>
      <xdr:colOff>304800</xdr:colOff>
      <xdr:row>78</xdr:row>
      <xdr:rowOff>119062</xdr:rowOff>
    </xdr:to>
    <xdr:sp macro="" textlink="">
      <xdr:nvSpPr>
        <xdr:cNvPr id="66701" name="avatar">
          <a:extLst>
            <a:ext uri="{FF2B5EF4-FFF2-40B4-BE49-F238E27FC236}">
              <a16:creationId xmlns:a16="http://schemas.microsoft.com/office/drawing/2014/main" id="{9376768C-487C-459C-A8B1-D762910EB39D}"/>
            </a:ext>
          </a:extLst>
        </xdr:cNvPr>
        <xdr:cNvSpPr>
          <a:spLocks noChangeAspect="1" noChangeArrowheads="1"/>
        </xdr:cNvSpPr>
      </xdr:nvSpPr>
      <xdr:spPr bwMode="auto">
        <a:xfrm>
          <a:off x="3705225" y="1333500"/>
          <a:ext cx="304800" cy="28860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xdr:row>
      <xdr:rowOff>0</xdr:rowOff>
    </xdr:from>
    <xdr:to>
      <xdr:col>0</xdr:col>
      <xdr:colOff>304800</xdr:colOff>
      <xdr:row>78</xdr:row>
      <xdr:rowOff>119062</xdr:rowOff>
    </xdr:to>
    <xdr:sp macro="" textlink="">
      <xdr:nvSpPr>
        <xdr:cNvPr id="66702" name="avatar">
          <a:extLst>
            <a:ext uri="{FF2B5EF4-FFF2-40B4-BE49-F238E27FC236}">
              <a16:creationId xmlns:a16="http://schemas.microsoft.com/office/drawing/2014/main" id="{B2D32331-0E92-4BAA-9341-AAE862A2A430}"/>
            </a:ext>
          </a:extLst>
        </xdr:cNvPr>
        <xdr:cNvSpPr>
          <a:spLocks noChangeAspect="1" noChangeArrowheads="1"/>
        </xdr:cNvSpPr>
      </xdr:nvSpPr>
      <xdr:spPr bwMode="auto">
        <a:xfrm>
          <a:off x="0" y="1333500"/>
          <a:ext cx="304800" cy="28860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77</xdr:row>
      <xdr:rowOff>0</xdr:rowOff>
    </xdr:from>
    <xdr:ext cx="304800" cy="295274"/>
    <xdr:sp macro="" textlink="">
      <xdr:nvSpPr>
        <xdr:cNvPr id="66703" name="avatar">
          <a:extLst>
            <a:ext uri="{FF2B5EF4-FFF2-40B4-BE49-F238E27FC236}">
              <a16:creationId xmlns:a16="http://schemas.microsoft.com/office/drawing/2014/main" id="{4CDA0BCA-D7AB-453C-9E14-F77CCE590E9E}"/>
            </a:ext>
          </a:extLst>
        </xdr:cNvPr>
        <xdr:cNvSpPr>
          <a:spLocks noChangeAspect="1" noChangeArrowheads="1"/>
        </xdr:cNvSpPr>
      </xdr:nvSpPr>
      <xdr:spPr bwMode="auto">
        <a:xfrm>
          <a:off x="3705225"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6704" name="avatar">
          <a:extLst>
            <a:ext uri="{FF2B5EF4-FFF2-40B4-BE49-F238E27FC236}">
              <a16:creationId xmlns:a16="http://schemas.microsoft.com/office/drawing/2014/main" id="{461184B0-BF78-4B5B-A2B2-47ABAB58487A}"/>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77</xdr:row>
      <xdr:rowOff>0</xdr:rowOff>
    </xdr:from>
    <xdr:to>
      <xdr:col>1</xdr:col>
      <xdr:colOff>304800</xdr:colOff>
      <xdr:row>78</xdr:row>
      <xdr:rowOff>117186</xdr:rowOff>
    </xdr:to>
    <xdr:sp macro="" textlink="">
      <xdr:nvSpPr>
        <xdr:cNvPr id="66705" name="avatar">
          <a:extLst>
            <a:ext uri="{FF2B5EF4-FFF2-40B4-BE49-F238E27FC236}">
              <a16:creationId xmlns:a16="http://schemas.microsoft.com/office/drawing/2014/main" id="{7DD7487B-19C2-4854-914D-CF8E44881198}"/>
            </a:ext>
          </a:extLst>
        </xdr:cNvPr>
        <xdr:cNvSpPr>
          <a:spLocks noChangeAspect="1" noChangeArrowheads="1"/>
        </xdr:cNvSpPr>
      </xdr:nvSpPr>
      <xdr:spPr bwMode="auto">
        <a:xfrm>
          <a:off x="3705225" y="1333500"/>
          <a:ext cx="304800" cy="28482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xdr:row>
      <xdr:rowOff>0</xdr:rowOff>
    </xdr:from>
    <xdr:to>
      <xdr:col>0</xdr:col>
      <xdr:colOff>304800</xdr:colOff>
      <xdr:row>78</xdr:row>
      <xdr:rowOff>118427</xdr:rowOff>
    </xdr:to>
    <xdr:sp macro="" textlink="">
      <xdr:nvSpPr>
        <xdr:cNvPr id="66706" name="avatar">
          <a:extLst>
            <a:ext uri="{FF2B5EF4-FFF2-40B4-BE49-F238E27FC236}">
              <a16:creationId xmlns:a16="http://schemas.microsoft.com/office/drawing/2014/main" id="{5793151A-516C-49D2-900D-1C74597C0905}"/>
            </a:ext>
          </a:extLst>
        </xdr:cNvPr>
        <xdr:cNvSpPr>
          <a:spLocks noChangeAspect="1" noChangeArrowheads="1"/>
        </xdr:cNvSpPr>
      </xdr:nvSpPr>
      <xdr:spPr bwMode="auto">
        <a:xfrm>
          <a:off x="0" y="133350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77</xdr:row>
      <xdr:rowOff>0</xdr:rowOff>
    </xdr:from>
    <xdr:ext cx="304800" cy="304701"/>
    <xdr:sp macro="" textlink="">
      <xdr:nvSpPr>
        <xdr:cNvPr id="66707" name="avatar">
          <a:extLst>
            <a:ext uri="{FF2B5EF4-FFF2-40B4-BE49-F238E27FC236}">
              <a16:creationId xmlns:a16="http://schemas.microsoft.com/office/drawing/2014/main" id="{C028FAF8-49F2-49F1-BE69-AEF13D76132F}"/>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77</xdr:row>
      <xdr:rowOff>0</xdr:rowOff>
    </xdr:from>
    <xdr:to>
      <xdr:col>1</xdr:col>
      <xdr:colOff>304800</xdr:colOff>
      <xdr:row>78</xdr:row>
      <xdr:rowOff>148936</xdr:rowOff>
    </xdr:to>
    <xdr:sp macro="" textlink="">
      <xdr:nvSpPr>
        <xdr:cNvPr id="66708" name="avatar">
          <a:extLst>
            <a:ext uri="{FF2B5EF4-FFF2-40B4-BE49-F238E27FC236}">
              <a16:creationId xmlns:a16="http://schemas.microsoft.com/office/drawing/2014/main" id="{9C2F51C1-9C80-4FC6-B7EC-7C763CC9FE58}"/>
            </a:ext>
          </a:extLst>
        </xdr:cNvPr>
        <xdr:cNvSpPr>
          <a:spLocks noChangeAspect="1" noChangeArrowheads="1"/>
        </xdr:cNvSpPr>
      </xdr:nvSpPr>
      <xdr:spPr bwMode="auto">
        <a:xfrm>
          <a:off x="3705225" y="1333500"/>
          <a:ext cx="304800" cy="30324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xdr:row>
      <xdr:rowOff>0</xdr:rowOff>
    </xdr:from>
    <xdr:to>
      <xdr:col>0</xdr:col>
      <xdr:colOff>304800</xdr:colOff>
      <xdr:row>78</xdr:row>
      <xdr:rowOff>118427</xdr:rowOff>
    </xdr:to>
    <xdr:sp macro="" textlink="">
      <xdr:nvSpPr>
        <xdr:cNvPr id="66709" name="avatar">
          <a:extLst>
            <a:ext uri="{FF2B5EF4-FFF2-40B4-BE49-F238E27FC236}">
              <a16:creationId xmlns:a16="http://schemas.microsoft.com/office/drawing/2014/main" id="{DE72C55C-C741-45EF-8860-8D3C8D630DEE}"/>
            </a:ext>
          </a:extLst>
        </xdr:cNvPr>
        <xdr:cNvSpPr>
          <a:spLocks noChangeAspect="1" noChangeArrowheads="1"/>
        </xdr:cNvSpPr>
      </xdr:nvSpPr>
      <xdr:spPr bwMode="auto">
        <a:xfrm>
          <a:off x="0" y="1333500"/>
          <a:ext cx="304800" cy="28797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77</xdr:row>
      <xdr:rowOff>0</xdr:rowOff>
    </xdr:from>
    <xdr:ext cx="304800" cy="304701"/>
    <xdr:sp macro="" textlink="">
      <xdr:nvSpPr>
        <xdr:cNvPr id="66710" name="avatar">
          <a:extLst>
            <a:ext uri="{FF2B5EF4-FFF2-40B4-BE49-F238E27FC236}">
              <a16:creationId xmlns:a16="http://schemas.microsoft.com/office/drawing/2014/main" id="{CBC6EE92-6C8C-4AE3-BA68-FED17FEF7C08}"/>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77</xdr:row>
      <xdr:rowOff>0</xdr:rowOff>
    </xdr:from>
    <xdr:to>
      <xdr:col>1</xdr:col>
      <xdr:colOff>304800</xdr:colOff>
      <xdr:row>78</xdr:row>
      <xdr:rowOff>149225</xdr:rowOff>
    </xdr:to>
    <xdr:sp macro="" textlink="">
      <xdr:nvSpPr>
        <xdr:cNvPr id="66711" name="avatar">
          <a:extLst>
            <a:ext uri="{FF2B5EF4-FFF2-40B4-BE49-F238E27FC236}">
              <a16:creationId xmlns:a16="http://schemas.microsoft.com/office/drawing/2014/main" id="{16C56771-61BF-45D6-B2CB-F47FCA9DA782}"/>
            </a:ext>
          </a:extLst>
        </xdr:cNvPr>
        <xdr:cNvSpPr>
          <a:spLocks noChangeAspect="1" noChangeArrowheads="1"/>
        </xdr:cNvSpPr>
      </xdr:nvSpPr>
      <xdr:spPr bwMode="auto">
        <a:xfrm>
          <a:off x="3705225" y="1333500"/>
          <a:ext cx="304800" cy="2940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xdr:row>
      <xdr:rowOff>0</xdr:rowOff>
    </xdr:from>
    <xdr:to>
      <xdr:col>0</xdr:col>
      <xdr:colOff>304800</xdr:colOff>
      <xdr:row>78</xdr:row>
      <xdr:rowOff>147954</xdr:rowOff>
    </xdr:to>
    <xdr:sp macro="" textlink="">
      <xdr:nvSpPr>
        <xdr:cNvPr id="66712" name="avatar">
          <a:extLst>
            <a:ext uri="{FF2B5EF4-FFF2-40B4-BE49-F238E27FC236}">
              <a16:creationId xmlns:a16="http://schemas.microsoft.com/office/drawing/2014/main" id="{18714E58-64D8-47FE-A7D0-2615DB3AB84F}"/>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77</xdr:row>
      <xdr:rowOff>0</xdr:rowOff>
    </xdr:from>
    <xdr:ext cx="304800" cy="304701"/>
    <xdr:sp macro="" textlink="">
      <xdr:nvSpPr>
        <xdr:cNvPr id="66713" name="avatar">
          <a:extLst>
            <a:ext uri="{FF2B5EF4-FFF2-40B4-BE49-F238E27FC236}">
              <a16:creationId xmlns:a16="http://schemas.microsoft.com/office/drawing/2014/main" id="{3D301D9F-BC4A-4903-8DCE-AC36F9FA9BCE}"/>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77</xdr:row>
      <xdr:rowOff>0</xdr:rowOff>
    </xdr:from>
    <xdr:to>
      <xdr:col>1</xdr:col>
      <xdr:colOff>304800</xdr:colOff>
      <xdr:row>78</xdr:row>
      <xdr:rowOff>149224</xdr:rowOff>
    </xdr:to>
    <xdr:sp macro="" textlink="">
      <xdr:nvSpPr>
        <xdr:cNvPr id="66714" name="avatar">
          <a:extLst>
            <a:ext uri="{FF2B5EF4-FFF2-40B4-BE49-F238E27FC236}">
              <a16:creationId xmlns:a16="http://schemas.microsoft.com/office/drawing/2014/main" id="{C48F0DBD-960A-4904-82A0-96A04BC269DC}"/>
            </a:ext>
          </a:extLst>
        </xdr:cNvPr>
        <xdr:cNvSpPr>
          <a:spLocks noChangeAspect="1" noChangeArrowheads="1"/>
        </xdr:cNvSpPr>
      </xdr:nvSpPr>
      <xdr:spPr bwMode="auto">
        <a:xfrm>
          <a:off x="3705225" y="1333500"/>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xdr:row>
      <xdr:rowOff>0</xdr:rowOff>
    </xdr:from>
    <xdr:to>
      <xdr:col>0</xdr:col>
      <xdr:colOff>304800</xdr:colOff>
      <xdr:row>78</xdr:row>
      <xdr:rowOff>149224</xdr:rowOff>
    </xdr:to>
    <xdr:sp macro="" textlink="">
      <xdr:nvSpPr>
        <xdr:cNvPr id="66715" name="avatar">
          <a:extLst>
            <a:ext uri="{FF2B5EF4-FFF2-40B4-BE49-F238E27FC236}">
              <a16:creationId xmlns:a16="http://schemas.microsoft.com/office/drawing/2014/main" id="{BB92E6A7-1257-47FA-B7E9-1A29DED4DEB0}"/>
            </a:ext>
          </a:extLst>
        </xdr:cNvPr>
        <xdr:cNvSpPr>
          <a:spLocks noChangeAspect="1" noChangeArrowheads="1"/>
        </xdr:cNvSpPr>
      </xdr:nvSpPr>
      <xdr:spPr bwMode="auto">
        <a:xfrm>
          <a:off x="0" y="1333500"/>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77</xdr:row>
      <xdr:rowOff>0</xdr:rowOff>
    </xdr:from>
    <xdr:ext cx="304800" cy="295274"/>
    <xdr:sp macro="" textlink="">
      <xdr:nvSpPr>
        <xdr:cNvPr id="66716" name="avatar">
          <a:extLst>
            <a:ext uri="{FF2B5EF4-FFF2-40B4-BE49-F238E27FC236}">
              <a16:creationId xmlns:a16="http://schemas.microsoft.com/office/drawing/2014/main" id="{2E96EA06-DD75-4290-B1CE-C122D95A5626}"/>
            </a:ext>
          </a:extLst>
        </xdr:cNvPr>
        <xdr:cNvSpPr>
          <a:spLocks noChangeAspect="1" noChangeArrowheads="1"/>
        </xdr:cNvSpPr>
      </xdr:nvSpPr>
      <xdr:spPr bwMode="auto">
        <a:xfrm>
          <a:off x="3705225"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6717" name="avatar">
          <a:extLst>
            <a:ext uri="{FF2B5EF4-FFF2-40B4-BE49-F238E27FC236}">
              <a16:creationId xmlns:a16="http://schemas.microsoft.com/office/drawing/2014/main" id="{F6CD1EBA-1D75-4B7F-8EE5-53FF07318F18}"/>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77</xdr:row>
      <xdr:rowOff>0</xdr:rowOff>
    </xdr:from>
    <xdr:to>
      <xdr:col>1</xdr:col>
      <xdr:colOff>304800</xdr:colOff>
      <xdr:row>78</xdr:row>
      <xdr:rowOff>153698</xdr:rowOff>
    </xdr:to>
    <xdr:sp macro="" textlink="">
      <xdr:nvSpPr>
        <xdr:cNvPr id="66718" name="avatar">
          <a:extLst>
            <a:ext uri="{FF2B5EF4-FFF2-40B4-BE49-F238E27FC236}">
              <a16:creationId xmlns:a16="http://schemas.microsoft.com/office/drawing/2014/main" id="{351C49D2-4E97-44A0-9D1E-7A82A269C4B8}"/>
            </a:ext>
          </a:extLst>
        </xdr:cNvPr>
        <xdr:cNvSpPr>
          <a:spLocks noChangeAspect="1" noChangeArrowheads="1"/>
        </xdr:cNvSpPr>
      </xdr:nvSpPr>
      <xdr:spPr bwMode="auto">
        <a:xfrm>
          <a:off x="3705225" y="1333500"/>
          <a:ext cx="304800" cy="31371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xdr:row>
      <xdr:rowOff>0</xdr:rowOff>
    </xdr:from>
    <xdr:to>
      <xdr:col>0</xdr:col>
      <xdr:colOff>304800</xdr:colOff>
      <xdr:row>78</xdr:row>
      <xdr:rowOff>147954</xdr:rowOff>
    </xdr:to>
    <xdr:sp macro="" textlink="">
      <xdr:nvSpPr>
        <xdr:cNvPr id="66719" name="avatar">
          <a:extLst>
            <a:ext uri="{FF2B5EF4-FFF2-40B4-BE49-F238E27FC236}">
              <a16:creationId xmlns:a16="http://schemas.microsoft.com/office/drawing/2014/main" id="{22368FBE-E93C-4125-9925-48DF00E82E5A}"/>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77</xdr:row>
      <xdr:rowOff>0</xdr:rowOff>
    </xdr:from>
    <xdr:ext cx="304800" cy="304701"/>
    <xdr:sp macro="" textlink="">
      <xdr:nvSpPr>
        <xdr:cNvPr id="66720" name="avatar">
          <a:extLst>
            <a:ext uri="{FF2B5EF4-FFF2-40B4-BE49-F238E27FC236}">
              <a16:creationId xmlns:a16="http://schemas.microsoft.com/office/drawing/2014/main" id="{A76D8172-B8E0-4C69-8DF6-540AC9E4D385}"/>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77</xdr:row>
      <xdr:rowOff>0</xdr:rowOff>
    </xdr:from>
    <xdr:to>
      <xdr:col>1</xdr:col>
      <xdr:colOff>304800</xdr:colOff>
      <xdr:row>79</xdr:row>
      <xdr:rowOff>0</xdr:rowOff>
    </xdr:to>
    <xdr:sp macro="" textlink="">
      <xdr:nvSpPr>
        <xdr:cNvPr id="66721" name="avatar">
          <a:extLst>
            <a:ext uri="{FF2B5EF4-FFF2-40B4-BE49-F238E27FC236}">
              <a16:creationId xmlns:a16="http://schemas.microsoft.com/office/drawing/2014/main" id="{807B6511-B16E-4871-B93A-C6F78EA2D9B8}"/>
            </a:ext>
          </a:extLst>
        </xdr:cNvPr>
        <xdr:cNvSpPr>
          <a:spLocks noChangeAspect="1" noChangeArrowheads="1"/>
        </xdr:cNvSpPr>
      </xdr:nvSpPr>
      <xdr:spPr bwMode="auto">
        <a:xfrm>
          <a:off x="3705225" y="133350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xdr:row>
      <xdr:rowOff>0</xdr:rowOff>
    </xdr:from>
    <xdr:to>
      <xdr:col>0</xdr:col>
      <xdr:colOff>304800</xdr:colOff>
      <xdr:row>78</xdr:row>
      <xdr:rowOff>147954</xdr:rowOff>
    </xdr:to>
    <xdr:sp macro="" textlink="">
      <xdr:nvSpPr>
        <xdr:cNvPr id="66722" name="avatar">
          <a:extLst>
            <a:ext uri="{FF2B5EF4-FFF2-40B4-BE49-F238E27FC236}">
              <a16:creationId xmlns:a16="http://schemas.microsoft.com/office/drawing/2014/main" id="{7DDE10A9-71B8-4B75-A005-EBC58437AF21}"/>
            </a:ext>
          </a:extLst>
        </xdr:cNvPr>
        <xdr:cNvSpPr>
          <a:spLocks noChangeAspect="1" noChangeArrowheads="1"/>
        </xdr:cNvSpPr>
      </xdr:nvSpPr>
      <xdr:spPr bwMode="auto">
        <a:xfrm>
          <a:off x="0" y="1333500"/>
          <a:ext cx="304800" cy="2946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77</xdr:row>
      <xdr:rowOff>0</xdr:rowOff>
    </xdr:from>
    <xdr:ext cx="304800" cy="304701"/>
    <xdr:sp macro="" textlink="">
      <xdr:nvSpPr>
        <xdr:cNvPr id="66723" name="avatar">
          <a:extLst>
            <a:ext uri="{FF2B5EF4-FFF2-40B4-BE49-F238E27FC236}">
              <a16:creationId xmlns:a16="http://schemas.microsoft.com/office/drawing/2014/main" id="{B252A69B-0A7C-4B3C-B431-256BB04A5FF7}"/>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724" name="avatar">
          <a:extLst>
            <a:ext uri="{FF2B5EF4-FFF2-40B4-BE49-F238E27FC236}">
              <a16:creationId xmlns:a16="http://schemas.microsoft.com/office/drawing/2014/main" id="{764882C1-65ED-439C-B71C-3ED4F1FEE96F}"/>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725" name="avatar">
          <a:extLst>
            <a:ext uri="{FF2B5EF4-FFF2-40B4-BE49-F238E27FC236}">
              <a16:creationId xmlns:a16="http://schemas.microsoft.com/office/drawing/2014/main" id="{FFDEAF0A-B825-4F65-9277-77180635A884}"/>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6726" name="avatar">
          <a:extLst>
            <a:ext uri="{FF2B5EF4-FFF2-40B4-BE49-F238E27FC236}">
              <a16:creationId xmlns:a16="http://schemas.microsoft.com/office/drawing/2014/main" id="{74A5F1C4-2B1C-413C-8B33-ED8FB38CC2F5}"/>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6727" name="avatar">
          <a:extLst>
            <a:ext uri="{FF2B5EF4-FFF2-40B4-BE49-F238E27FC236}">
              <a16:creationId xmlns:a16="http://schemas.microsoft.com/office/drawing/2014/main" id="{E83F20FF-62A2-46FE-AFCC-6B29B02D7B7D}"/>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728" name="avatar">
          <a:extLst>
            <a:ext uri="{FF2B5EF4-FFF2-40B4-BE49-F238E27FC236}">
              <a16:creationId xmlns:a16="http://schemas.microsoft.com/office/drawing/2014/main" id="{2C0ECC77-C024-4019-A079-9A8FF3951444}"/>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729" name="avatar">
          <a:extLst>
            <a:ext uri="{FF2B5EF4-FFF2-40B4-BE49-F238E27FC236}">
              <a16:creationId xmlns:a16="http://schemas.microsoft.com/office/drawing/2014/main" id="{F3D0296F-6453-4FFC-8CC8-EE1C2EE5C8F7}"/>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6730" name="avatar">
          <a:extLst>
            <a:ext uri="{FF2B5EF4-FFF2-40B4-BE49-F238E27FC236}">
              <a16:creationId xmlns:a16="http://schemas.microsoft.com/office/drawing/2014/main" id="{7D5F2B56-CD97-4D06-9A33-EDDBD9202670}"/>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731" name="avatar">
          <a:extLst>
            <a:ext uri="{FF2B5EF4-FFF2-40B4-BE49-F238E27FC236}">
              <a16:creationId xmlns:a16="http://schemas.microsoft.com/office/drawing/2014/main" id="{9A7030F7-33F3-444D-86E6-D21D41511FDE}"/>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732" name="avatar">
          <a:extLst>
            <a:ext uri="{FF2B5EF4-FFF2-40B4-BE49-F238E27FC236}">
              <a16:creationId xmlns:a16="http://schemas.microsoft.com/office/drawing/2014/main" id="{437B6875-26F5-4BED-BAFB-7D45DF7D43B3}"/>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733" name="avatar">
          <a:extLst>
            <a:ext uri="{FF2B5EF4-FFF2-40B4-BE49-F238E27FC236}">
              <a16:creationId xmlns:a16="http://schemas.microsoft.com/office/drawing/2014/main" id="{799F5BFF-337A-4A8A-9A3D-FDEE4B8A6C0A}"/>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6734" name="avatar">
          <a:extLst>
            <a:ext uri="{FF2B5EF4-FFF2-40B4-BE49-F238E27FC236}">
              <a16:creationId xmlns:a16="http://schemas.microsoft.com/office/drawing/2014/main" id="{02DDBA0F-9ED3-4848-AB5B-32BE5660E27E}"/>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6735" name="avatar">
          <a:extLst>
            <a:ext uri="{FF2B5EF4-FFF2-40B4-BE49-F238E27FC236}">
              <a16:creationId xmlns:a16="http://schemas.microsoft.com/office/drawing/2014/main" id="{6082F1A8-C002-4413-AD78-286A89FF1E40}"/>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736" name="avatar">
          <a:extLst>
            <a:ext uri="{FF2B5EF4-FFF2-40B4-BE49-F238E27FC236}">
              <a16:creationId xmlns:a16="http://schemas.microsoft.com/office/drawing/2014/main" id="{4F05A4A5-76DE-4751-865F-A5A52C5DC4D6}"/>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737" name="avatar">
          <a:extLst>
            <a:ext uri="{FF2B5EF4-FFF2-40B4-BE49-F238E27FC236}">
              <a16:creationId xmlns:a16="http://schemas.microsoft.com/office/drawing/2014/main" id="{EE45BFEB-BF70-4113-9CA9-FFD85846135B}"/>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6738" name="avatar">
          <a:extLst>
            <a:ext uri="{FF2B5EF4-FFF2-40B4-BE49-F238E27FC236}">
              <a16:creationId xmlns:a16="http://schemas.microsoft.com/office/drawing/2014/main" id="{4B060C78-BF62-4EA7-B315-447A2F8CA7D5}"/>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739" name="avatar">
          <a:extLst>
            <a:ext uri="{FF2B5EF4-FFF2-40B4-BE49-F238E27FC236}">
              <a16:creationId xmlns:a16="http://schemas.microsoft.com/office/drawing/2014/main" id="{A49A2F73-0306-40A9-9E75-FBE16DC73827}"/>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740" name="avatar">
          <a:extLst>
            <a:ext uri="{FF2B5EF4-FFF2-40B4-BE49-F238E27FC236}">
              <a16:creationId xmlns:a16="http://schemas.microsoft.com/office/drawing/2014/main" id="{2A922380-E4C7-4EA0-A416-0BB7008AC3E8}"/>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741" name="avatar">
          <a:extLst>
            <a:ext uri="{FF2B5EF4-FFF2-40B4-BE49-F238E27FC236}">
              <a16:creationId xmlns:a16="http://schemas.microsoft.com/office/drawing/2014/main" id="{00727BDA-C7B0-4841-B2AB-C650D33E49F7}"/>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6742" name="avatar">
          <a:extLst>
            <a:ext uri="{FF2B5EF4-FFF2-40B4-BE49-F238E27FC236}">
              <a16:creationId xmlns:a16="http://schemas.microsoft.com/office/drawing/2014/main" id="{DB23EB1B-5112-4CE8-A90C-CC2B65410630}"/>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6743" name="avatar">
          <a:extLst>
            <a:ext uri="{FF2B5EF4-FFF2-40B4-BE49-F238E27FC236}">
              <a16:creationId xmlns:a16="http://schemas.microsoft.com/office/drawing/2014/main" id="{65AC868B-F002-4456-BA0E-0B44BF129F17}"/>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744" name="avatar">
          <a:extLst>
            <a:ext uri="{FF2B5EF4-FFF2-40B4-BE49-F238E27FC236}">
              <a16:creationId xmlns:a16="http://schemas.microsoft.com/office/drawing/2014/main" id="{5D16381F-D5E7-4846-B546-7630D4ACBE05}"/>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745" name="avatar">
          <a:extLst>
            <a:ext uri="{FF2B5EF4-FFF2-40B4-BE49-F238E27FC236}">
              <a16:creationId xmlns:a16="http://schemas.microsoft.com/office/drawing/2014/main" id="{D42C980D-D251-4E79-B05C-4FFE9F448576}"/>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6746" name="avatar">
          <a:extLst>
            <a:ext uri="{FF2B5EF4-FFF2-40B4-BE49-F238E27FC236}">
              <a16:creationId xmlns:a16="http://schemas.microsoft.com/office/drawing/2014/main" id="{ADD921E8-BDCF-46D2-8E4E-725E477CCF76}"/>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747" name="avatar">
          <a:extLst>
            <a:ext uri="{FF2B5EF4-FFF2-40B4-BE49-F238E27FC236}">
              <a16:creationId xmlns:a16="http://schemas.microsoft.com/office/drawing/2014/main" id="{4E99625E-8365-4F71-9A8B-B85F74D13E06}"/>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748" name="avatar">
          <a:extLst>
            <a:ext uri="{FF2B5EF4-FFF2-40B4-BE49-F238E27FC236}">
              <a16:creationId xmlns:a16="http://schemas.microsoft.com/office/drawing/2014/main" id="{ECCA0133-EBFD-4724-AEDB-31154052EF39}"/>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749" name="avatar">
          <a:extLst>
            <a:ext uri="{FF2B5EF4-FFF2-40B4-BE49-F238E27FC236}">
              <a16:creationId xmlns:a16="http://schemas.microsoft.com/office/drawing/2014/main" id="{2365D5D2-E939-46B6-9E89-AB3CC0ABBE14}"/>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6750" name="avatar">
          <a:extLst>
            <a:ext uri="{FF2B5EF4-FFF2-40B4-BE49-F238E27FC236}">
              <a16:creationId xmlns:a16="http://schemas.microsoft.com/office/drawing/2014/main" id="{E55649B6-B040-4CA7-9E2B-3CDCA700A9D2}"/>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6751" name="avatar">
          <a:extLst>
            <a:ext uri="{FF2B5EF4-FFF2-40B4-BE49-F238E27FC236}">
              <a16:creationId xmlns:a16="http://schemas.microsoft.com/office/drawing/2014/main" id="{76F2935C-B860-4964-AF2A-26B153CC15C8}"/>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752" name="avatar">
          <a:extLst>
            <a:ext uri="{FF2B5EF4-FFF2-40B4-BE49-F238E27FC236}">
              <a16:creationId xmlns:a16="http://schemas.microsoft.com/office/drawing/2014/main" id="{EA5731B1-1906-46EE-810F-8D19ADCA2DE5}"/>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753" name="avatar">
          <a:extLst>
            <a:ext uri="{FF2B5EF4-FFF2-40B4-BE49-F238E27FC236}">
              <a16:creationId xmlns:a16="http://schemas.microsoft.com/office/drawing/2014/main" id="{B4E0C42C-C9FA-44C0-9EF5-06EF14F9B270}"/>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6754" name="avatar">
          <a:extLst>
            <a:ext uri="{FF2B5EF4-FFF2-40B4-BE49-F238E27FC236}">
              <a16:creationId xmlns:a16="http://schemas.microsoft.com/office/drawing/2014/main" id="{CE4F2CC7-3AD0-4C8D-AEC5-D731452B292D}"/>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755" name="avatar">
          <a:extLst>
            <a:ext uri="{FF2B5EF4-FFF2-40B4-BE49-F238E27FC236}">
              <a16:creationId xmlns:a16="http://schemas.microsoft.com/office/drawing/2014/main" id="{0EF3F67B-0A79-4542-ABBE-58BE459768D7}"/>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756" name="avatar">
          <a:extLst>
            <a:ext uri="{FF2B5EF4-FFF2-40B4-BE49-F238E27FC236}">
              <a16:creationId xmlns:a16="http://schemas.microsoft.com/office/drawing/2014/main" id="{576F256F-67F7-4414-AAB6-C666FEE6DC36}"/>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757" name="avatar">
          <a:extLst>
            <a:ext uri="{FF2B5EF4-FFF2-40B4-BE49-F238E27FC236}">
              <a16:creationId xmlns:a16="http://schemas.microsoft.com/office/drawing/2014/main" id="{E1BCFADD-53A6-4978-85AF-72ECA6D4273C}"/>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6758" name="avatar">
          <a:extLst>
            <a:ext uri="{FF2B5EF4-FFF2-40B4-BE49-F238E27FC236}">
              <a16:creationId xmlns:a16="http://schemas.microsoft.com/office/drawing/2014/main" id="{500008AB-6D49-4583-966C-365BA0EA17B4}"/>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6759" name="avatar">
          <a:extLst>
            <a:ext uri="{FF2B5EF4-FFF2-40B4-BE49-F238E27FC236}">
              <a16:creationId xmlns:a16="http://schemas.microsoft.com/office/drawing/2014/main" id="{210CB80C-92DE-4C84-B57D-83E137013EB1}"/>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760" name="avatar">
          <a:extLst>
            <a:ext uri="{FF2B5EF4-FFF2-40B4-BE49-F238E27FC236}">
              <a16:creationId xmlns:a16="http://schemas.microsoft.com/office/drawing/2014/main" id="{BD269744-2F8F-45E9-951F-27F45C655C36}"/>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761" name="avatar">
          <a:extLst>
            <a:ext uri="{FF2B5EF4-FFF2-40B4-BE49-F238E27FC236}">
              <a16:creationId xmlns:a16="http://schemas.microsoft.com/office/drawing/2014/main" id="{DB2115A7-0CA0-4597-B7FF-A9B3FC0D13A2}"/>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6762" name="avatar">
          <a:extLst>
            <a:ext uri="{FF2B5EF4-FFF2-40B4-BE49-F238E27FC236}">
              <a16:creationId xmlns:a16="http://schemas.microsoft.com/office/drawing/2014/main" id="{FD0D1105-1CE8-4912-B6BF-0120068C76AD}"/>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763" name="avatar">
          <a:extLst>
            <a:ext uri="{FF2B5EF4-FFF2-40B4-BE49-F238E27FC236}">
              <a16:creationId xmlns:a16="http://schemas.microsoft.com/office/drawing/2014/main" id="{04AE491F-0839-412B-A0A3-27041F32F902}"/>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764" name="avatar">
          <a:extLst>
            <a:ext uri="{FF2B5EF4-FFF2-40B4-BE49-F238E27FC236}">
              <a16:creationId xmlns:a16="http://schemas.microsoft.com/office/drawing/2014/main" id="{D0BB085A-B835-46A9-A75A-75B7A1B7AB5B}"/>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765" name="avatar">
          <a:extLst>
            <a:ext uri="{FF2B5EF4-FFF2-40B4-BE49-F238E27FC236}">
              <a16:creationId xmlns:a16="http://schemas.microsoft.com/office/drawing/2014/main" id="{A26BF1B9-0D0C-490A-877D-B3FCDDE95C40}"/>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6766" name="avatar">
          <a:extLst>
            <a:ext uri="{FF2B5EF4-FFF2-40B4-BE49-F238E27FC236}">
              <a16:creationId xmlns:a16="http://schemas.microsoft.com/office/drawing/2014/main" id="{C6E1FEEA-BD4A-4D39-94C9-AEE9B8ED7BED}"/>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6767" name="avatar">
          <a:extLst>
            <a:ext uri="{FF2B5EF4-FFF2-40B4-BE49-F238E27FC236}">
              <a16:creationId xmlns:a16="http://schemas.microsoft.com/office/drawing/2014/main" id="{4C98FC19-6BEC-4327-8A12-52E7DA08FF2A}"/>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768" name="avatar">
          <a:extLst>
            <a:ext uri="{FF2B5EF4-FFF2-40B4-BE49-F238E27FC236}">
              <a16:creationId xmlns:a16="http://schemas.microsoft.com/office/drawing/2014/main" id="{2292472D-3E86-4FFC-8D02-F9A36211F7B9}"/>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769" name="avatar">
          <a:extLst>
            <a:ext uri="{FF2B5EF4-FFF2-40B4-BE49-F238E27FC236}">
              <a16:creationId xmlns:a16="http://schemas.microsoft.com/office/drawing/2014/main" id="{C301C399-A1E9-4483-9898-4DFCB7E5DAD2}"/>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6770" name="avatar">
          <a:extLst>
            <a:ext uri="{FF2B5EF4-FFF2-40B4-BE49-F238E27FC236}">
              <a16:creationId xmlns:a16="http://schemas.microsoft.com/office/drawing/2014/main" id="{CB669010-858F-45BC-AEF1-6E9F7A440FA5}"/>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771" name="avatar">
          <a:extLst>
            <a:ext uri="{FF2B5EF4-FFF2-40B4-BE49-F238E27FC236}">
              <a16:creationId xmlns:a16="http://schemas.microsoft.com/office/drawing/2014/main" id="{EB1A53D9-7FC0-44E0-A079-3D50DE5A7E72}"/>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772" name="avatar">
          <a:extLst>
            <a:ext uri="{FF2B5EF4-FFF2-40B4-BE49-F238E27FC236}">
              <a16:creationId xmlns:a16="http://schemas.microsoft.com/office/drawing/2014/main" id="{C0401C59-3169-4479-A312-B45F4D95376C}"/>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773" name="avatar">
          <a:extLst>
            <a:ext uri="{FF2B5EF4-FFF2-40B4-BE49-F238E27FC236}">
              <a16:creationId xmlns:a16="http://schemas.microsoft.com/office/drawing/2014/main" id="{FBC8DADE-84C9-4103-B6BE-96FD23375107}"/>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6774" name="avatar">
          <a:extLst>
            <a:ext uri="{FF2B5EF4-FFF2-40B4-BE49-F238E27FC236}">
              <a16:creationId xmlns:a16="http://schemas.microsoft.com/office/drawing/2014/main" id="{B949CAD9-DC93-4D33-8724-2A6607E197E3}"/>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6775" name="avatar">
          <a:extLst>
            <a:ext uri="{FF2B5EF4-FFF2-40B4-BE49-F238E27FC236}">
              <a16:creationId xmlns:a16="http://schemas.microsoft.com/office/drawing/2014/main" id="{E8E7FAAA-C170-4D13-A0E2-26F02B742B42}"/>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776" name="avatar">
          <a:extLst>
            <a:ext uri="{FF2B5EF4-FFF2-40B4-BE49-F238E27FC236}">
              <a16:creationId xmlns:a16="http://schemas.microsoft.com/office/drawing/2014/main" id="{A68DEF74-A7DC-4B1D-8F67-B22940AA0A45}"/>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777" name="avatar">
          <a:extLst>
            <a:ext uri="{FF2B5EF4-FFF2-40B4-BE49-F238E27FC236}">
              <a16:creationId xmlns:a16="http://schemas.microsoft.com/office/drawing/2014/main" id="{5459BD7B-52C9-4CC1-8544-7E7C67124DE1}"/>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6778" name="avatar">
          <a:extLst>
            <a:ext uri="{FF2B5EF4-FFF2-40B4-BE49-F238E27FC236}">
              <a16:creationId xmlns:a16="http://schemas.microsoft.com/office/drawing/2014/main" id="{BA4CCB68-6BC8-4130-B041-C0A06F27ACE1}"/>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779" name="avatar">
          <a:extLst>
            <a:ext uri="{FF2B5EF4-FFF2-40B4-BE49-F238E27FC236}">
              <a16:creationId xmlns:a16="http://schemas.microsoft.com/office/drawing/2014/main" id="{0C5A9CFC-E585-4E0F-9D74-4B19FDA49BF7}"/>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780" name="avatar">
          <a:extLst>
            <a:ext uri="{FF2B5EF4-FFF2-40B4-BE49-F238E27FC236}">
              <a16:creationId xmlns:a16="http://schemas.microsoft.com/office/drawing/2014/main" id="{43CD1272-5FD6-4A3C-9B15-0BC097670249}"/>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781" name="avatar">
          <a:extLst>
            <a:ext uri="{FF2B5EF4-FFF2-40B4-BE49-F238E27FC236}">
              <a16:creationId xmlns:a16="http://schemas.microsoft.com/office/drawing/2014/main" id="{D0B894E2-8EF1-4859-8FBA-FE9D6773269F}"/>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6782" name="avatar">
          <a:extLst>
            <a:ext uri="{FF2B5EF4-FFF2-40B4-BE49-F238E27FC236}">
              <a16:creationId xmlns:a16="http://schemas.microsoft.com/office/drawing/2014/main" id="{F8A1BC1E-C197-4813-9B87-7AB56DB809FB}"/>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6783" name="avatar">
          <a:extLst>
            <a:ext uri="{FF2B5EF4-FFF2-40B4-BE49-F238E27FC236}">
              <a16:creationId xmlns:a16="http://schemas.microsoft.com/office/drawing/2014/main" id="{A08F11E7-72D2-46F7-97D2-EC932D3AE5E9}"/>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784" name="avatar">
          <a:extLst>
            <a:ext uri="{FF2B5EF4-FFF2-40B4-BE49-F238E27FC236}">
              <a16:creationId xmlns:a16="http://schemas.microsoft.com/office/drawing/2014/main" id="{9F9119E8-6310-45BD-8808-403A34FE26A9}"/>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785" name="avatar">
          <a:extLst>
            <a:ext uri="{FF2B5EF4-FFF2-40B4-BE49-F238E27FC236}">
              <a16:creationId xmlns:a16="http://schemas.microsoft.com/office/drawing/2014/main" id="{3637FC40-2B0D-4E97-8E46-5FA561071892}"/>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6786" name="avatar">
          <a:extLst>
            <a:ext uri="{FF2B5EF4-FFF2-40B4-BE49-F238E27FC236}">
              <a16:creationId xmlns:a16="http://schemas.microsoft.com/office/drawing/2014/main" id="{2495B17E-441A-447B-9420-4AA173B81096}"/>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787" name="avatar">
          <a:extLst>
            <a:ext uri="{FF2B5EF4-FFF2-40B4-BE49-F238E27FC236}">
              <a16:creationId xmlns:a16="http://schemas.microsoft.com/office/drawing/2014/main" id="{CAC52665-5390-402F-9FE4-05EC8EBFFB40}"/>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788" name="avatar">
          <a:extLst>
            <a:ext uri="{FF2B5EF4-FFF2-40B4-BE49-F238E27FC236}">
              <a16:creationId xmlns:a16="http://schemas.microsoft.com/office/drawing/2014/main" id="{329F27FA-A6BF-40D4-AE95-E5C33BE5471F}"/>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789" name="avatar">
          <a:extLst>
            <a:ext uri="{FF2B5EF4-FFF2-40B4-BE49-F238E27FC236}">
              <a16:creationId xmlns:a16="http://schemas.microsoft.com/office/drawing/2014/main" id="{90DF6311-61BF-4413-8B82-645973D59753}"/>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6790" name="avatar">
          <a:extLst>
            <a:ext uri="{FF2B5EF4-FFF2-40B4-BE49-F238E27FC236}">
              <a16:creationId xmlns:a16="http://schemas.microsoft.com/office/drawing/2014/main" id="{83C67703-92A2-4E6A-A367-BFD88C1ABEF3}"/>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6791" name="avatar">
          <a:extLst>
            <a:ext uri="{FF2B5EF4-FFF2-40B4-BE49-F238E27FC236}">
              <a16:creationId xmlns:a16="http://schemas.microsoft.com/office/drawing/2014/main" id="{2DDF9EE6-2412-48C5-A643-4F906D8A2553}"/>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792" name="avatar">
          <a:extLst>
            <a:ext uri="{FF2B5EF4-FFF2-40B4-BE49-F238E27FC236}">
              <a16:creationId xmlns:a16="http://schemas.microsoft.com/office/drawing/2014/main" id="{6FD603C0-94B9-4B23-9B26-243E16D5A791}"/>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793" name="avatar">
          <a:extLst>
            <a:ext uri="{FF2B5EF4-FFF2-40B4-BE49-F238E27FC236}">
              <a16:creationId xmlns:a16="http://schemas.microsoft.com/office/drawing/2014/main" id="{1661D23F-16D3-4ED8-AB8F-86BB6AB30B74}"/>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6794" name="avatar">
          <a:extLst>
            <a:ext uri="{FF2B5EF4-FFF2-40B4-BE49-F238E27FC236}">
              <a16:creationId xmlns:a16="http://schemas.microsoft.com/office/drawing/2014/main" id="{F4E5EE92-2142-4E4B-987E-635666451CF1}"/>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795" name="avatar">
          <a:extLst>
            <a:ext uri="{FF2B5EF4-FFF2-40B4-BE49-F238E27FC236}">
              <a16:creationId xmlns:a16="http://schemas.microsoft.com/office/drawing/2014/main" id="{27DD8176-07D5-4C05-A9C7-80F460F41E0D}"/>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796" name="avatar">
          <a:extLst>
            <a:ext uri="{FF2B5EF4-FFF2-40B4-BE49-F238E27FC236}">
              <a16:creationId xmlns:a16="http://schemas.microsoft.com/office/drawing/2014/main" id="{BAFB682D-FE3D-4535-AF88-C4814E4F506F}"/>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797" name="avatar">
          <a:extLst>
            <a:ext uri="{FF2B5EF4-FFF2-40B4-BE49-F238E27FC236}">
              <a16:creationId xmlns:a16="http://schemas.microsoft.com/office/drawing/2014/main" id="{71DC42F4-0923-42BC-8AE4-99B3B58F8C49}"/>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6798" name="avatar">
          <a:extLst>
            <a:ext uri="{FF2B5EF4-FFF2-40B4-BE49-F238E27FC236}">
              <a16:creationId xmlns:a16="http://schemas.microsoft.com/office/drawing/2014/main" id="{0358D91C-06D0-4DC1-8B14-BD1C20B7501B}"/>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6799" name="avatar">
          <a:extLst>
            <a:ext uri="{FF2B5EF4-FFF2-40B4-BE49-F238E27FC236}">
              <a16:creationId xmlns:a16="http://schemas.microsoft.com/office/drawing/2014/main" id="{7115ED54-C224-4DE2-87AE-60BD00F1A5E3}"/>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800" name="avatar">
          <a:extLst>
            <a:ext uri="{FF2B5EF4-FFF2-40B4-BE49-F238E27FC236}">
              <a16:creationId xmlns:a16="http://schemas.microsoft.com/office/drawing/2014/main" id="{65C8B3F9-490D-44D1-A917-FFA11FF572C4}"/>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801" name="avatar">
          <a:extLst>
            <a:ext uri="{FF2B5EF4-FFF2-40B4-BE49-F238E27FC236}">
              <a16:creationId xmlns:a16="http://schemas.microsoft.com/office/drawing/2014/main" id="{9C135E5B-7DB6-4B80-A853-3D6093887862}"/>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6802" name="avatar">
          <a:extLst>
            <a:ext uri="{FF2B5EF4-FFF2-40B4-BE49-F238E27FC236}">
              <a16:creationId xmlns:a16="http://schemas.microsoft.com/office/drawing/2014/main" id="{DBE46BDC-61D8-466D-84C8-037309BA7726}"/>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803" name="avatar">
          <a:extLst>
            <a:ext uri="{FF2B5EF4-FFF2-40B4-BE49-F238E27FC236}">
              <a16:creationId xmlns:a16="http://schemas.microsoft.com/office/drawing/2014/main" id="{5996F712-E5D2-467A-AA3B-31025C10031D}"/>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804" name="avatar">
          <a:extLst>
            <a:ext uri="{FF2B5EF4-FFF2-40B4-BE49-F238E27FC236}">
              <a16:creationId xmlns:a16="http://schemas.microsoft.com/office/drawing/2014/main" id="{03AFC9F6-0B5D-4A63-BACA-4D937D00BC0A}"/>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805" name="avatar">
          <a:extLst>
            <a:ext uri="{FF2B5EF4-FFF2-40B4-BE49-F238E27FC236}">
              <a16:creationId xmlns:a16="http://schemas.microsoft.com/office/drawing/2014/main" id="{55191191-DAC4-4F08-8A69-2CC751BEDA59}"/>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6806" name="avatar">
          <a:extLst>
            <a:ext uri="{FF2B5EF4-FFF2-40B4-BE49-F238E27FC236}">
              <a16:creationId xmlns:a16="http://schemas.microsoft.com/office/drawing/2014/main" id="{B2EF2A8D-06A4-4E7A-88E7-3B3FC9684198}"/>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6807" name="avatar">
          <a:extLst>
            <a:ext uri="{FF2B5EF4-FFF2-40B4-BE49-F238E27FC236}">
              <a16:creationId xmlns:a16="http://schemas.microsoft.com/office/drawing/2014/main" id="{6919AC75-B2A1-4717-B052-C6C4F61845FA}"/>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808" name="avatar">
          <a:extLst>
            <a:ext uri="{FF2B5EF4-FFF2-40B4-BE49-F238E27FC236}">
              <a16:creationId xmlns:a16="http://schemas.microsoft.com/office/drawing/2014/main" id="{B1CA6FBA-59AB-445B-8F7A-9D7AEDA3CDA4}"/>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809" name="avatar">
          <a:extLst>
            <a:ext uri="{FF2B5EF4-FFF2-40B4-BE49-F238E27FC236}">
              <a16:creationId xmlns:a16="http://schemas.microsoft.com/office/drawing/2014/main" id="{C8D02233-D880-412F-B819-4DC8157880C8}"/>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6810" name="avatar">
          <a:extLst>
            <a:ext uri="{FF2B5EF4-FFF2-40B4-BE49-F238E27FC236}">
              <a16:creationId xmlns:a16="http://schemas.microsoft.com/office/drawing/2014/main" id="{2209972A-EF00-4982-B39C-3F4AC9E45602}"/>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811" name="avatar">
          <a:extLst>
            <a:ext uri="{FF2B5EF4-FFF2-40B4-BE49-F238E27FC236}">
              <a16:creationId xmlns:a16="http://schemas.microsoft.com/office/drawing/2014/main" id="{3E1D18E8-D336-43CC-AE0D-14F379C96822}"/>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812" name="avatar">
          <a:extLst>
            <a:ext uri="{FF2B5EF4-FFF2-40B4-BE49-F238E27FC236}">
              <a16:creationId xmlns:a16="http://schemas.microsoft.com/office/drawing/2014/main" id="{AE9BB46A-3D49-4066-ACE8-0225A81EA27A}"/>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813" name="avatar">
          <a:extLst>
            <a:ext uri="{FF2B5EF4-FFF2-40B4-BE49-F238E27FC236}">
              <a16:creationId xmlns:a16="http://schemas.microsoft.com/office/drawing/2014/main" id="{DF39EFBE-81DE-46CA-8039-800FBC7B1D24}"/>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6814" name="avatar">
          <a:extLst>
            <a:ext uri="{FF2B5EF4-FFF2-40B4-BE49-F238E27FC236}">
              <a16:creationId xmlns:a16="http://schemas.microsoft.com/office/drawing/2014/main" id="{2CE9D971-7659-4B0F-88A8-D79BD88E4972}"/>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6815" name="avatar">
          <a:extLst>
            <a:ext uri="{FF2B5EF4-FFF2-40B4-BE49-F238E27FC236}">
              <a16:creationId xmlns:a16="http://schemas.microsoft.com/office/drawing/2014/main" id="{4DBDF2AE-363F-443C-97A9-6574BC620A5C}"/>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816" name="avatar">
          <a:extLst>
            <a:ext uri="{FF2B5EF4-FFF2-40B4-BE49-F238E27FC236}">
              <a16:creationId xmlns:a16="http://schemas.microsoft.com/office/drawing/2014/main" id="{80B40AE7-EF7E-46AF-B721-652AABFED321}"/>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817" name="avatar">
          <a:extLst>
            <a:ext uri="{FF2B5EF4-FFF2-40B4-BE49-F238E27FC236}">
              <a16:creationId xmlns:a16="http://schemas.microsoft.com/office/drawing/2014/main" id="{5F45B777-82C8-4889-88E5-B01CB41D03D5}"/>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6818" name="avatar">
          <a:extLst>
            <a:ext uri="{FF2B5EF4-FFF2-40B4-BE49-F238E27FC236}">
              <a16:creationId xmlns:a16="http://schemas.microsoft.com/office/drawing/2014/main" id="{25D3A881-CEC6-44C9-AFAA-EEE6411B67F1}"/>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819" name="avatar">
          <a:extLst>
            <a:ext uri="{FF2B5EF4-FFF2-40B4-BE49-F238E27FC236}">
              <a16:creationId xmlns:a16="http://schemas.microsoft.com/office/drawing/2014/main" id="{662D7C73-08A7-4300-9500-D4E0EACC5A58}"/>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820" name="avatar">
          <a:extLst>
            <a:ext uri="{FF2B5EF4-FFF2-40B4-BE49-F238E27FC236}">
              <a16:creationId xmlns:a16="http://schemas.microsoft.com/office/drawing/2014/main" id="{2582AE62-5CC5-434C-9CCC-F32A316FA892}"/>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821" name="avatar">
          <a:extLst>
            <a:ext uri="{FF2B5EF4-FFF2-40B4-BE49-F238E27FC236}">
              <a16:creationId xmlns:a16="http://schemas.microsoft.com/office/drawing/2014/main" id="{5CA05D4A-16A5-46AA-8C2E-4F53CFB6B5BF}"/>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6822" name="avatar">
          <a:extLst>
            <a:ext uri="{FF2B5EF4-FFF2-40B4-BE49-F238E27FC236}">
              <a16:creationId xmlns:a16="http://schemas.microsoft.com/office/drawing/2014/main" id="{30116D18-93A5-434D-89C2-9F8861D6E889}"/>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6823" name="avatar">
          <a:extLst>
            <a:ext uri="{FF2B5EF4-FFF2-40B4-BE49-F238E27FC236}">
              <a16:creationId xmlns:a16="http://schemas.microsoft.com/office/drawing/2014/main" id="{BE2127F6-05B6-4D9F-9A7F-657491D4A60E}"/>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824" name="avatar">
          <a:extLst>
            <a:ext uri="{FF2B5EF4-FFF2-40B4-BE49-F238E27FC236}">
              <a16:creationId xmlns:a16="http://schemas.microsoft.com/office/drawing/2014/main" id="{1BEF6BB0-947D-460F-BB25-5F64C04AE654}"/>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825" name="avatar">
          <a:extLst>
            <a:ext uri="{FF2B5EF4-FFF2-40B4-BE49-F238E27FC236}">
              <a16:creationId xmlns:a16="http://schemas.microsoft.com/office/drawing/2014/main" id="{5AB42BD5-378C-4528-9F11-59AFBC0C43E5}"/>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6826" name="avatar">
          <a:extLst>
            <a:ext uri="{FF2B5EF4-FFF2-40B4-BE49-F238E27FC236}">
              <a16:creationId xmlns:a16="http://schemas.microsoft.com/office/drawing/2014/main" id="{CA52776E-5F8B-40A1-B175-45632922D53B}"/>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827" name="avatar">
          <a:extLst>
            <a:ext uri="{FF2B5EF4-FFF2-40B4-BE49-F238E27FC236}">
              <a16:creationId xmlns:a16="http://schemas.microsoft.com/office/drawing/2014/main" id="{9664CE71-553E-47D1-9509-AAFD1CD5D91F}"/>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828" name="avatar">
          <a:extLst>
            <a:ext uri="{FF2B5EF4-FFF2-40B4-BE49-F238E27FC236}">
              <a16:creationId xmlns:a16="http://schemas.microsoft.com/office/drawing/2014/main" id="{1A6D9FE8-84EB-4BD3-BB4C-5A6BE0188555}"/>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829" name="avatar">
          <a:extLst>
            <a:ext uri="{FF2B5EF4-FFF2-40B4-BE49-F238E27FC236}">
              <a16:creationId xmlns:a16="http://schemas.microsoft.com/office/drawing/2014/main" id="{00B19AD5-0048-4416-BAA6-A350D540FD66}"/>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6830" name="avatar">
          <a:extLst>
            <a:ext uri="{FF2B5EF4-FFF2-40B4-BE49-F238E27FC236}">
              <a16:creationId xmlns:a16="http://schemas.microsoft.com/office/drawing/2014/main" id="{06E7C9E1-81BF-42C2-99B2-4E51D8F62CAD}"/>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6831" name="avatar">
          <a:extLst>
            <a:ext uri="{FF2B5EF4-FFF2-40B4-BE49-F238E27FC236}">
              <a16:creationId xmlns:a16="http://schemas.microsoft.com/office/drawing/2014/main" id="{2543A34B-F109-4A86-BF79-E669A8E941A7}"/>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832" name="avatar">
          <a:extLst>
            <a:ext uri="{FF2B5EF4-FFF2-40B4-BE49-F238E27FC236}">
              <a16:creationId xmlns:a16="http://schemas.microsoft.com/office/drawing/2014/main" id="{053B4544-B3B5-4A50-95E3-144216C3E3B8}"/>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833" name="avatar">
          <a:extLst>
            <a:ext uri="{FF2B5EF4-FFF2-40B4-BE49-F238E27FC236}">
              <a16:creationId xmlns:a16="http://schemas.microsoft.com/office/drawing/2014/main" id="{E2EA12ED-8D7C-4A9E-BBCD-58EC39AA1EA4}"/>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6834" name="avatar">
          <a:extLst>
            <a:ext uri="{FF2B5EF4-FFF2-40B4-BE49-F238E27FC236}">
              <a16:creationId xmlns:a16="http://schemas.microsoft.com/office/drawing/2014/main" id="{111F5279-74ED-425C-9058-AF450F5F97B9}"/>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835" name="avatar">
          <a:extLst>
            <a:ext uri="{FF2B5EF4-FFF2-40B4-BE49-F238E27FC236}">
              <a16:creationId xmlns:a16="http://schemas.microsoft.com/office/drawing/2014/main" id="{0BB81AEF-3EF2-4DE3-B3D3-26F7ECEF4687}"/>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836" name="avatar">
          <a:extLst>
            <a:ext uri="{FF2B5EF4-FFF2-40B4-BE49-F238E27FC236}">
              <a16:creationId xmlns:a16="http://schemas.microsoft.com/office/drawing/2014/main" id="{BD42309E-997B-4197-ABE2-BE3698DF5E14}"/>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837" name="avatar">
          <a:extLst>
            <a:ext uri="{FF2B5EF4-FFF2-40B4-BE49-F238E27FC236}">
              <a16:creationId xmlns:a16="http://schemas.microsoft.com/office/drawing/2014/main" id="{027B7DF7-A31D-4E56-B28F-BF6EDA65708B}"/>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6838" name="avatar">
          <a:extLst>
            <a:ext uri="{FF2B5EF4-FFF2-40B4-BE49-F238E27FC236}">
              <a16:creationId xmlns:a16="http://schemas.microsoft.com/office/drawing/2014/main" id="{16C98036-72B8-4A00-906B-EF1730B1A1FD}"/>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6839" name="avatar">
          <a:extLst>
            <a:ext uri="{FF2B5EF4-FFF2-40B4-BE49-F238E27FC236}">
              <a16:creationId xmlns:a16="http://schemas.microsoft.com/office/drawing/2014/main" id="{81F516B3-30F3-4EE5-BB5D-247DB90B2C8F}"/>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840" name="avatar">
          <a:extLst>
            <a:ext uri="{FF2B5EF4-FFF2-40B4-BE49-F238E27FC236}">
              <a16:creationId xmlns:a16="http://schemas.microsoft.com/office/drawing/2014/main" id="{CB86DB60-FC62-4D84-9A6C-E20761AFD680}"/>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841" name="avatar">
          <a:extLst>
            <a:ext uri="{FF2B5EF4-FFF2-40B4-BE49-F238E27FC236}">
              <a16:creationId xmlns:a16="http://schemas.microsoft.com/office/drawing/2014/main" id="{F9A19FCC-09D9-4007-83D3-967BDBC587D4}"/>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6842" name="avatar">
          <a:extLst>
            <a:ext uri="{FF2B5EF4-FFF2-40B4-BE49-F238E27FC236}">
              <a16:creationId xmlns:a16="http://schemas.microsoft.com/office/drawing/2014/main" id="{CBF3C4CB-DBDA-4394-9698-B1F785DBD3CF}"/>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843" name="avatar">
          <a:extLst>
            <a:ext uri="{FF2B5EF4-FFF2-40B4-BE49-F238E27FC236}">
              <a16:creationId xmlns:a16="http://schemas.microsoft.com/office/drawing/2014/main" id="{A65AB839-98D0-4552-BDBE-63A1D0CDCB52}"/>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844" name="avatar">
          <a:extLst>
            <a:ext uri="{FF2B5EF4-FFF2-40B4-BE49-F238E27FC236}">
              <a16:creationId xmlns:a16="http://schemas.microsoft.com/office/drawing/2014/main" id="{DC2792C0-1121-41CA-9478-7FBFA9341B00}"/>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845" name="avatar">
          <a:extLst>
            <a:ext uri="{FF2B5EF4-FFF2-40B4-BE49-F238E27FC236}">
              <a16:creationId xmlns:a16="http://schemas.microsoft.com/office/drawing/2014/main" id="{32BC238B-5922-4582-BE9E-998A830C5F23}"/>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6846" name="avatar">
          <a:extLst>
            <a:ext uri="{FF2B5EF4-FFF2-40B4-BE49-F238E27FC236}">
              <a16:creationId xmlns:a16="http://schemas.microsoft.com/office/drawing/2014/main" id="{18C77FF6-2169-4360-814A-A52B64F86880}"/>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6847" name="avatar">
          <a:extLst>
            <a:ext uri="{FF2B5EF4-FFF2-40B4-BE49-F238E27FC236}">
              <a16:creationId xmlns:a16="http://schemas.microsoft.com/office/drawing/2014/main" id="{88D21D99-3D9F-45D0-B84E-6EE85A6F3978}"/>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848" name="avatar">
          <a:extLst>
            <a:ext uri="{FF2B5EF4-FFF2-40B4-BE49-F238E27FC236}">
              <a16:creationId xmlns:a16="http://schemas.microsoft.com/office/drawing/2014/main" id="{F9DE67DC-81FA-48A3-A276-BEFFC1F41686}"/>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849" name="avatar">
          <a:extLst>
            <a:ext uri="{FF2B5EF4-FFF2-40B4-BE49-F238E27FC236}">
              <a16:creationId xmlns:a16="http://schemas.microsoft.com/office/drawing/2014/main" id="{C74DE3D4-7639-4BCA-A366-FCCEF8BB5DF5}"/>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6850" name="avatar">
          <a:extLst>
            <a:ext uri="{FF2B5EF4-FFF2-40B4-BE49-F238E27FC236}">
              <a16:creationId xmlns:a16="http://schemas.microsoft.com/office/drawing/2014/main" id="{25C7111C-5AF0-4021-AF66-1717A45305CD}"/>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851" name="avatar">
          <a:extLst>
            <a:ext uri="{FF2B5EF4-FFF2-40B4-BE49-F238E27FC236}">
              <a16:creationId xmlns:a16="http://schemas.microsoft.com/office/drawing/2014/main" id="{94AB0204-EB3F-4389-B517-7C45442C86AE}"/>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852" name="avatar">
          <a:extLst>
            <a:ext uri="{FF2B5EF4-FFF2-40B4-BE49-F238E27FC236}">
              <a16:creationId xmlns:a16="http://schemas.microsoft.com/office/drawing/2014/main" id="{C235800C-E2A6-415A-809B-11987B4B999A}"/>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853" name="avatar">
          <a:extLst>
            <a:ext uri="{FF2B5EF4-FFF2-40B4-BE49-F238E27FC236}">
              <a16:creationId xmlns:a16="http://schemas.microsoft.com/office/drawing/2014/main" id="{7BC90CF3-6B98-4C3C-B6C5-A1FBE83F8836}"/>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6854" name="avatar">
          <a:extLst>
            <a:ext uri="{FF2B5EF4-FFF2-40B4-BE49-F238E27FC236}">
              <a16:creationId xmlns:a16="http://schemas.microsoft.com/office/drawing/2014/main" id="{517ED7AA-3A71-44FC-87E0-1BBD4F7A9166}"/>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6855" name="avatar">
          <a:extLst>
            <a:ext uri="{FF2B5EF4-FFF2-40B4-BE49-F238E27FC236}">
              <a16:creationId xmlns:a16="http://schemas.microsoft.com/office/drawing/2014/main" id="{0053C002-0241-4FD3-B365-1A1379F0173C}"/>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856" name="avatar">
          <a:extLst>
            <a:ext uri="{FF2B5EF4-FFF2-40B4-BE49-F238E27FC236}">
              <a16:creationId xmlns:a16="http://schemas.microsoft.com/office/drawing/2014/main" id="{7A1F9ED9-A23B-4DB8-B614-18C58020AC70}"/>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857" name="avatar">
          <a:extLst>
            <a:ext uri="{FF2B5EF4-FFF2-40B4-BE49-F238E27FC236}">
              <a16:creationId xmlns:a16="http://schemas.microsoft.com/office/drawing/2014/main" id="{8A1BB008-8BFF-4312-8A52-9520CF243D14}"/>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6858" name="avatar">
          <a:extLst>
            <a:ext uri="{FF2B5EF4-FFF2-40B4-BE49-F238E27FC236}">
              <a16:creationId xmlns:a16="http://schemas.microsoft.com/office/drawing/2014/main" id="{7CCE98E0-844D-48A6-9708-1E4BA60A2982}"/>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859" name="avatar">
          <a:extLst>
            <a:ext uri="{FF2B5EF4-FFF2-40B4-BE49-F238E27FC236}">
              <a16:creationId xmlns:a16="http://schemas.microsoft.com/office/drawing/2014/main" id="{8D33AC46-5DFF-46C3-8192-293B96C9E3D3}"/>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860" name="avatar">
          <a:extLst>
            <a:ext uri="{FF2B5EF4-FFF2-40B4-BE49-F238E27FC236}">
              <a16:creationId xmlns:a16="http://schemas.microsoft.com/office/drawing/2014/main" id="{C2DE2B14-4B0A-4D34-8740-08D020B5D024}"/>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861" name="avatar">
          <a:extLst>
            <a:ext uri="{FF2B5EF4-FFF2-40B4-BE49-F238E27FC236}">
              <a16:creationId xmlns:a16="http://schemas.microsoft.com/office/drawing/2014/main" id="{92695798-7C9F-4E60-A599-561158607E14}"/>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6862" name="avatar">
          <a:extLst>
            <a:ext uri="{FF2B5EF4-FFF2-40B4-BE49-F238E27FC236}">
              <a16:creationId xmlns:a16="http://schemas.microsoft.com/office/drawing/2014/main" id="{0E55E299-7007-4543-98D2-333367910F8D}"/>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6863" name="avatar">
          <a:extLst>
            <a:ext uri="{FF2B5EF4-FFF2-40B4-BE49-F238E27FC236}">
              <a16:creationId xmlns:a16="http://schemas.microsoft.com/office/drawing/2014/main" id="{4E1882E4-AA6F-4590-989B-8C8AD3C9F883}"/>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6864" name="avatar">
          <a:extLst>
            <a:ext uri="{FF2B5EF4-FFF2-40B4-BE49-F238E27FC236}">
              <a16:creationId xmlns:a16="http://schemas.microsoft.com/office/drawing/2014/main" id="{BBF06082-F9A6-4D14-9DD0-6B617C15302F}"/>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865" name="avatar">
          <a:extLst>
            <a:ext uri="{FF2B5EF4-FFF2-40B4-BE49-F238E27FC236}">
              <a16:creationId xmlns:a16="http://schemas.microsoft.com/office/drawing/2014/main" id="{6827EB29-DE9E-44D6-9883-2463FAF0A2DB}"/>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6866" name="avatar">
          <a:extLst>
            <a:ext uri="{FF2B5EF4-FFF2-40B4-BE49-F238E27FC236}">
              <a16:creationId xmlns:a16="http://schemas.microsoft.com/office/drawing/2014/main" id="{26F46D4E-120E-48E9-B031-1AB20AE05A2A}"/>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6867" name="avatar">
          <a:extLst>
            <a:ext uri="{FF2B5EF4-FFF2-40B4-BE49-F238E27FC236}">
              <a16:creationId xmlns:a16="http://schemas.microsoft.com/office/drawing/2014/main" id="{ED3FBAA9-FB32-4B90-AD5F-2312265142B8}"/>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115</xdr:row>
      <xdr:rowOff>0</xdr:rowOff>
    </xdr:from>
    <xdr:to>
      <xdr:col>1</xdr:col>
      <xdr:colOff>304800</xdr:colOff>
      <xdr:row>116</xdr:row>
      <xdr:rowOff>118428</xdr:rowOff>
    </xdr:to>
    <xdr:sp macro="" textlink="">
      <xdr:nvSpPr>
        <xdr:cNvPr id="66868" name="avatar">
          <a:extLst>
            <a:ext uri="{FF2B5EF4-FFF2-40B4-BE49-F238E27FC236}">
              <a16:creationId xmlns:a16="http://schemas.microsoft.com/office/drawing/2014/main" id="{3D2FE2D2-3AFE-46B1-BED1-923A9613DD30}"/>
            </a:ext>
          </a:extLst>
        </xdr:cNvPr>
        <xdr:cNvSpPr>
          <a:spLocks noChangeAspect="1" noChangeArrowheads="1"/>
        </xdr:cNvSpPr>
      </xdr:nvSpPr>
      <xdr:spPr bwMode="auto">
        <a:xfrm>
          <a:off x="3705225" y="7486650"/>
          <a:ext cx="304800" cy="28416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115</xdr:row>
      <xdr:rowOff>0</xdr:rowOff>
    </xdr:from>
    <xdr:to>
      <xdr:col>0</xdr:col>
      <xdr:colOff>304800</xdr:colOff>
      <xdr:row>116</xdr:row>
      <xdr:rowOff>117792</xdr:rowOff>
    </xdr:to>
    <xdr:sp macro="" textlink="">
      <xdr:nvSpPr>
        <xdr:cNvPr id="66869" name="avatar">
          <a:extLst>
            <a:ext uri="{FF2B5EF4-FFF2-40B4-BE49-F238E27FC236}">
              <a16:creationId xmlns:a16="http://schemas.microsoft.com/office/drawing/2014/main" id="{B1143925-42FC-416B-8012-0D4F8E6DF258}"/>
            </a:ext>
          </a:extLst>
        </xdr:cNvPr>
        <xdr:cNvSpPr>
          <a:spLocks noChangeAspect="1" noChangeArrowheads="1"/>
        </xdr:cNvSpPr>
      </xdr:nvSpPr>
      <xdr:spPr bwMode="auto">
        <a:xfrm>
          <a:off x="0" y="748665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115</xdr:row>
      <xdr:rowOff>0</xdr:rowOff>
    </xdr:from>
    <xdr:ext cx="304800" cy="304701"/>
    <xdr:sp macro="" textlink="">
      <xdr:nvSpPr>
        <xdr:cNvPr id="66870" name="avatar">
          <a:extLst>
            <a:ext uri="{FF2B5EF4-FFF2-40B4-BE49-F238E27FC236}">
              <a16:creationId xmlns:a16="http://schemas.microsoft.com/office/drawing/2014/main" id="{F0C1A7D8-55F3-420B-A341-8BDE99964F28}"/>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115</xdr:row>
      <xdr:rowOff>0</xdr:rowOff>
    </xdr:from>
    <xdr:to>
      <xdr:col>1</xdr:col>
      <xdr:colOff>304800</xdr:colOff>
      <xdr:row>116</xdr:row>
      <xdr:rowOff>117792</xdr:rowOff>
    </xdr:to>
    <xdr:sp macro="" textlink="">
      <xdr:nvSpPr>
        <xdr:cNvPr id="66871" name="avatar">
          <a:extLst>
            <a:ext uri="{FF2B5EF4-FFF2-40B4-BE49-F238E27FC236}">
              <a16:creationId xmlns:a16="http://schemas.microsoft.com/office/drawing/2014/main" id="{8E541175-ED01-44F0-BC2B-6185817C8931}"/>
            </a:ext>
          </a:extLst>
        </xdr:cNvPr>
        <xdr:cNvSpPr>
          <a:spLocks noChangeAspect="1" noChangeArrowheads="1"/>
        </xdr:cNvSpPr>
      </xdr:nvSpPr>
      <xdr:spPr bwMode="auto">
        <a:xfrm>
          <a:off x="3705225" y="7486650"/>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115</xdr:row>
      <xdr:rowOff>0</xdr:rowOff>
    </xdr:from>
    <xdr:to>
      <xdr:col>0</xdr:col>
      <xdr:colOff>304800</xdr:colOff>
      <xdr:row>116</xdr:row>
      <xdr:rowOff>117792</xdr:rowOff>
    </xdr:to>
    <xdr:sp macro="" textlink="">
      <xdr:nvSpPr>
        <xdr:cNvPr id="66872" name="avatar">
          <a:extLst>
            <a:ext uri="{FF2B5EF4-FFF2-40B4-BE49-F238E27FC236}">
              <a16:creationId xmlns:a16="http://schemas.microsoft.com/office/drawing/2014/main" id="{549DE1AB-D9E0-4D02-A992-8B2E4CF0DB2C}"/>
            </a:ext>
          </a:extLst>
        </xdr:cNvPr>
        <xdr:cNvSpPr>
          <a:spLocks noChangeAspect="1" noChangeArrowheads="1"/>
        </xdr:cNvSpPr>
      </xdr:nvSpPr>
      <xdr:spPr bwMode="auto">
        <a:xfrm>
          <a:off x="0" y="7486650"/>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115</xdr:row>
      <xdr:rowOff>0</xdr:rowOff>
    </xdr:from>
    <xdr:ext cx="304800" cy="295274"/>
    <xdr:sp macro="" textlink="">
      <xdr:nvSpPr>
        <xdr:cNvPr id="66873" name="avatar">
          <a:extLst>
            <a:ext uri="{FF2B5EF4-FFF2-40B4-BE49-F238E27FC236}">
              <a16:creationId xmlns:a16="http://schemas.microsoft.com/office/drawing/2014/main" id="{3B4A8A63-C700-4849-910B-5D5FAD20EAA9}"/>
            </a:ext>
          </a:extLst>
        </xdr:cNvPr>
        <xdr:cNvSpPr>
          <a:spLocks noChangeAspect="1" noChangeArrowheads="1"/>
        </xdr:cNvSpPr>
      </xdr:nvSpPr>
      <xdr:spPr bwMode="auto">
        <a:xfrm>
          <a:off x="3705225"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5274"/>
    <xdr:sp macro="" textlink="">
      <xdr:nvSpPr>
        <xdr:cNvPr id="66874" name="avatar">
          <a:extLst>
            <a:ext uri="{FF2B5EF4-FFF2-40B4-BE49-F238E27FC236}">
              <a16:creationId xmlns:a16="http://schemas.microsoft.com/office/drawing/2014/main" id="{F1034835-7F02-48E7-A638-FD6A76E3CB62}"/>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115</xdr:row>
      <xdr:rowOff>0</xdr:rowOff>
    </xdr:from>
    <xdr:to>
      <xdr:col>1</xdr:col>
      <xdr:colOff>304800</xdr:colOff>
      <xdr:row>116</xdr:row>
      <xdr:rowOff>118456</xdr:rowOff>
    </xdr:to>
    <xdr:sp macro="" textlink="">
      <xdr:nvSpPr>
        <xdr:cNvPr id="66875" name="avatar">
          <a:extLst>
            <a:ext uri="{FF2B5EF4-FFF2-40B4-BE49-F238E27FC236}">
              <a16:creationId xmlns:a16="http://schemas.microsoft.com/office/drawing/2014/main" id="{199B98E3-9D70-41E9-BB8D-E2226C4B2AF1}"/>
            </a:ext>
          </a:extLst>
        </xdr:cNvPr>
        <xdr:cNvSpPr>
          <a:spLocks noChangeAspect="1" noChangeArrowheads="1"/>
        </xdr:cNvSpPr>
      </xdr:nvSpPr>
      <xdr:spPr bwMode="auto">
        <a:xfrm>
          <a:off x="3705225" y="7486650"/>
          <a:ext cx="304800" cy="2880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115</xdr:row>
      <xdr:rowOff>0</xdr:rowOff>
    </xdr:from>
    <xdr:to>
      <xdr:col>0</xdr:col>
      <xdr:colOff>304800</xdr:colOff>
      <xdr:row>116</xdr:row>
      <xdr:rowOff>117792</xdr:rowOff>
    </xdr:to>
    <xdr:sp macro="" textlink="">
      <xdr:nvSpPr>
        <xdr:cNvPr id="66876" name="avatar">
          <a:extLst>
            <a:ext uri="{FF2B5EF4-FFF2-40B4-BE49-F238E27FC236}">
              <a16:creationId xmlns:a16="http://schemas.microsoft.com/office/drawing/2014/main" id="{69AD4315-A602-43BB-94B5-5FA447CF220F}"/>
            </a:ext>
          </a:extLst>
        </xdr:cNvPr>
        <xdr:cNvSpPr>
          <a:spLocks noChangeAspect="1" noChangeArrowheads="1"/>
        </xdr:cNvSpPr>
      </xdr:nvSpPr>
      <xdr:spPr bwMode="auto">
        <a:xfrm>
          <a:off x="0" y="748665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115</xdr:row>
      <xdr:rowOff>0</xdr:rowOff>
    </xdr:from>
    <xdr:ext cx="304800" cy="304701"/>
    <xdr:sp macro="" textlink="">
      <xdr:nvSpPr>
        <xdr:cNvPr id="66877" name="avatar">
          <a:extLst>
            <a:ext uri="{FF2B5EF4-FFF2-40B4-BE49-F238E27FC236}">
              <a16:creationId xmlns:a16="http://schemas.microsoft.com/office/drawing/2014/main" id="{870225C3-14AA-4908-9420-4C61FC7EE299}"/>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115</xdr:row>
      <xdr:rowOff>0</xdr:rowOff>
    </xdr:from>
    <xdr:to>
      <xdr:col>1</xdr:col>
      <xdr:colOff>304800</xdr:colOff>
      <xdr:row>116</xdr:row>
      <xdr:rowOff>148301</xdr:rowOff>
    </xdr:to>
    <xdr:sp macro="" textlink="">
      <xdr:nvSpPr>
        <xdr:cNvPr id="66878" name="avatar">
          <a:extLst>
            <a:ext uri="{FF2B5EF4-FFF2-40B4-BE49-F238E27FC236}">
              <a16:creationId xmlns:a16="http://schemas.microsoft.com/office/drawing/2014/main" id="{1B28C955-D840-4C26-B1B0-D50DFBB84D8E}"/>
            </a:ext>
          </a:extLst>
        </xdr:cNvPr>
        <xdr:cNvSpPr>
          <a:spLocks noChangeAspect="1" noChangeArrowheads="1"/>
        </xdr:cNvSpPr>
      </xdr:nvSpPr>
      <xdr:spPr bwMode="auto">
        <a:xfrm>
          <a:off x="3705225" y="7486650"/>
          <a:ext cx="304800" cy="30641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115</xdr:row>
      <xdr:rowOff>0</xdr:rowOff>
    </xdr:from>
    <xdr:to>
      <xdr:col>0</xdr:col>
      <xdr:colOff>304800</xdr:colOff>
      <xdr:row>116</xdr:row>
      <xdr:rowOff>119062</xdr:rowOff>
    </xdr:to>
    <xdr:sp macro="" textlink="">
      <xdr:nvSpPr>
        <xdr:cNvPr id="66879" name="avatar">
          <a:extLst>
            <a:ext uri="{FF2B5EF4-FFF2-40B4-BE49-F238E27FC236}">
              <a16:creationId xmlns:a16="http://schemas.microsoft.com/office/drawing/2014/main" id="{ED206F7D-D3F8-44F9-A641-2B47933927A5}"/>
            </a:ext>
          </a:extLst>
        </xdr:cNvPr>
        <xdr:cNvSpPr>
          <a:spLocks noChangeAspect="1" noChangeArrowheads="1"/>
        </xdr:cNvSpPr>
      </xdr:nvSpPr>
      <xdr:spPr bwMode="auto">
        <a:xfrm>
          <a:off x="0" y="7486650"/>
          <a:ext cx="304800" cy="28479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115</xdr:row>
      <xdr:rowOff>0</xdr:rowOff>
    </xdr:from>
    <xdr:ext cx="304800" cy="304701"/>
    <xdr:sp macro="" textlink="">
      <xdr:nvSpPr>
        <xdr:cNvPr id="66880" name="avatar">
          <a:extLst>
            <a:ext uri="{FF2B5EF4-FFF2-40B4-BE49-F238E27FC236}">
              <a16:creationId xmlns:a16="http://schemas.microsoft.com/office/drawing/2014/main" id="{92D65B62-A31A-4408-A025-6B8DB9166C2E}"/>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115</xdr:row>
      <xdr:rowOff>0</xdr:rowOff>
    </xdr:from>
    <xdr:to>
      <xdr:col>1</xdr:col>
      <xdr:colOff>304800</xdr:colOff>
      <xdr:row>116</xdr:row>
      <xdr:rowOff>149225</xdr:rowOff>
    </xdr:to>
    <xdr:sp macro="" textlink="">
      <xdr:nvSpPr>
        <xdr:cNvPr id="66881" name="avatar">
          <a:extLst>
            <a:ext uri="{FF2B5EF4-FFF2-40B4-BE49-F238E27FC236}">
              <a16:creationId xmlns:a16="http://schemas.microsoft.com/office/drawing/2014/main" id="{AEB8A2E1-670D-4AED-903E-C3609210E958}"/>
            </a:ext>
          </a:extLst>
        </xdr:cNvPr>
        <xdr:cNvSpPr>
          <a:spLocks noChangeAspect="1" noChangeArrowheads="1"/>
        </xdr:cNvSpPr>
      </xdr:nvSpPr>
      <xdr:spPr bwMode="auto">
        <a:xfrm>
          <a:off x="3705225" y="7486650"/>
          <a:ext cx="304800" cy="2940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115</xdr:row>
      <xdr:rowOff>0</xdr:rowOff>
    </xdr:from>
    <xdr:to>
      <xdr:col>0</xdr:col>
      <xdr:colOff>304800</xdr:colOff>
      <xdr:row>116</xdr:row>
      <xdr:rowOff>147954</xdr:rowOff>
    </xdr:to>
    <xdr:sp macro="" textlink="">
      <xdr:nvSpPr>
        <xdr:cNvPr id="66882" name="avatar">
          <a:extLst>
            <a:ext uri="{FF2B5EF4-FFF2-40B4-BE49-F238E27FC236}">
              <a16:creationId xmlns:a16="http://schemas.microsoft.com/office/drawing/2014/main" id="{0EC9463D-E32E-4233-A3BD-FAEBC29ADE98}"/>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115</xdr:row>
      <xdr:rowOff>0</xdr:rowOff>
    </xdr:from>
    <xdr:ext cx="304800" cy="304701"/>
    <xdr:sp macro="" textlink="">
      <xdr:nvSpPr>
        <xdr:cNvPr id="66883" name="avatar">
          <a:extLst>
            <a:ext uri="{FF2B5EF4-FFF2-40B4-BE49-F238E27FC236}">
              <a16:creationId xmlns:a16="http://schemas.microsoft.com/office/drawing/2014/main" id="{6C233C88-2525-402C-A2C1-A60949C345EC}"/>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115</xdr:row>
      <xdr:rowOff>0</xdr:rowOff>
    </xdr:from>
    <xdr:to>
      <xdr:col>1</xdr:col>
      <xdr:colOff>304800</xdr:colOff>
      <xdr:row>116</xdr:row>
      <xdr:rowOff>149224</xdr:rowOff>
    </xdr:to>
    <xdr:sp macro="" textlink="">
      <xdr:nvSpPr>
        <xdr:cNvPr id="66884" name="avatar">
          <a:extLst>
            <a:ext uri="{FF2B5EF4-FFF2-40B4-BE49-F238E27FC236}">
              <a16:creationId xmlns:a16="http://schemas.microsoft.com/office/drawing/2014/main" id="{68AC2407-711F-40C5-B6CE-37CD8B917204}"/>
            </a:ext>
          </a:extLst>
        </xdr:cNvPr>
        <xdr:cNvSpPr>
          <a:spLocks noChangeAspect="1" noChangeArrowheads="1"/>
        </xdr:cNvSpPr>
      </xdr:nvSpPr>
      <xdr:spPr bwMode="auto">
        <a:xfrm>
          <a:off x="3705225" y="7486650"/>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115</xdr:row>
      <xdr:rowOff>0</xdr:rowOff>
    </xdr:from>
    <xdr:to>
      <xdr:col>0</xdr:col>
      <xdr:colOff>304800</xdr:colOff>
      <xdr:row>116</xdr:row>
      <xdr:rowOff>149224</xdr:rowOff>
    </xdr:to>
    <xdr:sp macro="" textlink="">
      <xdr:nvSpPr>
        <xdr:cNvPr id="66885" name="avatar">
          <a:extLst>
            <a:ext uri="{FF2B5EF4-FFF2-40B4-BE49-F238E27FC236}">
              <a16:creationId xmlns:a16="http://schemas.microsoft.com/office/drawing/2014/main" id="{F8B91835-8FF3-43BC-8810-EA1E914D5055}"/>
            </a:ext>
          </a:extLst>
        </xdr:cNvPr>
        <xdr:cNvSpPr>
          <a:spLocks noChangeAspect="1" noChangeArrowheads="1"/>
        </xdr:cNvSpPr>
      </xdr:nvSpPr>
      <xdr:spPr bwMode="auto">
        <a:xfrm>
          <a:off x="0" y="7486650"/>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115</xdr:row>
      <xdr:rowOff>0</xdr:rowOff>
    </xdr:from>
    <xdr:ext cx="304800" cy="295274"/>
    <xdr:sp macro="" textlink="">
      <xdr:nvSpPr>
        <xdr:cNvPr id="66886" name="avatar">
          <a:extLst>
            <a:ext uri="{FF2B5EF4-FFF2-40B4-BE49-F238E27FC236}">
              <a16:creationId xmlns:a16="http://schemas.microsoft.com/office/drawing/2014/main" id="{BC55F0FD-8B5C-40B3-9D6E-9ED898A7191D}"/>
            </a:ext>
          </a:extLst>
        </xdr:cNvPr>
        <xdr:cNvSpPr>
          <a:spLocks noChangeAspect="1" noChangeArrowheads="1"/>
        </xdr:cNvSpPr>
      </xdr:nvSpPr>
      <xdr:spPr bwMode="auto">
        <a:xfrm>
          <a:off x="3705225"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5274"/>
    <xdr:sp macro="" textlink="">
      <xdr:nvSpPr>
        <xdr:cNvPr id="66887" name="avatar">
          <a:extLst>
            <a:ext uri="{FF2B5EF4-FFF2-40B4-BE49-F238E27FC236}">
              <a16:creationId xmlns:a16="http://schemas.microsoft.com/office/drawing/2014/main" id="{7CBEFD10-21E8-414D-A5D6-D6B29DB7F7C6}"/>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115</xdr:row>
      <xdr:rowOff>0</xdr:rowOff>
    </xdr:from>
    <xdr:to>
      <xdr:col>1</xdr:col>
      <xdr:colOff>304800</xdr:colOff>
      <xdr:row>116</xdr:row>
      <xdr:rowOff>153698</xdr:rowOff>
    </xdr:to>
    <xdr:sp macro="" textlink="">
      <xdr:nvSpPr>
        <xdr:cNvPr id="66888" name="avatar">
          <a:extLst>
            <a:ext uri="{FF2B5EF4-FFF2-40B4-BE49-F238E27FC236}">
              <a16:creationId xmlns:a16="http://schemas.microsoft.com/office/drawing/2014/main" id="{C49C129A-4B96-4630-835C-4F29EEEF7A56}"/>
            </a:ext>
          </a:extLst>
        </xdr:cNvPr>
        <xdr:cNvSpPr>
          <a:spLocks noChangeAspect="1" noChangeArrowheads="1"/>
        </xdr:cNvSpPr>
      </xdr:nvSpPr>
      <xdr:spPr bwMode="auto">
        <a:xfrm>
          <a:off x="3705225" y="7486650"/>
          <a:ext cx="304800" cy="31371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115</xdr:row>
      <xdr:rowOff>0</xdr:rowOff>
    </xdr:from>
    <xdr:to>
      <xdr:col>0</xdr:col>
      <xdr:colOff>304800</xdr:colOff>
      <xdr:row>116</xdr:row>
      <xdr:rowOff>147954</xdr:rowOff>
    </xdr:to>
    <xdr:sp macro="" textlink="">
      <xdr:nvSpPr>
        <xdr:cNvPr id="66889" name="avatar">
          <a:extLst>
            <a:ext uri="{FF2B5EF4-FFF2-40B4-BE49-F238E27FC236}">
              <a16:creationId xmlns:a16="http://schemas.microsoft.com/office/drawing/2014/main" id="{1F7DB108-5E71-46DA-B23C-28B370D42187}"/>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115</xdr:row>
      <xdr:rowOff>0</xdr:rowOff>
    </xdr:from>
    <xdr:ext cx="304800" cy="304701"/>
    <xdr:sp macro="" textlink="">
      <xdr:nvSpPr>
        <xdr:cNvPr id="66890" name="avatar">
          <a:extLst>
            <a:ext uri="{FF2B5EF4-FFF2-40B4-BE49-F238E27FC236}">
              <a16:creationId xmlns:a16="http://schemas.microsoft.com/office/drawing/2014/main" id="{7B14836D-7554-4C57-BB93-919E5DF8121D}"/>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115</xdr:row>
      <xdr:rowOff>0</xdr:rowOff>
    </xdr:from>
    <xdr:to>
      <xdr:col>1</xdr:col>
      <xdr:colOff>304800</xdr:colOff>
      <xdr:row>117</xdr:row>
      <xdr:rowOff>0</xdr:rowOff>
    </xdr:to>
    <xdr:sp macro="" textlink="">
      <xdr:nvSpPr>
        <xdr:cNvPr id="66891" name="avatar">
          <a:extLst>
            <a:ext uri="{FF2B5EF4-FFF2-40B4-BE49-F238E27FC236}">
              <a16:creationId xmlns:a16="http://schemas.microsoft.com/office/drawing/2014/main" id="{B0BC685C-9540-4FD2-83B6-1904055023D5}"/>
            </a:ext>
          </a:extLst>
        </xdr:cNvPr>
        <xdr:cNvSpPr>
          <a:spLocks noChangeAspect="1" noChangeArrowheads="1"/>
        </xdr:cNvSpPr>
      </xdr:nvSpPr>
      <xdr:spPr bwMode="auto">
        <a:xfrm>
          <a:off x="3705225" y="748665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115</xdr:row>
      <xdr:rowOff>0</xdr:rowOff>
    </xdr:from>
    <xdr:to>
      <xdr:col>0</xdr:col>
      <xdr:colOff>304800</xdr:colOff>
      <xdr:row>116</xdr:row>
      <xdr:rowOff>147954</xdr:rowOff>
    </xdr:to>
    <xdr:sp macro="" textlink="">
      <xdr:nvSpPr>
        <xdr:cNvPr id="66892" name="avatar">
          <a:extLst>
            <a:ext uri="{FF2B5EF4-FFF2-40B4-BE49-F238E27FC236}">
              <a16:creationId xmlns:a16="http://schemas.microsoft.com/office/drawing/2014/main" id="{9E235014-C6AD-45D9-ADD4-A70851F28238}"/>
            </a:ext>
          </a:extLst>
        </xdr:cNvPr>
        <xdr:cNvSpPr>
          <a:spLocks noChangeAspect="1" noChangeArrowheads="1"/>
        </xdr:cNvSpPr>
      </xdr:nvSpPr>
      <xdr:spPr bwMode="auto">
        <a:xfrm>
          <a:off x="0" y="7486650"/>
          <a:ext cx="304800" cy="2946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115</xdr:row>
      <xdr:rowOff>0</xdr:rowOff>
    </xdr:from>
    <xdr:ext cx="304800" cy="304701"/>
    <xdr:sp macro="" textlink="">
      <xdr:nvSpPr>
        <xdr:cNvPr id="66893" name="avatar">
          <a:extLst>
            <a:ext uri="{FF2B5EF4-FFF2-40B4-BE49-F238E27FC236}">
              <a16:creationId xmlns:a16="http://schemas.microsoft.com/office/drawing/2014/main" id="{3B6F0ECC-B099-457F-8A68-0C2647F75A3A}"/>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6894" name="avatar">
          <a:extLst>
            <a:ext uri="{FF2B5EF4-FFF2-40B4-BE49-F238E27FC236}">
              <a16:creationId xmlns:a16="http://schemas.microsoft.com/office/drawing/2014/main" id="{EA3F7559-5CDA-463A-9BC3-7A19F1D584DB}"/>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895" name="avatar">
          <a:extLst>
            <a:ext uri="{FF2B5EF4-FFF2-40B4-BE49-F238E27FC236}">
              <a16:creationId xmlns:a16="http://schemas.microsoft.com/office/drawing/2014/main" id="{09D4B73E-C021-4583-8085-CAADD391A46E}"/>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9084"/>
    <xdr:sp macro="" textlink="">
      <xdr:nvSpPr>
        <xdr:cNvPr id="66896" name="avatar">
          <a:extLst>
            <a:ext uri="{FF2B5EF4-FFF2-40B4-BE49-F238E27FC236}">
              <a16:creationId xmlns:a16="http://schemas.microsoft.com/office/drawing/2014/main" id="{3BC90D6F-C9E1-4189-AF3C-806918393764}"/>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5274"/>
    <xdr:sp macro="" textlink="">
      <xdr:nvSpPr>
        <xdr:cNvPr id="66897" name="avatar">
          <a:extLst>
            <a:ext uri="{FF2B5EF4-FFF2-40B4-BE49-F238E27FC236}">
              <a16:creationId xmlns:a16="http://schemas.microsoft.com/office/drawing/2014/main" id="{DBFDFE6D-28D9-4D2B-AD69-09375E0DA7DA}"/>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6898" name="avatar">
          <a:extLst>
            <a:ext uri="{FF2B5EF4-FFF2-40B4-BE49-F238E27FC236}">
              <a16:creationId xmlns:a16="http://schemas.microsoft.com/office/drawing/2014/main" id="{F4A9349B-1A26-4FD3-BFC5-AFD5380CFE9C}"/>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899" name="avatar">
          <a:extLst>
            <a:ext uri="{FF2B5EF4-FFF2-40B4-BE49-F238E27FC236}">
              <a16:creationId xmlns:a16="http://schemas.microsoft.com/office/drawing/2014/main" id="{A77C97EF-DF16-474C-B8D5-BCC289C1C4FF}"/>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2259"/>
    <xdr:sp macro="" textlink="">
      <xdr:nvSpPr>
        <xdr:cNvPr id="66900" name="avatar">
          <a:extLst>
            <a:ext uri="{FF2B5EF4-FFF2-40B4-BE49-F238E27FC236}">
              <a16:creationId xmlns:a16="http://schemas.microsoft.com/office/drawing/2014/main" id="{2F0CD7D8-5B4A-4F57-95BD-94068BCD1C0C}"/>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01" name="avatar">
          <a:extLst>
            <a:ext uri="{FF2B5EF4-FFF2-40B4-BE49-F238E27FC236}">
              <a16:creationId xmlns:a16="http://schemas.microsoft.com/office/drawing/2014/main" id="{A34A40BA-9CBC-4DBA-B0E1-0C13A1819AD9}"/>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6902" name="avatar">
          <a:extLst>
            <a:ext uri="{FF2B5EF4-FFF2-40B4-BE49-F238E27FC236}">
              <a16:creationId xmlns:a16="http://schemas.microsoft.com/office/drawing/2014/main" id="{E0AC6E48-59F1-420A-95E0-4B3C707913D6}"/>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03" name="avatar">
          <a:extLst>
            <a:ext uri="{FF2B5EF4-FFF2-40B4-BE49-F238E27FC236}">
              <a16:creationId xmlns:a16="http://schemas.microsoft.com/office/drawing/2014/main" id="{C95C6411-A9D7-41ED-A076-FBCE1C5BF630}"/>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9084"/>
    <xdr:sp macro="" textlink="">
      <xdr:nvSpPr>
        <xdr:cNvPr id="66904" name="avatar">
          <a:extLst>
            <a:ext uri="{FF2B5EF4-FFF2-40B4-BE49-F238E27FC236}">
              <a16:creationId xmlns:a16="http://schemas.microsoft.com/office/drawing/2014/main" id="{21666585-25C8-496C-B0D9-E922AB99F646}"/>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5274"/>
    <xdr:sp macro="" textlink="">
      <xdr:nvSpPr>
        <xdr:cNvPr id="66905" name="avatar">
          <a:extLst>
            <a:ext uri="{FF2B5EF4-FFF2-40B4-BE49-F238E27FC236}">
              <a16:creationId xmlns:a16="http://schemas.microsoft.com/office/drawing/2014/main" id="{26F70AA7-4954-4E02-9769-0DBCB68E04A1}"/>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6906" name="avatar">
          <a:extLst>
            <a:ext uri="{FF2B5EF4-FFF2-40B4-BE49-F238E27FC236}">
              <a16:creationId xmlns:a16="http://schemas.microsoft.com/office/drawing/2014/main" id="{43F69DE5-D01D-4D3C-A53F-EF46FF70FC3A}"/>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07" name="avatar">
          <a:extLst>
            <a:ext uri="{FF2B5EF4-FFF2-40B4-BE49-F238E27FC236}">
              <a16:creationId xmlns:a16="http://schemas.microsoft.com/office/drawing/2014/main" id="{9490CE51-4A1A-4807-A5C2-394B96E53AF2}"/>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2259"/>
    <xdr:sp macro="" textlink="">
      <xdr:nvSpPr>
        <xdr:cNvPr id="66908" name="avatar">
          <a:extLst>
            <a:ext uri="{FF2B5EF4-FFF2-40B4-BE49-F238E27FC236}">
              <a16:creationId xmlns:a16="http://schemas.microsoft.com/office/drawing/2014/main" id="{45728C3B-E7CC-4B00-BCC2-8BD776AEFE97}"/>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09" name="avatar">
          <a:extLst>
            <a:ext uri="{FF2B5EF4-FFF2-40B4-BE49-F238E27FC236}">
              <a16:creationId xmlns:a16="http://schemas.microsoft.com/office/drawing/2014/main" id="{71F0B0D3-B949-48AB-9D95-F2502311DB1C}"/>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6910" name="avatar">
          <a:extLst>
            <a:ext uri="{FF2B5EF4-FFF2-40B4-BE49-F238E27FC236}">
              <a16:creationId xmlns:a16="http://schemas.microsoft.com/office/drawing/2014/main" id="{83AE024B-CAAA-4A1D-8F3B-E54476A6E0EF}"/>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11" name="avatar">
          <a:extLst>
            <a:ext uri="{FF2B5EF4-FFF2-40B4-BE49-F238E27FC236}">
              <a16:creationId xmlns:a16="http://schemas.microsoft.com/office/drawing/2014/main" id="{2832FE33-C3CC-4D57-B125-8D43F8EE1470}"/>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9084"/>
    <xdr:sp macro="" textlink="">
      <xdr:nvSpPr>
        <xdr:cNvPr id="66912" name="avatar">
          <a:extLst>
            <a:ext uri="{FF2B5EF4-FFF2-40B4-BE49-F238E27FC236}">
              <a16:creationId xmlns:a16="http://schemas.microsoft.com/office/drawing/2014/main" id="{B615AD15-6528-413C-AD20-DAABF10A2E2E}"/>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5274"/>
    <xdr:sp macro="" textlink="">
      <xdr:nvSpPr>
        <xdr:cNvPr id="66913" name="avatar">
          <a:extLst>
            <a:ext uri="{FF2B5EF4-FFF2-40B4-BE49-F238E27FC236}">
              <a16:creationId xmlns:a16="http://schemas.microsoft.com/office/drawing/2014/main" id="{51950134-6DF4-49F7-B20F-9B4D7EC7D850}"/>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6914" name="avatar">
          <a:extLst>
            <a:ext uri="{FF2B5EF4-FFF2-40B4-BE49-F238E27FC236}">
              <a16:creationId xmlns:a16="http://schemas.microsoft.com/office/drawing/2014/main" id="{C51117D9-C071-46D5-82D2-577D2E383B0F}"/>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15" name="avatar">
          <a:extLst>
            <a:ext uri="{FF2B5EF4-FFF2-40B4-BE49-F238E27FC236}">
              <a16:creationId xmlns:a16="http://schemas.microsoft.com/office/drawing/2014/main" id="{91E3EEE6-1F66-4C84-9794-CF80BEB8A90C}"/>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2259"/>
    <xdr:sp macro="" textlink="">
      <xdr:nvSpPr>
        <xdr:cNvPr id="66916" name="avatar">
          <a:extLst>
            <a:ext uri="{FF2B5EF4-FFF2-40B4-BE49-F238E27FC236}">
              <a16:creationId xmlns:a16="http://schemas.microsoft.com/office/drawing/2014/main" id="{212025BF-BDF3-4C5F-BA0E-9D29DC83F355}"/>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17" name="avatar">
          <a:extLst>
            <a:ext uri="{FF2B5EF4-FFF2-40B4-BE49-F238E27FC236}">
              <a16:creationId xmlns:a16="http://schemas.microsoft.com/office/drawing/2014/main" id="{92336327-4AAA-42A4-B7FC-BB29F80044C3}"/>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6918" name="avatar">
          <a:extLst>
            <a:ext uri="{FF2B5EF4-FFF2-40B4-BE49-F238E27FC236}">
              <a16:creationId xmlns:a16="http://schemas.microsoft.com/office/drawing/2014/main" id="{E377ACC3-8F96-4DEF-B618-A7D1C8AF80D1}"/>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19" name="avatar">
          <a:extLst>
            <a:ext uri="{FF2B5EF4-FFF2-40B4-BE49-F238E27FC236}">
              <a16:creationId xmlns:a16="http://schemas.microsoft.com/office/drawing/2014/main" id="{71868233-E5A0-43FB-B8D6-472C756A1544}"/>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9084"/>
    <xdr:sp macro="" textlink="">
      <xdr:nvSpPr>
        <xdr:cNvPr id="66920" name="avatar">
          <a:extLst>
            <a:ext uri="{FF2B5EF4-FFF2-40B4-BE49-F238E27FC236}">
              <a16:creationId xmlns:a16="http://schemas.microsoft.com/office/drawing/2014/main" id="{C84DC2D2-7B05-4DDC-A39A-89A7841F9C99}"/>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5274"/>
    <xdr:sp macro="" textlink="">
      <xdr:nvSpPr>
        <xdr:cNvPr id="66921" name="avatar">
          <a:extLst>
            <a:ext uri="{FF2B5EF4-FFF2-40B4-BE49-F238E27FC236}">
              <a16:creationId xmlns:a16="http://schemas.microsoft.com/office/drawing/2014/main" id="{B1F3AF5B-C9F0-45FE-AF19-28394E592332}"/>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6922" name="avatar">
          <a:extLst>
            <a:ext uri="{FF2B5EF4-FFF2-40B4-BE49-F238E27FC236}">
              <a16:creationId xmlns:a16="http://schemas.microsoft.com/office/drawing/2014/main" id="{A59640B9-6F2E-435D-B5ED-08C1D9FD0920}"/>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23" name="avatar">
          <a:extLst>
            <a:ext uri="{FF2B5EF4-FFF2-40B4-BE49-F238E27FC236}">
              <a16:creationId xmlns:a16="http://schemas.microsoft.com/office/drawing/2014/main" id="{46C5D502-A116-45A9-8574-CD5856DBB041}"/>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2259"/>
    <xdr:sp macro="" textlink="">
      <xdr:nvSpPr>
        <xdr:cNvPr id="66924" name="avatar">
          <a:extLst>
            <a:ext uri="{FF2B5EF4-FFF2-40B4-BE49-F238E27FC236}">
              <a16:creationId xmlns:a16="http://schemas.microsoft.com/office/drawing/2014/main" id="{088F7041-46B7-436B-8D0A-4CC6024CE036}"/>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25" name="avatar">
          <a:extLst>
            <a:ext uri="{FF2B5EF4-FFF2-40B4-BE49-F238E27FC236}">
              <a16:creationId xmlns:a16="http://schemas.microsoft.com/office/drawing/2014/main" id="{F8401B09-DDCB-46EE-AEBD-6C6432736833}"/>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6926" name="avatar">
          <a:extLst>
            <a:ext uri="{FF2B5EF4-FFF2-40B4-BE49-F238E27FC236}">
              <a16:creationId xmlns:a16="http://schemas.microsoft.com/office/drawing/2014/main" id="{190B1EF6-B6F1-40BD-8709-764555CBE46B}"/>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27" name="avatar">
          <a:extLst>
            <a:ext uri="{FF2B5EF4-FFF2-40B4-BE49-F238E27FC236}">
              <a16:creationId xmlns:a16="http://schemas.microsoft.com/office/drawing/2014/main" id="{AD4AD1F1-B88E-4248-AE4E-6878FAC292E6}"/>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9084"/>
    <xdr:sp macro="" textlink="">
      <xdr:nvSpPr>
        <xdr:cNvPr id="66928" name="avatar">
          <a:extLst>
            <a:ext uri="{FF2B5EF4-FFF2-40B4-BE49-F238E27FC236}">
              <a16:creationId xmlns:a16="http://schemas.microsoft.com/office/drawing/2014/main" id="{79F73842-F9BE-46EC-83DA-D6DD7960C2D7}"/>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5274"/>
    <xdr:sp macro="" textlink="">
      <xdr:nvSpPr>
        <xdr:cNvPr id="66929" name="avatar">
          <a:extLst>
            <a:ext uri="{FF2B5EF4-FFF2-40B4-BE49-F238E27FC236}">
              <a16:creationId xmlns:a16="http://schemas.microsoft.com/office/drawing/2014/main" id="{C0858348-0278-47FA-83D1-AD62A1E416B4}"/>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6930" name="avatar">
          <a:extLst>
            <a:ext uri="{FF2B5EF4-FFF2-40B4-BE49-F238E27FC236}">
              <a16:creationId xmlns:a16="http://schemas.microsoft.com/office/drawing/2014/main" id="{4041654E-67EC-4412-B93A-B96C277FB3F8}"/>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31" name="avatar">
          <a:extLst>
            <a:ext uri="{FF2B5EF4-FFF2-40B4-BE49-F238E27FC236}">
              <a16:creationId xmlns:a16="http://schemas.microsoft.com/office/drawing/2014/main" id="{972712D6-4E1D-4919-BC7E-0BEE6D877F97}"/>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2259"/>
    <xdr:sp macro="" textlink="">
      <xdr:nvSpPr>
        <xdr:cNvPr id="66932" name="avatar">
          <a:extLst>
            <a:ext uri="{FF2B5EF4-FFF2-40B4-BE49-F238E27FC236}">
              <a16:creationId xmlns:a16="http://schemas.microsoft.com/office/drawing/2014/main" id="{24276265-52BC-40AC-895F-D9B53503A0DE}"/>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33" name="avatar">
          <a:extLst>
            <a:ext uri="{FF2B5EF4-FFF2-40B4-BE49-F238E27FC236}">
              <a16:creationId xmlns:a16="http://schemas.microsoft.com/office/drawing/2014/main" id="{618FFE5F-C5AF-49A2-9675-41874B3F668A}"/>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6934" name="avatar">
          <a:extLst>
            <a:ext uri="{FF2B5EF4-FFF2-40B4-BE49-F238E27FC236}">
              <a16:creationId xmlns:a16="http://schemas.microsoft.com/office/drawing/2014/main" id="{C235B7E3-44CC-426C-9C82-9C710D0A795B}"/>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35" name="avatar">
          <a:extLst>
            <a:ext uri="{FF2B5EF4-FFF2-40B4-BE49-F238E27FC236}">
              <a16:creationId xmlns:a16="http://schemas.microsoft.com/office/drawing/2014/main" id="{CF4AB7E9-6ED8-4157-A052-A576026D5DBB}"/>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9084"/>
    <xdr:sp macro="" textlink="">
      <xdr:nvSpPr>
        <xdr:cNvPr id="66936" name="avatar">
          <a:extLst>
            <a:ext uri="{FF2B5EF4-FFF2-40B4-BE49-F238E27FC236}">
              <a16:creationId xmlns:a16="http://schemas.microsoft.com/office/drawing/2014/main" id="{F6E099BC-CEBE-43AC-920E-2EAE42C7315B}"/>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5274"/>
    <xdr:sp macro="" textlink="">
      <xdr:nvSpPr>
        <xdr:cNvPr id="66937" name="avatar">
          <a:extLst>
            <a:ext uri="{FF2B5EF4-FFF2-40B4-BE49-F238E27FC236}">
              <a16:creationId xmlns:a16="http://schemas.microsoft.com/office/drawing/2014/main" id="{26222274-86BF-4C08-A3CD-F0657B036828}"/>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6938" name="avatar">
          <a:extLst>
            <a:ext uri="{FF2B5EF4-FFF2-40B4-BE49-F238E27FC236}">
              <a16:creationId xmlns:a16="http://schemas.microsoft.com/office/drawing/2014/main" id="{6ADC7052-0D6A-47A2-AFC7-A3A865BD6A1A}"/>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39" name="avatar">
          <a:extLst>
            <a:ext uri="{FF2B5EF4-FFF2-40B4-BE49-F238E27FC236}">
              <a16:creationId xmlns:a16="http://schemas.microsoft.com/office/drawing/2014/main" id="{B340DC3B-EC3A-4AF4-8B9B-034A2AD63A22}"/>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2259"/>
    <xdr:sp macro="" textlink="">
      <xdr:nvSpPr>
        <xdr:cNvPr id="66940" name="avatar">
          <a:extLst>
            <a:ext uri="{FF2B5EF4-FFF2-40B4-BE49-F238E27FC236}">
              <a16:creationId xmlns:a16="http://schemas.microsoft.com/office/drawing/2014/main" id="{76FD2491-99A2-4545-9F63-5C83A9F5318C}"/>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41" name="avatar">
          <a:extLst>
            <a:ext uri="{FF2B5EF4-FFF2-40B4-BE49-F238E27FC236}">
              <a16:creationId xmlns:a16="http://schemas.microsoft.com/office/drawing/2014/main" id="{410713E8-79E5-46E8-8533-9F604FD96F44}"/>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6942" name="avatar">
          <a:extLst>
            <a:ext uri="{FF2B5EF4-FFF2-40B4-BE49-F238E27FC236}">
              <a16:creationId xmlns:a16="http://schemas.microsoft.com/office/drawing/2014/main" id="{3EECB9B2-62C4-45B8-A104-C551654035B4}"/>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43" name="avatar">
          <a:extLst>
            <a:ext uri="{FF2B5EF4-FFF2-40B4-BE49-F238E27FC236}">
              <a16:creationId xmlns:a16="http://schemas.microsoft.com/office/drawing/2014/main" id="{CD951E76-1218-4D0D-A3F0-BBF0F7101A02}"/>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9084"/>
    <xdr:sp macro="" textlink="">
      <xdr:nvSpPr>
        <xdr:cNvPr id="66944" name="avatar">
          <a:extLst>
            <a:ext uri="{FF2B5EF4-FFF2-40B4-BE49-F238E27FC236}">
              <a16:creationId xmlns:a16="http://schemas.microsoft.com/office/drawing/2014/main" id="{CA4D6F44-DD7B-4FD4-9D89-93DA1924E401}"/>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5274"/>
    <xdr:sp macro="" textlink="">
      <xdr:nvSpPr>
        <xdr:cNvPr id="66945" name="avatar">
          <a:extLst>
            <a:ext uri="{FF2B5EF4-FFF2-40B4-BE49-F238E27FC236}">
              <a16:creationId xmlns:a16="http://schemas.microsoft.com/office/drawing/2014/main" id="{1203ECD7-49BC-4CC2-8B52-29B3E3763CD1}"/>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6946" name="avatar">
          <a:extLst>
            <a:ext uri="{FF2B5EF4-FFF2-40B4-BE49-F238E27FC236}">
              <a16:creationId xmlns:a16="http://schemas.microsoft.com/office/drawing/2014/main" id="{08234090-F88B-4951-9212-DC637354C002}"/>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47" name="avatar">
          <a:extLst>
            <a:ext uri="{FF2B5EF4-FFF2-40B4-BE49-F238E27FC236}">
              <a16:creationId xmlns:a16="http://schemas.microsoft.com/office/drawing/2014/main" id="{CBDCE7BB-A7BF-4ACE-B66E-6AAB2C01BEC7}"/>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2259"/>
    <xdr:sp macro="" textlink="">
      <xdr:nvSpPr>
        <xdr:cNvPr id="66948" name="avatar">
          <a:extLst>
            <a:ext uri="{FF2B5EF4-FFF2-40B4-BE49-F238E27FC236}">
              <a16:creationId xmlns:a16="http://schemas.microsoft.com/office/drawing/2014/main" id="{5DA7EFF7-F48D-4BDA-A7C3-A200907C3616}"/>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49" name="avatar">
          <a:extLst>
            <a:ext uri="{FF2B5EF4-FFF2-40B4-BE49-F238E27FC236}">
              <a16:creationId xmlns:a16="http://schemas.microsoft.com/office/drawing/2014/main" id="{83A971AA-1D5B-4B10-8B50-01EC7CF2007D}"/>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6950" name="avatar">
          <a:extLst>
            <a:ext uri="{FF2B5EF4-FFF2-40B4-BE49-F238E27FC236}">
              <a16:creationId xmlns:a16="http://schemas.microsoft.com/office/drawing/2014/main" id="{C3CEFF89-7932-4F95-9D8E-69D7E8ED4BBC}"/>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51" name="avatar">
          <a:extLst>
            <a:ext uri="{FF2B5EF4-FFF2-40B4-BE49-F238E27FC236}">
              <a16:creationId xmlns:a16="http://schemas.microsoft.com/office/drawing/2014/main" id="{275DCA90-CF99-44B7-B900-8B45AFEAB8A7}"/>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9084"/>
    <xdr:sp macro="" textlink="">
      <xdr:nvSpPr>
        <xdr:cNvPr id="66952" name="avatar">
          <a:extLst>
            <a:ext uri="{FF2B5EF4-FFF2-40B4-BE49-F238E27FC236}">
              <a16:creationId xmlns:a16="http://schemas.microsoft.com/office/drawing/2014/main" id="{D1A1C826-14DC-464D-B631-90AC7E83A7A5}"/>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5274"/>
    <xdr:sp macro="" textlink="">
      <xdr:nvSpPr>
        <xdr:cNvPr id="66953" name="avatar">
          <a:extLst>
            <a:ext uri="{FF2B5EF4-FFF2-40B4-BE49-F238E27FC236}">
              <a16:creationId xmlns:a16="http://schemas.microsoft.com/office/drawing/2014/main" id="{D6D76EA9-ACB8-4F31-B56C-74D3614CE53B}"/>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6954" name="avatar">
          <a:extLst>
            <a:ext uri="{FF2B5EF4-FFF2-40B4-BE49-F238E27FC236}">
              <a16:creationId xmlns:a16="http://schemas.microsoft.com/office/drawing/2014/main" id="{1E3EACD8-48BA-46FA-B2B9-68C777B05851}"/>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55" name="avatar">
          <a:extLst>
            <a:ext uri="{FF2B5EF4-FFF2-40B4-BE49-F238E27FC236}">
              <a16:creationId xmlns:a16="http://schemas.microsoft.com/office/drawing/2014/main" id="{9C09765A-5C5D-4D5D-A81D-EFE4AB82BE2F}"/>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2259"/>
    <xdr:sp macro="" textlink="">
      <xdr:nvSpPr>
        <xdr:cNvPr id="66956" name="avatar">
          <a:extLst>
            <a:ext uri="{FF2B5EF4-FFF2-40B4-BE49-F238E27FC236}">
              <a16:creationId xmlns:a16="http://schemas.microsoft.com/office/drawing/2014/main" id="{B7E87EC7-B90F-4FF4-A4C7-A263667FEE02}"/>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57" name="avatar">
          <a:extLst>
            <a:ext uri="{FF2B5EF4-FFF2-40B4-BE49-F238E27FC236}">
              <a16:creationId xmlns:a16="http://schemas.microsoft.com/office/drawing/2014/main" id="{F9D20565-5DF2-48F9-880A-0A3FA776DA64}"/>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6958" name="avatar">
          <a:extLst>
            <a:ext uri="{FF2B5EF4-FFF2-40B4-BE49-F238E27FC236}">
              <a16:creationId xmlns:a16="http://schemas.microsoft.com/office/drawing/2014/main" id="{3248CFF3-496B-47F6-B12B-3687D213842D}"/>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59" name="avatar">
          <a:extLst>
            <a:ext uri="{FF2B5EF4-FFF2-40B4-BE49-F238E27FC236}">
              <a16:creationId xmlns:a16="http://schemas.microsoft.com/office/drawing/2014/main" id="{0EE7B32E-7266-4932-92FC-CFE9EA07F1FF}"/>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9084"/>
    <xdr:sp macro="" textlink="">
      <xdr:nvSpPr>
        <xdr:cNvPr id="66960" name="avatar">
          <a:extLst>
            <a:ext uri="{FF2B5EF4-FFF2-40B4-BE49-F238E27FC236}">
              <a16:creationId xmlns:a16="http://schemas.microsoft.com/office/drawing/2014/main" id="{9CF6E4D2-564F-41E2-AEC4-7016974B180D}"/>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5274"/>
    <xdr:sp macro="" textlink="">
      <xdr:nvSpPr>
        <xdr:cNvPr id="66961" name="avatar">
          <a:extLst>
            <a:ext uri="{FF2B5EF4-FFF2-40B4-BE49-F238E27FC236}">
              <a16:creationId xmlns:a16="http://schemas.microsoft.com/office/drawing/2014/main" id="{227D7DF2-9D9E-4E0F-A90A-9168222115A8}"/>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6962" name="avatar">
          <a:extLst>
            <a:ext uri="{FF2B5EF4-FFF2-40B4-BE49-F238E27FC236}">
              <a16:creationId xmlns:a16="http://schemas.microsoft.com/office/drawing/2014/main" id="{BBE9F3D2-29ED-43BB-A5C7-B1A0E460B1E1}"/>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63" name="avatar">
          <a:extLst>
            <a:ext uri="{FF2B5EF4-FFF2-40B4-BE49-F238E27FC236}">
              <a16:creationId xmlns:a16="http://schemas.microsoft.com/office/drawing/2014/main" id="{66F54843-7300-4A03-8626-413BBE2F93DB}"/>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2259"/>
    <xdr:sp macro="" textlink="">
      <xdr:nvSpPr>
        <xdr:cNvPr id="66964" name="avatar">
          <a:extLst>
            <a:ext uri="{FF2B5EF4-FFF2-40B4-BE49-F238E27FC236}">
              <a16:creationId xmlns:a16="http://schemas.microsoft.com/office/drawing/2014/main" id="{9A207FFF-538B-4C7A-9E35-E0B60CB3C43A}"/>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65" name="avatar">
          <a:extLst>
            <a:ext uri="{FF2B5EF4-FFF2-40B4-BE49-F238E27FC236}">
              <a16:creationId xmlns:a16="http://schemas.microsoft.com/office/drawing/2014/main" id="{96AD2274-C8C7-4142-8F6A-CB7D2EC4EE00}"/>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6966" name="avatar">
          <a:extLst>
            <a:ext uri="{FF2B5EF4-FFF2-40B4-BE49-F238E27FC236}">
              <a16:creationId xmlns:a16="http://schemas.microsoft.com/office/drawing/2014/main" id="{F4938F31-D4D1-4E60-BCB6-33155E1BDE04}"/>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67" name="avatar">
          <a:extLst>
            <a:ext uri="{FF2B5EF4-FFF2-40B4-BE49-F238E27FC236}">
              <a16:creationId xmlns:a16="http://schemas.microsoft.com/office/drawing/2014/main" id="{CAE339D7-2CE1-45C8-A224-9703A5653E43}"/>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9084"/>
    <xdr:sp macro="" textlink="">
      <xdr:nvSpPr>
        <xdr:cNvPr id="66968" name="avatar">
          <a:extLst>
            <a:ext uri="{FF2B5EF4-FFF2-40B4-BE49-F238E27FC236}">
              <a16:creationId xmlns:a16="http://schemas.microsoft.com/office/drawing/2014/main" id="{8EA1DDAE-2788-46ED-89B1-1FBF3D226686}"/>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5274"/>
    <xdr:sp macro="" textlink="">
      <xdr:nvSpPr>
        <xdr:cNvPr id="66969" name="avatar">
          <a:extLst>
            <a:ext uri="{FF2B5EF4-FFF2-40B4-BE49-F238E27FC236}">
              <a16:creationId xmlns:a16="http://schemas.microsoft.com/office/drawing/2014/main" id="{3FECF2DD-098C-4C1C-AF56-868B5FC52DB6}"/>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6970" name="avatar">
          <a:extLst>
            <a:ext uri="{FF2B5EF4-FFF2-40B4-BE49-F238E27FC236}">
              <a16:creationId xmlns:a16="http://schemas.microsoft.com/office/drawing/2014/main" id="{673656BE-2331-43A4-AA84-B64D11B8A970}"/>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71" name="avatar">
          <a:extLst>
            <a:ext uri="{FF2B5EF4-FFF2-40B4-BE49-F238E27FC236}">
              <a16:creationId xmlns:a16="http://schemas.microsoft.com/office/drawing/2014/main" id="{A13BCD34-4592-4F6B-9B8A-BC194B7B2CDD}"/>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2259"/>
    <xdr:sp macro="" textlink="">
      <xdr:nvSpPr>
        <xdr:cNvPr id="66972" name="avatar">
          <a:extLst>
            <a:ext uri="{FF2B5EF4-FFF2-40B4-BE49-F238E27FC236}">
              <a16:creationId xmlns:a16="http://schemas.microsoft.com/office/drawing/2014/main" id="{053EFF9B-1D5E-4A8A-AD7F-EE619492EBFF}"/>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73" name="avatar">
          <a:extLst>
            <a:ext uri="{FF2B5EF4-FFF2-40B4-BE49-F238E27FC236}">
              <a16:creationId xmlns:a16="http://schemas.microsoft.com/office/drawing/2014/main" id="{558C22E3-3A09-4178-8268-67F2F2A9E3C3}"/>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6974" name="avatar">
          <a:extLst>
            <a:ext uri="{FF2B5EF4-FFF2-40B4-BE49-F238E27FC236}">
              <a16:creationId xmlns:a16="http://schemas.microsoft.com/office/drawing/2014/main" id="{9197938C-0B3B-4186-9F95-D4A244D0131B}"/>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75" name="avatar">
          <a:extLst>
            <a:ext uri="{FF2B5EF4-FFF2-40B4-BE49-F238E27FC236}">
              <a16:creationId xmlns:a16="http://schemas.microsoft.com/office/drawing/2014/main" id="{E2CF3A80-6EEA-4D00-80DC-ADBEBFA2D5DC}"/>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9084"/>
    <xdr:sp macro="" textlink="">
      <xdr:nvSpPr>
        <xdr:cNvPr id="66976" name="avatar">
          <a:extLst>
            <a:ext uri="{FF2B5EF4-FFF2-40B4-BE49-F238E27FC236}">
              <a16:creationId xmlns:a16="http://schemas.microsoft.com/office/drawing/2014/main" id="{C57DFA2D-37FE-4E2E-A756-412E6AD14090}"/>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5274"/>
    <xdr:sp macro="" textlink="">
      <xdr:nvSpPr>
        <xdr:cNvPr id="66977" name="avatar">
          <a:extLst>
            <a:ext uri="{FF2B5EF4-FFF2-40B4-BE49-F238E27FC236}">
              <a16:creationId xmlns:a16="http://schemas.microsoft.com/office/drawing/2014/main" id="{8B9572A9-B4A6-41CC-B542-536DA6237156}"/>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6978" name="avatar">
          <a:extLst>
            <a:ext uri="{FF2B5EF4-FFF2-40B4-BE49-F238E27FC236}">
              <a16:creationId xmlns:a16="http://schemas.microsoft.com/office/drawing/2014/main" id="{FE3B49F0-4C6A-4413-B7DE-D911D8B57E95}"/>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79" name="avatar">
          <a:extLst>
            <a:ext uri="{FF2B5EF4-FFF2-40B4-BE49-F238E27FC236}">
              <a16:creationId xmlns:a16="http://schemas.microsoft.com/office/drawing/2014/main" id="{CEA95B8B-0E3F-4CC0-9095-EBA0D0151A53}"/>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2259"/>
    <xdr:sp macro="" textlink="">
      <xdr:nvSpPr>
        <xdr:cNvPr id="66980" name="avatar">
          <a:extLst>
            <a:ext uri="{FF2B5EF4-FFF2-40B4-BE49-F238E27FC236}">
              <a16:creationId xmlns:a16="http://schemas.microsoft.com/office/drawing/2014/main" id="{DD79EDE3-2AD1-44DB-93AB-B103D93E95F5}"/>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81" name="avatar">
          <a:extLst>
            <a:ext uri="{FF2B5EF4-FFF2-40B4-BE49-F238E27FC236}">
              <a16:creationId xmlns:a16="http://schemas.microsoft.com/office/drawing/2014/main" id="{AF24CD1B-547D-4607-A9E6-6108284AE78E}"/>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6982" name="avatar">
          <a:extLst>
            <a:ext uri="{FF2B5EF4-FFF2-40B4-BE49-F238E27FC236}">
              <a16:creationId xmlns:a16="http://schemas.microsoft.com/office/drawing/2014/main" id="{367F235D-F7F9-490C-BE81-EEE3C3C49E34}"/>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83" name="avatar">
          <a:extLst>
            <a:ext uri="{FF2B5EF4-FFF2-40B4-BE49-F238E27FC236}">
              <a16:creationId xmlns:a16="http://schemas.microsoft.com/office/drawing/2014/main" id="{B4AD7721-5491-4FA9-BA48-612DF49781C6}"/>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9084"/>
    <xdr:sp macro="" textlink="">
      <xdr:nvSpPr>
        <xdr:cNvPr id="66984" name="avatar">
          <a:extLst>
            <a:ext uri="{FF2B5EF4-FFF2-40B4-BE49-F238E27FC236}">
              <a16:creationId xmlns:a16="http://schemas.microsoft.com/office/drawing/2014/main" id="{940CC92F-5D8F-4364-B27A-38AB2335D0E1}"/>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5274"/>
    <xdr:sp macro="" textlink="">
      <xdr:nvSpPr>
        <xdr:cNvPr id="66985" name="avatar">
          <a:extLst>
            <a:ext uri="{FF2B5EF4-FFF2-40B4-BE49-F238E27FC236}">
              <a16:creationId xmlns:a16="http://schemas.microsoft.com/office/drawing/2014/main" id="{78227127-D726-4AF5-B255-5FE3899B286F}"/>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6986" name="avatar">
          <a:extLst>
            <a:ext uri="{FF2B5EF4-FFF2-40B4-BE49-F238E27FC236}">
              <a16:creationId xmlns:a16="http://schemas.microsoft.com/office/drawing/2014/main" id="{2BD06640-663C-4156-8ED0-322B0E5624F6}"/>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87" name="avatar">
          <a:extLst>
            <a:ext uri="{FF2B5EF4-FFF2-40B4-BE49-F238E27FC236}">
              <a16:creationId xmlns:a16="http://schemas.microsoft.com/office/drawing/2014/main" id="{21A9D244-CDA6-4752-B7C6-14DE4CD87D93}"/>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2259"/>
    <xdr:sp macro="" textlink="">
      <xdr:nvSpPr>
        <xdr:cNvPr id="66988" name="avatar">
          <a:extLst>
            <a:ext uri="{FF2B5EF4-FFF2-40B4-BE49-F238E27FC236}">
              <a16:creationId xmlns:a16="http://schemas.microsoft.com/office/drawing/2014/main" id="{85E66A33-15E2-4FCC-8CB4-D2A851650EE1}"/>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89" name="avatar">
          <a:extLst>
            <a:ext uri="{FF2B5EF4-FFF2-40B4-BE49-F238E27FC236}">
              <a16:creationId xmlns:a16="http://schemas.microsoft.com/office/drawing/2014/main" id="{90EB9E81-A150-42F6-AB04-886BDD474EC5}"/>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6990" name="avatar">
          <a:extLst>
            <a:ext uri="{FF2B5EF4-FFF2-40B4-BE49-F238E27FC236}">
              <a16:creationId xmlns:a16="http://schemas.microsoft.com/office/drawing/2014/main" id="{1E0AD911-5BD6-40A0-AA4B-F2B2CF68464B}"/>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91" name="avatar">
          <a:extLst>
            <a:ext uri="{FF2B5EF4-FFF2-40B4-BE49-F238E27FC236}">
              <a16:creationId xmlns:a16="http://schemas.microsoft.com/office/drawing/2014/main" id="{BFCAC8A4-8C88-42A3-AA2E-8C01ED18F880}"/>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9084"/>
    <xdr:sp macro="" textlink="">
      <xdr:nvSpPr>
        <xdr:cNvPr id="66992" name="avatar">
          <a:extLst>
            <a:ext uri="{FF2B5EF4-FFF2-40B4-BE49-F238E27FC236}">
              <a16:creationId xmlns:a16="http://schemas.microsoft.com/office/drawing/2014/main" id="{C86973DF-DC06-4227-B78B-24B1FB4BC2A0}"/>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5274"/>
    <xdr:sp macro="" textlink="">
      <xdr:nvSpPr>
        <xdr:cNvPr id="66993" name="avatar">
          <a:extLst>
            <a:ext uri="{FF2B5EF4-FFF2-40B4-BE49-F238E27FC236}">
              <a16:creationId xmlns:a16="http://schemas.microsoft.com/office/drawing/2014/main" id="{ED8CC722-5DC1-4340-9C08-274E6BBC93E3}"/>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6994" name="avatar">
          <a:extLst>
            <a:ext uri="{FF2B5EF4-FFF2-40B4-BE49-F238E27FC236}">
              <a16:creationId xmlns:a16="http://schemas.microsoft.com/office/drawing/2014/main" id="{A8B4A7D3-C195-4976-9477-6A164E25E5F6}"/>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95" name="avatar">
          <a:extLst>
            <a:ext uri="{FF2B5EF4-FFF2-40B4-BE49-F238E27FC236}">
              <a16:creationId xmlns:a16="http://schemas.microsoft.com/office/drawing/2014/main" id="{BA4FE41A-E2D7-459A-AA59-3508C8E5D8D6}"/>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2259"/>
    <xdr:sp macro="" textlink="">
      <xdr:nvSpPr>
        <xdr:cNvPr id="66996" name="avatar">
          <a:extLst>
            <a:ext uri="{FF2B5EF4-FFF2-40B4-BE49-F238E27FC236}">
              <a16:creationId xmlns:a16="http://schemas.microsoft.com/office/drawing/2014/main" id="{C9644BE6-4C64-4032-8924-86313FF4A1BD}"/>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97" name="avatar">
          <a:extLst>
            <a:ext uri="{FF2B5EF4-FFF2-40B4-BE49-F238E27FC236}">
              <a16:creationId xmlns:a16="http://schemas.microsoft.com/office/drawing/2014/main" id="{220EF10F-5696-45A5-9CF3-0F335073AFBD}"/>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6998" name="avatar">
          <a:extLst>
            <a:ext uri="{FF2B5EF4-FFF2-40B4-BE49-F238E27FC236}">
              <a16:creationId xmlns:a16="http://schemas.microsoft.com/office/drawing/2014/main" id="{519B18CC-DD55-4299-84B0-9D70D4926AE6}"/>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6999" name="avatar">
          <a:extLst>
            <a:ext uri="{FF2B5EF4-FFF2-40B4-BE49-F238E27FC236}">
              <a16:creationId xmlns:a16="http://schemas.microsoft.com/office/drawing/2014/main" id="{EE1EC02B-2A2F-42FF-8EAD-D63601C64F6B}"/>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9084"/>
    <xdr:sp macro="" textlink="">
      <xdr:nvSpPr>
        <xdr:cNvPr id="67000" name="avatar">
          <a:extLst>
            <a:ext uri="{FF2B5EF4-FFF2-40B4-BE49-F238E27FC236}">
              <a16:creationId xmlns:a16="http://schemas.microsoft.com/office/drawing/2014/main" id="{FA9B8675-71A1-4CD2-82B2-651E7EA2D333}"/>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5274"/>
    <xdr:sp macro="" textlink="">
      <xdr:nvSpPr>
        <xdr:cNvPr id="67001" name="avatar">
          <a:extLst>
            <a:ext uri="{FF2B5EF4-FFF2-40B4-BE49-F238E27FC236}">
              <a16:creationId xmlns:a16="http://schemas.microsoft.com/office/drawing/2014/main" id="{1A103C91-65B3-4C63-A15C-DCE30C4F1840}"/>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7002" name="avatar">
          <a:extLst>
            <a:ext uri="{FF2B5EF4-FFF2-40B4-BE49-F238E27FC236}">
              <a16:creationId xmlns:a16="http://schemas.microsoft.com/office/drawing/2014/main" id="{88939C60-75E1-4D31-AB4E-09381B6E7D36}"/>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7003" name="avatar">
          <a:extLst>
            <a:ext uri="{FF2B5EF4-FFF2-40B4-BE49-F238E27FC236}">
              <a16:creationId xmlns:a16="http://schemas.microsoft.com/office/drawing/2014/main" id="{47BAC4DF-6DDA-4519-9A7B-39ABB2FD423A}"/>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2259"/>
    <xdr:sp macro="" textlink="">
      <xdr:nvSpPr>
        <xdr:cNvPr id="67004" name="avatar">
          <a:extLst>
            <a:ext uri="{FF2B5EF4-FFF2-40B4-BE49-F238E27FC236}">
              <a16:creationId xmlns:a16="http://schemas.microsoft.com/office/drawing/2014/main" id="{205C1067-6754-4A00-9B46-AE9E904BA4B9}"/>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7005" name="avatar">
          <a:extLst>
            <a:ext uri="{FF2B5EF4-FFF2-40B4-BE49-F238E27FC236}">
              <a16:creationId xmlns:a16="http://schemas.microsoft.com/office/drawing/2014/main" id="{378DA863-9630-4792-9034-383F20D8B57A}"/>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7006" name="avatar">
          <a:extLst>
            <a:ext uri="{FF2B5EF4-FFF2-40B4-BE49-F238E27FC236}">
              <a16:creationId xmlns:a16="http://schemas.microsoft.com/office/drawing/2014/main" id="{B1D48D38-690A-4FAF-AF5B-4A38AB7BC397}"/>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7007" name="avatar">
          <a:extLst>
            <a:ext uri="{FF2B5EF4-FFF2-40B4-BE49-F238E27FC236}">
              <a16:creationId xmlns:a16="http://schemas.microsoft.com/office/drawing/2014/main" id="{103D4F1F-1D1F-4A99-ADAD-64DE0747F3DF}"/>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9084"/>
    <xdr:sp macro="" textlink="">
      <xdr:nvSpPr>
        <xdr:cNvPr id="67008" name="avatar">
          <a:extLst>
            <a:ext uri="{FF2B5EF4-FFF2-40B4-BE49-F238E27FC236}">
              <a16:creationId xmlns:a16="http://schemas.microsoft.com/office/drawing/2014/main" id="{F63C9097-5A16-499F-A774-F268390FBF75}"/>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5274"/>
    <xdr:sp macro="" textlink="">
      <xdr:nvSpPr>
        <xdr:cNvPr id="67009" name="avatar">
          <a:extLst>
            <a:ext uri="{FF2B5EF4-FFF2-40B4-BE49-F238E27FC236}">
              <a16:creationId xmlns:a16="http://schemas.microsoft.com/office/drawing/2014/main" id="{D83C6F44-AD6C-4D61-9645-E4EAE5965FFB}"/>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7010" name="avatar">
          <a:extLst>
            <a:ext uri="{FF2B5EF4-FFF2-40B4-BE49-F238E27FC236}">
              <a16:creationId xmlns:a16="http://schemas.microsoft.com/office/drawing/2014/main" id="{453BA55B-83E2-40A3-A4A3-115AC668EA04}"/>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7011" name="avatar">
          <a:extLst>
            <a:ext uri="{FF2B5EF4-FFF2-40B4-BE49-F238E27FC236}">
              <a16:creationId xmlns:a16="http://schemas.microsoft.com/office/drawing/2014/main" id="{096473F4-0E66-4B2E-9301-134C4B3A91AE}"/>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2259"/>
    <xdr:sp macro="" textlink="">
      <xdr:nvSpPr>
        <xdr:cNvPr id="67012" name="avatar">
          <a:extLst>
            <a:ext uri="{FF2B5EF4-FFF2-40B4-BE49-F238E27FC236}">
              <a16:creationId xmlns:a16="http://schemas.microsoft.com/office/drawing/2014/main" id="{9AB297B1-4659-490C-94B8-3DD16E4F6DC9}"/>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7013" name="avatar">
          <a:extLst>
            <a:ext uri="{FF2B5EF4-FFF2-40B4-BE49-F238E27FC236}">
              <a16:creationId xmlns:a16="http://schemas.microsoft.com/office/drawing/2014/main" id="{58AFA078-BEAD-454B-8E24-4A1262918CC2}"/>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7014" name="avatar">
          <a:extLst>
            <a:ext uri="{FF2B5EF4-FFF2-40B4-BE49-F238E27FC236}">
              <a16:creationId xmlns:a16="http://schemas.microsoft.com/office/drawing/2014/main" id="{06A08A13-5188-4A85-A73C-ED429055CAE9}"/>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7015" name="avatar">
          <a:extLst>
            <a:ext uri="{FF2B5EF4-FFF2-40B4-BE49-F238E27FC236}">
              <a16:creationId xmlns:a16="http://schemas.microsoft.com/office/drawing/2014/main" id="{ABCF9232-5B4F-4E95-A987-C4216BD142D1}"/>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9084"/>
    <xdr:sp macro="" textlink="">
      <xdr:nvSpPr>
        <xdr:cNvPr id="67016" name="avatar">
          <a:extLst>
            <a:ext uri="{FF2B5EF4-FFF2-40B4-BE49-F238E27FC236}">
              <a16:creationId xmlns:a16="http://schemas.microsoft.com/office/drawing/2014/main" id="{8C21493E-E74F-4F0C-B340-8A46E0BCCE31}"/>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5274"/>
    <xdr:sp macro="" textlink="">
      <xdr:nvSpPr>
        <xdr:cNvPr id="67017" name="avatar">
          <a:extLst>
            <a:ext uri="{FF2B5EF4-FFF2-40B4-BE49-F238E27FC236}">
              <a16:creationId xmlns:a16="http://schemas.microsoft.com/office/drawing/2014/main" id="{6A43FDFF-3D80-47C4-A57C-47305E0A5BB3}"/>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7018" name="avatar">
          <a:extLst>
            <a:ext uri="{FF2B5EF4-FFF2-40B4-BE49-F238E27FC236}">
              <a16:creationId xmlns:a16="http://schemas.microsoft.com/office/drawing/2014/main" id="{5BC229DC-4CF6-492A-A2D7-3313ED701930}"/>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7019" name="avatar">
          <a:extLst>
            <a:ext uri="{FF2B5EF4-FFF2-40B4-BE49-F238E27FC236}">
              <a16:creationId xmlns:a16="http://schemas.microsoft.com/office/drawing/2014/main" id="{6CF5B807-BCC2-4B00-9BB6-416E702B842F}"/>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2259"/>
    <xdr:sp macro="" textlink="">
      <xdr:nvSpPr>
        <xdr:cNvPr id="67020" name="avatar">
          <a:extLst>
            <a:ext uri="{FF2B5EF4-FFF2-40B4-BE49-F238E27FC236}">
              <a16:creationId xmlns:a16="http://schemas.microsoft.com/office/drawing/2014/main" id="{76CD9079-C8B8-4F69-B183-B939CA8A8216}"/>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7021" name="avatar">
          <a:extLst>
            <a:ext uri="{FF2B5EF4-FFF2-40B4-BE49-F238E27FC236}">
              <a16:creationId xmlns:a16="http://schemas.microsoft.com/office/drawing/2014/main" id="{427BAE2F-E5A7-4725-BA3C-E64C0CF704F6}"/>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7022" name="avatar">
          <a:extLst>
            <a:ext uri="{FF2B5EF4-FFF2-40B4-BE49-F238E27FC236}">
              <a16:creationId xmlns:a16="http://schemas.microsoft.com/office/drawing/2014/main" id="{1F8B8707-9E45-40FA-BD0F-C3E45166708E}"/>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7023" name="avatar">
          <a:extLst>
            <a:ext uri="{FF2B5EF4-FFF2-40B4-BE49-F238E27FC236}">
              <a16:creationId xmlns:a16="http://schemas.microsoft.com/office/drawing/2014/main" id="{072A471D-FE84-4F50-9162-835A6F8525B2}"/>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9084"/>
    <xdr:sp macro="" textlink="">
      <xdr:nvSpPr>
        <xdr:cNvPr id="67024" name="avatar">
          <a:extLst>
            <a:ext uri="{FF2B5EF4-FFF2-40B4-BE49-F238E27FC236}">
              <a16:creationId xmlns:a16="http://schemas.microsoft.com/office/drawing/2014/main" id="{EC3BC7F0-3C1D-4030-9B45-FEC579601807}"/>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5274"/>
    <xdr:sp macro="" textlink="">
      <xdr:nvSpPr>
        <xdr:cNvPr id="67025" name="avatar">
          <a:extLst>
            <a:ext uri="{FF2B5EF4-FFF2-40B4-BE49-F238E27FC236}">
              <a16:creationId xmlns:a16="http://schemas.microsoft.com/office/drawing/2014/main" id="{551F83D9-A940-4BA3-8871-A711456C688D}"/>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7026" name="avatar">
          <a:extLst>
            <a:ext uri="{FF2B5EF4-FFF2-40B4-BE49-F238E27FC236}">
              <a16:creationId xmlns:a16="http://schemas.microsoft.com/office/drawing/2014/main" id="{00D011F4-47EC-4AB7-BE02-C1E505576F20}"/>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7027" name="avatar">
          <a:extLst>
            <a:ext uri="{FF2B5EF4-FFF2-40B4-BE49-F238E27FC236}">
              <a16:creationId xmlns:a16="http://schemas.microsoft.com/office/drawing/2014/main" id="{8A18FAB6-0851-4590-BF3A-10CE0534F10D}"/>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2259"/>
    <xdr:sp macro="" textlink="">
      <xdr:nvSpPr>
        <xdr:cNvPr id="67028" name="avatar">
          <a:extLst>
            <a:ext uri="{FF2B5EF4-FFF2-40B4-BE49-F238E27FC236}">
              <a16:creationId xmlns:a16="http://schemas.microsoft.com/office/drawing/2014/main" id="{6A802420-27A4-476E-A33B-02C31E6D9C15}"/>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7029" name="avatar">
          <a:extLst>
            <a:ext uri="{FF2B5EF4-FFF2-40B4-BE49-F238E27FC236}">
              <a16:creationId xmlns:a16="http://schemas.microsoft.com/office/drawing/2014/main" id="{EA303FCF-64A8-49F7-9A20-FC0F3135492A}"/>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7030" name="avatar">
          <a:extLst>
            <a:ext uri="{FF2B5EF4-FFF2-40B4-BE49-F238E27FC236}">
              <a16:creationId xmlns:a16="http://schemas.microsoft.com/office/drawing/2014/main" id="{F7BFB987-C469-41FD-9498-79B68857704B}"/>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7031" name="avatar">
          <a:extLst>
            <a:ext uri="{FF2B5EF4-FFF2-40B4-BE49-F238E27FC236}">
              <a16:creationId xmlns:a16="http://schemas.microsoft.com/office/drawing/2014/main" id="{BFD554A6-2A4C-4739-9001-31D036A461F5}"/>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9084"/>
    <xdr:sp macro="" textlink="">
      <xdr:nvSpPr>
        <xdr:cNvPr id="67032" name="avatar">
          <a:extLst>
            <a:ext uri="{FF2B5EF4-FFF2-40B4-BE49-F238E27FC236}">
              <a16:creationId xmlns:a16="http://schemas.microsoft.com/office/drawing/2014/main" id="{CC9EDC52-F7E4-4068-A247-3B7A489AFE7E}"/>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5274"/>
    <xdr:sp macro="" textlink="">
      <xdr:nvSpPr>
        <xdr:cNvPr id="67033" name="avatar">
          <a:extLst>
            <a:ext uri="{FF2B5EF4-FFF2-40B4-BE49-F238E27FC236}">
              <a16:creationId xmlns:a16="http://schemas.microsoft.com/office/drawing/2014/main" id="{76341C0A-3BF3-4C0E-B3F5-68F85F2F2772}"/>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298449"/>
    <xdr:sp macro="" textlink="">
      <xdr:nvSpPr>
        <xdr:cNvPr id="67034" name="avatar">
          <a:extLst>
            <a:ext uri="{FF2B5EF4-FFF2-40B4-BE49-F238E27FC236}">
              <a16:creationId xmlns:a16="http://schemas.microsoft.com/office/drawing/2014/main" id="{D02A0A63-35EF-47C6-B7D0-7A98AAE038C9}"/>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7035" name="avatar">
          <a:extLst>
            <a:ext uri="{FF2B5EF4-FFF2-40B4-BE49-F238E27FC236}">
              <a16:creationId xmlns:a16="http://schemas.microsoft.com/office/drawing/2014/main" id="{9DC95AB6-E66A-47DA-ACC4-49276A90DFC2}"/>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2259"/>
    <xdr:sp macro="" textlink="">
      <xdr:nvSpPr>
        <xdr:cNvPr id="67036" name="avatar">
          <a:extLst>
            <a:ext uri="{FF2B5EF4-FFF2-40B4-BE49-F238E27FC236}">
              <a16:creationId xmlns:a16="http://schemas.microsoft.com/office/drawing/2014/main" id="{2A078409-A05A-45B4-BD2E-9BDD97D3F8CF}"/>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115</xdr:row>
      <xdr:rowOff>0</xdr:rowOff>
    </xdr:from>
    <xdr:ext cx="304800" cy="304701"/>
    <xdr:sp macro="" textlink="">
      <xdr:nvSpPr>
        <xdr:cNvPr id="67037" name="avatar">
          <a:extLst>
            <a:ext uri="{FF2B5EF4-FFF2-40B4-BE49-F238E27FC236}">
              <a16:creationId xmlns:a16="http://schemas.microsoft.com/office/drawing/2014/main" id="{FF5AE9DB-62B1-4760-B9FF-D568D6D27859}"/>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77</xdr:row>
      <xdr:rowOff>0</xdr:rowOff>
    </xdr:from>
    <xdr:ext cx="304800" cy="284163"/>
    <xdr:sp macro="" textlink="">
      <xdr:nvSpPr>
        <xdr:cNvPr id="67038" name="avatar">
          <a:extLst>
            <a:ext uri="{FF2B5EF4-FFF2-40B4-BE49-F238E27FC236}">
              <a16:creationId xmlns:a16="http://schemas.microsoft.com/office/drawing/2014/main" id="{2DF8F77E-90B4-4CBE-8371-AD78BC82013D}"/>
            </a:ext>
          </a:extLst>
        </xdr:cNvPr>
        <xdr:cNvSpPr>
          <a:spLocks noChangeAspect="1" noChangeArrowheads="1"/>
        </xdr:cNvSpPr>
      </xdr:nvSpPr>
      <xdr:spPr bwMode="auto">
        <a:xfrm>
          <a:off x="3705225" y="1333500"/>
          <a:ext cx="304800" cy="28416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87337"/>
    <xdr:sp macro="" textlink="">
      <xdr:nvSpPr>
        <xdr:cNvPr id="67039" name="avatar">
          <a:extLst>
            <a:ext uri="{FF2B5EF4-FFF2-40B4-BE49-F238E27FC236}">
              <a16:creationId xmlns:a16="http://schemas.microsoft.com/office/drawing/2014/main" id="{350FBD28-9D88-4484-B0F3-A139AFD66144}"/>
            </a:ext>
          </a:extLst>
        </xdr:cNvPr>
        <xdr:cNvSpPr>
          <a:spLocks noChangeAspect="1" noChangeArrowheads="1"/>
        </xdr:cNvSpPr>
      </xdr:nvSpPr>
      <xdr:spPr bwMode="auto">
        <a:xfrm>
          <a:off x="0" y="133350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040" name="avatar">
          <a:extLst>
            <a:ext uri="{FF2B5EF4-FFF2-40B4-BE49-F238E27FC236}">
              <a16:creationId xmlns:a16="http://schemas.microsoft.com/office/drawing/2014/main" id="{DC2B3821-E1CB-4261-90CC-DBF0735663B1}"/>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77</xdr:row>
      <xdr:rowOff>0</xdr:rowOff>
    </xdr:from>
    <xdr:ext cx="304800" cy="285432"/>
    <xdr:sp macro="" textlink="">
      <xdr:nvSpPr>
        <xdr:cNvPr id="67041" name="avatar">
          <a:extLst>
            <a:ext uri="{FF2B5EF4-FFF2-40B4-BE49-F238E27FC236}">
              <a16:creationId xmlns:a16="http://schemas.microsoft.com/office/drawing/2014/main" id="{D7384FFA-5D7E-42FF-BA1B-593D171FB1C6}"/>
            </a:ext>
          </a:extLst>
        </xdr:cNvPr>
        <xdr:cNvSpPr>
          <a:spLocks noChangeAspect="1" noChangeArrowheads="1"/>
        </xdr:cNvSpPr>
      </xdr:nvSpPr>
      <xdr:spPr bwMode="auto">
        <a:xfrm>
          <a:off x="3705225" y="1333500"/>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85432"/>
    <xdr:sp macro="" textlink="">
      <xdr:nvSpPr>
        <xdr:cNvPr id="67042" name="avatar">
          <a:extLst>
            <a:ext uri="{FF2B5EF4-FFF2-40B4-BE49-F238E27FC236}">
              <a16:creationId xmlns:a16="http://schemas.microsoft.com/office/drawing/2014/main" id="{5F0F95FF-563A-4292-A75C-9892FEFC54EB}"/>
            </a:ext>
          </a:extLst>
        </xdr:cNvPr>
        <xdr:cNvSpPr>
          <a:spLocks noChangeAspect="1" noChangeArrowheads="1"/>
        </xdr:cNvSpPr>
      </xdr:nvSpPr>
      <xdr:spPr bwMode="auto">
        <a:xfrm>
          <a:off x="0" y="1333500"/>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77</xdr:row>
      <xdr:rowOff>0</xdr:rowOff>
    </xdr:from>
    <xdr:ext cx="304800" cy="295274"/>
    <xdr:sp macro="" textlink="">
      <xdr:nvSpPr>
        <xdr:cNvPr id="67043" name="avatar">
          <a:extLst>
            <a:ext uri="{FF2B5EF4-FFF2-40B4-BE49-F238E27FC236}">
              <a16:creationId xmlns:a16="http://schemas.microsoft.com/office/drawing/2014/main" id="{F59F8C98-9DF8-44BA-8C37-588A64722DB8}"/>
            </a:ext>
          </a:extLst>
        </xdr:cNvPr>
        <xdr:cNvSpPr>
          <a:spLocks noChangeAspect="1" noChangeArrowheads="1"/>
        </xdr:cNvSpPr>
      </xdr:nvSpPr>
      <xdr:spPr bwMode="auto">
        <a:xfrm>
          <a:off x="3705225"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7044" name="avatar">
          <a:extLst>
            <a:ext uri="{FF2B5EF4-FFF2-40B4-BE49-F238E27FC236}">
              <a16:creationId xmlns:a16="http://schemas.microsoft.com/office/drawing/2014/main" id="{A65F42AA-272A-4ED2-B3FB-2EE3F3CAF183}"/>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77</xdr:row>
      <xdr:rowOff>0</xdr:rowOff>
    </xdr:from>
    <xdr:ext cx="304800" cy="288001"/>
    <xdr:sp macro="" textlink="">
      <xdr:nvSpPr>
        <xdr:cNvPr id="67045" name="avatar">
          <a:extLst>
            <a:ext uri="{FF2B5EF4-FFF2-40B4-BE49-F238E27FC236}">
              <a16:creationId xmlns:a16="http://schemas.microsoft.com/office/drawing/2014/main" id="{0903B3A8-DD32-4AFC-B437-5F0BA2BA1656}"/>
            </a:ext>
          </a:extLst>
        </xdr:cNvPr>
        <xdr:cNvSpPr>
          <a:spLocks noChangeAspect="1" noChangeArrowheads="1"/>
        </xdr:cNvSpPr>
      </xdr:nvSpPr>
      <xdr:spPr bwMode="auto">
        <a:xfrm>
          <a:off x="3705225" y="1333500"/>
          <a:ext cx="304800" cy="2880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87337"/>
    <xdr:sp macro="" textlink="">
      <xdr:nvSpPr>
        <xdr:cNvPr id="67046" name="avatar">
          <a:extLst>
            <a:ext uri="{FF2B5EF4-FFF2-40B4-BE49-F238E27FC236}">
              <a16:creationId xmlns:a16="http://schemas.microsoft.com/office/drawing/2014/main" id="{D44010D1-9A14-4B69-BFDB-5FFB4EF1CCA2}"/>
            </a:ext>
          </a:extLst>
        </xdr:cNvPr>
        <xdr:cNvSpPr>
          <a:spLocks noChangeAspect="1" noChangeArrowheads="1"/>
        </xdr:cNvSpPr>
      </xdr:nvSpPr>
      <xdr:spPr bwMode="auto">
        <a:xfrm>
          <a:off x="0" y="133350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047" name="avatar">
          <a:extLst>
            <a:ext uri="{FF2B5EF4-FFF2-40B4-BE49-F238E27FC236}">
              <a16:creationId xmlns:a16="http://schemas.microsoft.com/office/drawing/2014/main" id="{A195C1F8-7B56-4FDE-81E0-FC82B1D075C8}"/>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77</xdr:row>
      <xdr:rowOff>0</xdr:rowOff>
    </xdr:from>
    <xdr:ext cx="304800" cy="306416"/>
    <xdr:sp macro="" textlink="">
      <xdr:nvSpPr>
        <xdr:cNvPr id="67048" name="avatar">
          <a:extLst>
            <a:ext uri="{FF2B5EF4-FFF2-40B4-BE49-F238E27FC236}">
              <a16:creationId xmlns:a16="http://schemas.microsoft.com/office/drawing/2014/main" id="{6820A63F-3CD3-4404-A4A9-57C0B3DC8F63}"/>
            </a:ext>
          </a:extLst>
        </xdr:cNvPr>
        <xdr:cNvSpPr>
          <a:spLocks noChangeAspect="1" noChangeArrowheads="1"/>
        </xdr:cNvSpPr>
      </xdr:nvSpPr>
      <xdr:spPr bwMode="auto">
        <a:xfrm>
          <a:off x="3705225" y="1333500"/>
          <a:ext cx="304800" cy="3064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84797"/>
    <xdr:sp macro="" textlink="">
      <xdr:nvSpPr>
        <xdr:cNvPr id="67049" name="avatar">
          <a:extLst>
            <a:ext uri="{FF2B5EF4-FFF2-40B4-BE49-F238E27FC236}">
              <a16:creationId xmlns:a16="http://schemas.microsoft.com/office/drawing/2014/main" id="{D7F99C58-AA43-4EE1-9050-B0F15B726C0D}"/>
            </a:ext>
          </a:extLst>
        </xdr:cNvPr>
        <xdr:cNvSpPr>
          <a:spLocks noChangeAspect="1" noChangeArrowheads="1"/>
        </xdr:cNvSpPr>
      </xdr:nvSpPr>
      <xdr:spPr bwMode="auto">
        <a:xfrm>
          <a:off x="0" y="1333500"/>
          <a:ext cx="304800" cy="28479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050" name="avatar">
          <a:extLst>
            <a:ext uri="{FF2B5EF4-FFF2-40B4-BE49-F238E27FC236}">
              <a16:creationId xmlns:a16="http://schemas.microsoft.com/office/drawing/2014/main" id="{D59C246C-E7EC-4651-8DC5-8960514F9768}"/>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77</xdr:row>
      <xdr:rowOff>0</xdr:rowOff>
    </xdr:from>
    <xdr:ext cx="304800" cy="294005"/>
    <xdr:sp macro="" textlink="">
      <xdr:nvSpPr>
        <xdr:cNvPr id="67051" name="avatar">
          <a:extLst>
            <a:ext uri="{FF2B5EF4-FFF2-40B4-BE49-F238E27FC236}">
              <a16:creationId xmlns:a16="http://schemas.microsoft.com/office/drawing/2014/main" id="{F1E27C4A-C940-4185-A2E4-4624C25727DD}"/>
            </a:ext>
          </a:extLst>
        </xdr:cNvPr>
        <xdr:cNvSpPr>
          <a:spLocks noChangeAspect="1" noChangeArrowheads="1"/>
        </xdr:cNvSpPr>
      </xdr:nvSpPr>
      <xdr:spPr bwMode="auto">
        <a:xfrm>
          <a:off x="3705225" y="1333500"/>
          <a:ext cx="304800" cy="29400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052" name="avatar">
          <a:extLst>
            <a:ext uri="{FF2B5EF4-FFF2-40B4-BE49-F238E27FC236}">
              <a16:creationId xmlns:a16="http://schemas.microsoft.com/office/drawing/2014/main" id="{D8B37F55-EDA2-4125-A77D-C293DD57AC17}"/>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053" name="avatar">
          <a:extLst>
            <a:ext uri="{FF2B5EF4-FFF2-40B4-BE49-F238E27FC236}">
              <a16:creationId xmlns:a16="http://schemas.microsoft.com/office/drawing/2014/main" id="{FA6949FE-6EDE-4F10-A2CE-22BE677DCB54}"/>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77</xdr:row>
      <xdr:rowOff>0</xdr:rowOff>
    </xdr:from>
    <xdr:ext cx="304800" cy="294004"/>
    <xdr:sp macro="" textlink="">
      <xdr:nvSpPr>
        <xdr:cNvPr id="67054" name="avatar">
          <a:extLst>
            <a:ext uri="{FF2B5EF4-FFF2-40B4-BE49-F238E27FC236}">
              <a16:creationId xmlns:a16="http://schemas.microsoft.com/office/drawing/2014/main" id="{7EE4EE41-69A1-414B-A72D-BD74191282F1}"/>
            </a:ext>
          </a:extLst>
        </xdr:cNvPr>
        <xdr:cNvSpPr>
          <a:spLocks noChangeAspect="1" noChangeArrowheads="1"/>
        </xdr:cNvSpPr>
      </xdr:nvSpPr>
      <xdr:spPr bwMode="auto">
        <a:xfrm>
          <a:off x="3705225" y="1333500"/>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4004"/>
    <xdr:sp macro="" textlink="">
      <xdr:nvSpPr>
        <xdr:cNvPr id="67055" name="avatar">
          <a:extLst>
            <a:ext uri="{FF2B5EF4-FFF2-40B4-BE49-F238E27FC236}">
              <a16:creationId xmlns:a16="http://schemas.microsoft.com/office/drawing/2014/main" id="{C8E7E583-65F5-4181-B885-C682D6AD3EB5}"/>
            </a:ext>
          </a:extLst>
        </xdr:cNvPr>
        <xdr:cNvSpPr>
          <a:spLocks noChangeAspect="1" noChangeArrowheads="1"/>
        </xdr:cNvSpPr>
      </xdr:nvSpPr>
      <xdr:spPr bwMode="auto">
        <a:xfrm>
          <a:off x="0" y="1333500"/>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2830150</xdr:colOff>
      <xdr:row>77</xdr:row>
      <xdr:rowOff>0</xdr:rowOff>
    </xdr:from>
    <xdr:ext cx="1179875" cy="1143000"/>
    <xdr:sp macro="" textlink="">
      <xdr:nvSpPr>
        <xdr:cNvPr id="67056" name="avatar">
          <a:extLst>
            <a:ext uri="{FF2B5EF4-FFF2-40B4-BE49-F238E27FC236}">
              <a16:creationId xmlns:a16="http://schemas.microsoft.com/office/drawing/2014/main" id="{76AFA33E-430A-45B3-8B36-5B294C6C2AFF}"/>
            </a:ext>
          </a:extLst>
        </xdr:cNvPr>
        <xdr:cNvSpPr>
          <a:spLocks noChangeAspect="1" noChangeArrowheads="1"/>
        </xdr:cNvSpPr>
      </xdr:nvSpPr>
      <xdr:spPr bwMode="auto">
        <a:xfrm>
          <a:off x="2830150" y="1333500"/>
          <a:ext cx="1179875" cy="1143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7057" name="avatar">
          <a:extLst>
            <a:ext uri="{FF2B5EF4-FFF2-40B4-BE49-F238E27FC236}">
              <a16:creationId xmlns:a16="http://schemas.microsoft.com/office/drawing/2014/main" id="{ED0FB315-942A-4F7E-9EBB-5E8266C73CCF}"/>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058" name="avatar">
          <a:extLst>
            <a:ext uri="{FF2B5EF4-FFF2-40B4-BE49-F238E27FC236}">
              <a16:creationId xmlns:a16="http://schemas.microsoft.com/office/drawing/2014/main" id="{3F2EB76C-6EFA-4387-B3E9-A1E89E995551}"/>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059" name="avatar">
          <a:extLst>
            <a:ext uri="{FF2B5EF4-FFF2-40B4-BE49-F238E27FC236}">
              <a16:creationId xmlns:a16="http://schemas.microsoft.com/office/drawing/2014/main" id="{5F28D41B-A807-4B7C-8164-83E6A5EC0FC2}"/>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4639"/>
    <xdr:sp macro="" textlink="">
      <xdr:nvSpPr>
        <xdr:cNvPr id="67060" name="avatar">
          <a:extLst>
            <a:ext uri="{FF2B5EF4-FFF2-40B4-BE49-F238E27FC236}">
              <a16:creationId xmlns:a16="http://schemas.microsoft.com/office/drawing/2014/main" id="{4CE79CC7-89B3-4B1E-8B94-C4BE31971B4D}"/>
            </a:ext>
          </a:extLst>
        </xdr:cNvPr>
        <xdr:cNvSpPr>
          <a:spLocks noChangeAspect="1" noChangeArrowheads="1"/>
        </xdr:cNvSpPr>
      </xdr:nvSpPr>
      <xdr:spPr bwMode="auto">
        <a:xfrm>
          <a:off x="0" y="1333500"/>
          <a:ext cx="304800" cy="2946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061" name="avatar">
          <a:extLst>
            <a:ext uri="{FF2B5EF4-FFF2-40B4-BE49-F238E27FC236}">
              <a16:creationId xmlns:a16="http://schemas.microsoft.com/office/drawing/2014/main" id="{C8D01A74-539C-4E94-9BAD-31697D74BC85}"/>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062" name="avatar">
          <a:extLst>
            <a:ext uri="{FF2B5EF4-FFF2-40B4-BE49-F238E27FC236}">
              <a16:creationId xmlns:a16="http://schemas.microsoft.com/office/drawing/2014/main" id="{9AA1870E-AB4E-418B-BA42-8012EFC9F7E0}"/>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063" name="avatar">
          <a:extLst>
            <a:ext uri="{FF2B5EF4-FFF2-40B4-BE49-F238E27FC236}">
              <a16:creationId xmlns:a16="http://schemas.microsoft.com/office/drawing/2014/main" id="{FEAC93DC-E72D-4837-BB9C-111FB45FBDD3}"/>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7064" name="avatar">
          <a:extLst>
            <a:ext uri="{FF2B5EF4-FFF2-40B4-BE49-F238E27FC236}">
              <a16:creationId xmlns:a16="http://schemas.microsoft.com/office/drawing/2014/main" id="{A4E2EE6B-26C9-4B75-90CE-4E870D2D2D39}"/>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7065" name="avatar">
          <a:extLst>
            <a:ext uri="{FF2B5EF4-FFF2-40B4-BE49-F238E27FC236}">
              <a16:creationId xmlns:a16="http://schemas.microsoft.com/office/drawing/2014/main" id="{FFB5A9A7-D095-4C59-852C-7EAA6AF7CE23}"/>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066" name="avatar">
          <a:extLst>
            <a:ext uri="{FF2B5EF4-FFF2-40B4-BE49-F238E27FC236}">
              <a16:creationId xmlns:a16="http://schemas.microsoft.com/office/drawing/2014/main" id="{6841A812-78BE-41F1-AC0C-6540EC194C50}"/>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067" name="avatar">
          <a:extLst>
            <a:ext uri="{FF2B5EF4-FFF2-40B4-BE49-F238E27FC236}">
              <a16:creationId xmlns:a16="http://schemas.microsoft.com/office/drawing/2014/main" id="{7CA72C04-AFCF-499D-AF51-3AAC48CE20E7}"/>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7068" name="avatar">
          <a:extLst>
            <a:ext uri="{FF2B5EF4-FFF2-40B4-BE49-F238E27FC236}">
              <a16:creationId xmlns:a16="http://schemas.microsoft.com/office/drawing/2014/main" id="{7D14A0CC-826A-41BD-A732-A38CCB4D465C}"/>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069" name="avatar">
          <a:extLst>
            <a:ext uri="{FF2B5EF4-FFF2-40B4-BE49-F238E27FC236}">
              <a16:creationId xmlns:a16="http://schemas.microsoft.com/office/drawing/2014/main" id="{148956EA-FD49-4504-A934-305165C13D70}"/>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070" name="avatar">
          <a:extLst>
            <a:ext uri="{FF2B5EF4-FFF2-40B4-BE49-F238E27FC236}">
              <a16:creationId xmlns:a16="http://schemas.microsoft.com/office/drawing/2014/main" id="{2964C62B-3253-4427-A534-6BC5B6FC99C5}"/>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071" name="avatar">
          <a:extLst>
            <a:ext uri="{FF2B5EF4-FFF2-40B4-BE49-F238E27FC236}">
              <a16:creationId xmlns:a16="http://schemas.microsoft.com/office/drawing/2014/main" id="{2D6F7470-1D30-46A0-A458-340645B6F648}"/>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7072" name="avatar">
          <a:extLst>
            <a:ext uri="{FF2B5EF4-FFF2-40B4-BE49-F238E27FC236}">
              <a16:creationId xmlns:a16="http://schemas.microsoft.com/office/drawing/2014/main" id="{FC2DA945-D1E1-4A03-9BC5-1EB3073D5CCF}"/>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7073" name="avatar">
          <a:extLst>
            <a:ext uri="{FF2B5EF4-FFF2-40B4-BE49-F238E27FC236}">
              <a16:creationId xmlns:a16="http://schemas.microsoft.com/office/drawing/2014/main" id="{A804823F-242F-4818-95BE-487345342A61}"/>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074" name="avatar">
          <a:extLst>
            <a:ext uri="{FF2B5EF4-FFF2-40B4-BE49-F238E27FC236}">
              <a16:creationId xmlns:a16="http://schemas.microsoft.com/office/drawing/2014/main" id="{B034E794-4DDD-4A26-BA10-46877B2587FC}"/>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075" name="avatar">
          <a:extLst>
            <a:ext uri="{FF2B5EF4-FFF2-40B4-BE49-F238E27FC236}">
              <a16:creationId xmlns:a16="http://schemas.microsoft.com/office/drawing/2014/main" id="{C1795160-25C6-4EB2-B293-EB78295BC438}"/>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7076" name="avatar">
          <a:extLst>
            <a:ext uri="{FF2B5EF4-FFF2-40B4-BE49-F238E27FC236}">
              <a16:creationId xmlns:a16="http://schemas.microsoft.com/office/drawing/2014/main" id="{39F86F07-6122-445C-B8BF-56718022835F}"/>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077" name="avatar">
          <a:extLst>
            <a:ext uri="{FF2B5EF4-FFF2-40B4-BE49-F238E27FC236}">
              <a16:creationId xmlns:a16="http://schemas.microsoft.com/office/drawing/2014/main" id="{75C6B5BA-26A8-45E8-A252-FFEF318EB4B1}"/>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078" name="avatar">
          <a:extLst>
            <a:ext uri="{FF2B5EF4-FFF2-40B4-BE49-F238E27FC236}">
              <a16:creationId xmlns:a16="http://schemas.microsoft.com/office/drawing/2014/main" id="{0BB136A0-1FA9-4BA6-83A8-9EA7ECFCBC1C}"/>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079" name="avatar">
          <a:extLst>
            <a:ext uri="{FF2B5EF4-FFF2-40B4-BE49-F238E27FC236}">
              <a16:creationId xmlns:a16="http://schemas.microsoft.com/office/drawing/2014/main" id="{C910BA53-9321-41E1-9C2C-107632D90F52}"/>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7080" name="avatar">
          <a:extLst>
            <a:ext uri="{FF2B5EF4-FFF2-40B4-BE49-F238E27FC236}">
              <a16:creationId xmlns:a16="http://schemas.microsoft.com/office/drawing/2014/main" id="{DCB5CB96-78E9-48BC-B6FD-4B731FF3842B}"/>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7081" name="avatar">
          <a:extLst>
            <a:ext uri="{FF2B5EF4-FFF2-40B4-BE49-F238E27FC236}">
              <a16:creationId xmlns:a16="http://schemas.microsoft.com/office/drawing/2014/main" id="{445E021F-A6CB-4590-BD0B-28ACAE092980}"/>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082" name="avatar">
          <a:extLst>
            <a:ext uri="{FF2B5EF4-FFF2-40B4-BE49-F238E27FC236}">
              <a16:creationId xmlns:a16="http://schemas.microsoft.com/office/drawing/2014/main" id="{5C052439-7C66-4C31-96DD-DA88AD7DC9F9}"/>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083" name="avatar">
          <a:extLst>
            <a:ext uri="{FF2B5EF4-FFF2-40B4-BE49-F238E27FC236}">
              <a16:creationId xmlns:a16="http://schemas.microsoft.com/office/drawing/2014/main" id="{2B554AF0-53A3-48C4-9DBB-0DDFB806A944}"/>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7084" name="avatar">
          <a:extLst>
            <a:ext uri="{FF2B5EF4-FFF2-40B4-BE49-F238E27FC236}">
              <a16:creationId xmlns:a16="http://schemas.microsoft.com/office/drawing/2014/main" id="{AF6F1E92-C1B3-4E3E-B971-0E0AAE9A90B1}"/>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085" name="avatar">
          <a:extLst>
            <a:ext uri="{FF2B5EF4-FFF2-40B4-BE49-F238E27FC236}">
              <a16:creationId xmlns:a16="http://schemas.microsoft.com/office/drawing/2014/main" id="{EBF8F358-A971-46FE-B85D-9D154D93B218}"/>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086" name="avatar">
          <a:extLst>
            <a:ext uri="{FF2B5EF4-FFF2-40B4-BE49-F238E27FC236}">
              <a16:creationId xmlns:a16="http://schemas.microsoft.com/office/drawing/2014/main" id="{43D488FF-2ABD-457D-A341-6A066083D1AA}"/>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087" name="avatar">
          <a:extLst>
            <a:ext uri="{FF2B5EF4-FFF2-40B4-BE49-F238E27FC236}">
              <a16:creationId xmlns:a16="http://schemas.microsoft.com/office/drawing/2014/main" id="{18DB3F80-8DDD-49FB-9950-E2385D49B5B0}"/>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7088" name="avatar">
          <a:extLst>
            <a:ext uri="{FF2B5EF4-FFF2-40B4-BE49-F238E27FC236}">
              <a16:creationId xmlns:a16="http://schemas.microsoft.com/office/drawing/2014/main" id="{A4A4DD8D-5CB5-408B-8B13-91E8872750E7}"/>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7089" name="avatar">
          <a:extLst>
            <a:ext uri="{FF2B5EF4-FFF2-40B4-BE49-F238E27FC236}">
              <a16:creationId xmlns:a16="http://schemas.microsoft.com/office/drawing/2014/main" id="{B2E69976-DADC-405E-818B-CBD698DB935D}"/>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090" name="avatar">
          <a:extLst>
            <a:ext uri="{FF2B5EF4-FFF2-40B4-BE49-F238E27FC236}">
              <a16:creationId xmlns:a16="http://schemas.microsoft.com/office/drawing/2014/main" id="{E9F701F1-0FB6-4EB7-8368-BC8305E1083A}"/>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091" name="avatar">
          <a:extLst>
            <a:ext uri="{FF2B5EF4-FFF2-40B4-BE49-F238E27FC236}">
              <a16:creationId xmlns:a16="http://schemas.microsoft.com/office/drawing/2014/main" id="{4FD24F01-1E2B-404E-A76C-B106075E7683}"/>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7092" name="avatar">
          <a:extLst>
            <a:ext uri="{FF2B5EF4-FFF2-40B4-BE49-F238E27FC236}">
              <a16:creationId xmlns:a16="http://schemas.microsoft.com/office/drawing/2014/main" id="{9FB56137-F6FC-4A83-9A33-13B3025368D6}"/>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093" name="avatar">
          <a:extLst>
            <a:ext uri="{FF2B5EF4-FFF2-40B4-BE49-F238E27FC236}">
              <a16:creationId xmlns:a16="http://schemas.microsoft.com/office/drawing/2014/main" id="{239D334E-D6C6-45FF-A318-ADA4EB6D2328}"/>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094" name="avatar">
          <a:extLst>
            <a:ext uri="{FF2B5EF4-FFF2-40B4-BE49-F238E27FC236}">
              <a16:creationId xmlns:a16="http://schemas.microsoft.com/office/drawing/2014/main" id="{B2E977C7-AE9C-41A6-8D2E-1E3630BF931D}"/>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095" name="avatar">
          <a:extLst>
            <a:ext uri="{FF2B5EF4-FFF2-40B4-BE49-F238E27FC236}">
              <a16:creationId xmlns:a16="http://schemas.microsoft.com/office/drawing/2014/main" id="{85C0F471-AE98-41FC-8152-615358F6EFF5}"/>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7096" name="avatar">
          <a:extLst>
            <a:ext uri="{FF2B5EF4-FFF2-40B4-BE49-F238E27FC236}">
              <a16:creationId xmlns:a16="http://schemas.microsoft.com/office/drawing/2014/main" id="{B61E1D3A-41C6-4C41-990C-011B7AA9896F}"/>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7097" name="avatar">
          <a:extLst>
            <a:ext uri="{FF2B5EF4-FFF2-40B4-BE49-F238E27FC236}">
              <a16:creationId xmlns:a16="http://schemas.microsoft.com/office/drawing/2014/main" id="{2D2A436B-AC6E-41B0-91FA-D863D12BD509}"/>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098" name="avatar">
          <a:extLst>
            <a:ext uri="{FF2B5EF4-FFF2-40B4-BE49-F238E27FC236}">
              <a16:creationId xmlns:a16="http://schemas.microsoft.com/office/drawing/2014/main" id="{727BCD2A-96D4-483E-BBB5-0357AA4FA916}"/>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099" name="avatar">
          <a:extLst>
            <a:ext uri="{FF2B5EF4-FFF2-40B4-BE49-F238E27FC236}">
              <a16:creationId xmlns:a16="http://schemas.microsoft.com/office/drawing/2014/main" id="{7969CB91-3397-4049-91EF-87A4BC1CA2CD}"/>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7100" name="avatar">
          <a:extLst>
            <a:ext uri="{FF2B5EF4-FFF2-40B4-BE49-F238E27FC236}">
              <a16:creationId xmlns:a16="http://schemas.microsoft.com/office/drawing/2014/main" id="{8141D28E-F890-4C3D-9AD4-F276A2250719}"/>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01" name="avatar">
          <a:extLst>
            <a:ext uri="{FF2B5EF4-FFF2-40B4-BE49-F238E27FC236}">
              <a16:creationId xmlns:a16="http://schemas.microsoft.com/office/drawing/2014/main" id="{778EF2B2-2F86-4AE4-829E-78AF35E2F7D2}"/>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102" name="avatar">
          <a:extLst>
            <a:ext uri="{FF2B5EF4-FFF2-40B4-BE49-F238E27FC236}">
              <a16:creationId xmlns:a16="http://schemas.microsoft.com/office/drawing/2014/main" id="{2C9DF835-0C93-49FE-90A6-4551FA1C77EC}"/>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03" name="avatar">
          <a:extLst>
            <a:ext uri="{FF2B5EF4-FFF2-40B4-BE49-F238E27FC236}">
              <a16:creationId xmlns:a16="http://schemas.microsoft.com/office/drawing/2014/main" id="{2B28E552-7AAE-45DD-9AB9-40649CB4ED0C}"/>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7104" name="avatar">
          <a:extLst>
            <a:ext uri="{FF2B5EF4-FFF2-40B4-BE49-F238E27FC236}">
              <a16:creationId xmlns:a16="http://schemas.microsoft.com/office/drawing/2014/main" id="{04825112-53D9-4282-B1EC-676B4D9D7C3F}"/>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7105" name="avatar">
          <a:extLst>
            <a:ext uri="{FF2B5EF4-FFF2-40B4-BE49-F238E27FC236}">
              <a16:creationId xmlns:a16="http://schemas.microsoft.com/office/drawing/2014/main" id="{E176B407-E55F-442D-AE6A-B72F9C149AF4}"/>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106" name="avatar">
          <a:extLst>
            <a:ext uri="{FF2B5EF4-FFF2-40B4-BE49-F238E27FC236}">
              <a16:creationId xmlns:a16="http://schemas.microsoft.com/office/drawing/2014/main" id="{520F60A5-F1DE-4967-B963-802DB29CF0DB}"/>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07" name="avatar">
          <a:extLst>
            <a:ext uri="{FF2B5EF4-FFF2-40B4-BE49-F238E27FC236}">
              <a16:creationId xmlns:a16="http://schemas.microsoft.com/office/drawing/2014/main" id="{76EC81D3-999F-45A2-BC93-26E1125785D9}"/>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7108" name="avatar">
          <a:extLst>
            <a:ext uri="{FF2B5EF4-FFF2-40B4-BE49-F238E27FC236}">
              <a16:creationId xmlns:a16="http://schemas.microsoft.com/office/drawing/2014/main" id="{5B5FB653-3700-47DA-8BFE-4F439C911885}"/>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09" name="avatar">
          <a:extLst>
            <a:ext uri="{FF2B5EF4-FFF2-40B4-BE49-F238E27FC236}">
              <a16:creationId xmlns:a16="http://schemas.microsoft.com/office/drawing/2014/main" id="{5260C370-2323-4A77-BDAB-6AF78663A550}"/>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110" name="avatar">
          <a:extLst>
            <a:ext uri="{FF2B5EF4-FFF2-40B4-BE49-F238E27FC236}">
              <a16:creationId xmlns:a16="http://schemas.microsoft.com/office/drawing/2014/main" id="{9381A573-C2FF-4F45-A202-B2FA66634719}"/>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11" name="avatar">
          <a:extLst>
            <a:ext uri="{FF2B5EF4-FFF2-40B4-BE49-F238E27FC236}">
              <a16:creationId xmlns:a16="http://schemas.microsoft.com/office/drawing/2014/main" id="{896C4148-41A8-41CD-9E23-CA41A94DDD96}"/>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7112" name="avatar">
          <a:extLst>
            <a:ext uri="{FF2B5EF4-FFF2-40B4-BE49-F238E27FC236}">
              <a16:creationId xmlns:a16="http://schemas.microsoft.com/office/drawing/2014/main" id="{0E730963-29EF-41E6-9036-5DF424758C5D}"/>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7113" name="avatar">
          <a:extLst>
            <a:ext uri="{FF2B5EF4-FFF2-40B4-BE49-F238E27FC236}">
              <a16:creationId xmlns:a16="http://schemas.microsoft.com/office/drawing/2014/main" id="{64BFE631-55D9-4FE2-AAD2-E1EB0F83F9CD}"/>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114" name="avatar">
          <a:extLst>
            <a:ext uri="{FF2B5EF4-FFF2-40B4-BE49-F238E27FC236}">
              <a16:creationId xmlns:a16="http://schemas.microsoft.com/office/drawing/2014/main" id="{60DD1214-4FD9-451C-95FE-BF547800E34D}"/>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15" name="avatar">
          <a:extLst>
            <a:ext uri="{FF2B5EF4-FFF2-40B4-BE49-F238E27FC236}">
              <a16:creationId xmlns:a16="http://schemas.microsoft.com/office/drawing/2014/main" id="{D956F00D-51C8-49AA-B2F8-B2C2586CC00A}"/>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7116" name="avatar">
          <a:extLst>
            <a:ext uri="{FF2B5EF4-FFF2-40B4-BE49-F238E27FC236}">
              <a16:creationId xmlns:a16="http://schemas.microsoft.com/office/drawing/2014/main" id="{8034902E-E5EE-4573-B0D0-563CB16378E7}"/>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17" name="avatar">
          <a:extLst>
            <a:ext uri="{FF2B5EF4-FFF2-40B4-BE49-F238E27FC236}">
              <a16:creationId xmlns:a16="http://schemas.microsoft.com/office/drawing/2014/main" id="{55E31B6A-3C5C-4D56-80F9-0ECDC33F0B57}"/>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118" name="avatar">
          <a:extLst>
            <a:ext uri="{FF2B5EF4-FFF2-40B4-BE49-F238E27FC236}">
              <a16:creationId xmlns:a16="http://schemas.microsoft.com/office/drawing/2014/main" id="{17050627-57B7-4DA1-9A24-66B618403BB9}"/>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19" name="avatar">
          <a:extLst>
            <a:ext uri="{FF2B5EF4-FFF2-40B4-BE49-F238E27FC236}">
              <a16:creationId xmlns:a16="http://schemas.microsoft.com/office/drawing/2014/main" id="{71AFAB48-C510-4FE0-AB14-58E1E38B04CB}"/>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7120" name="avatar">
          <a:extLst>
            <a:ext uri="{FF2B5EF4-FFF2-40B4-BE49-F238E27FC236}">
              <a16:creationId xmlns:a16="http://schemas.microsoft.com/office/drawing/2014/main" id="{AB176ACD-246A-4E51-9E06-E31440253F7B}"/>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7121" name="avatar">
          <a:extLst>
            <a:ext uri="{FF2B5EF4-FFF2-40B4-BE49-F238E27FC236}">
              <a16:creationId xmlns:a16="http://schemas.microsoft.com/office/drawing/2014/main" id="{444BD750-16BF-4A91-86E1-86D25C0001EF}"/>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122" name="avatar">
          <a:extLst>
            <a:ext uri="{FF2B5EF4-FFF2-40B4-BE49-F238E27FC236}">
              <a16:creationId xmlns:a16="http://schemas.microsoft.com/office/drawing/2014/main" id="{4D8FB293-B161-490F-8889-81E025DB43C9}"/>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23" name="avatar">
          <a:extLst>
            <a:ext uri="{FF2B5EF4-FFF2-40B4-BE49-F238E27FC236}">
              <a16:creationId xmlns:a16="http://schemas.microsoft.com/office/drawing/2014/main" id="{AAD37061-F62C-4FD7-BC4D-EA74BE59BA92}"/>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7124" name="avatar">
          <a:extLst>
            <a:ext uri="{FF2B5EF4-FFF2-40B4-BE49-F238E27FC236}">
              <a16:creationId xmlns:a16="http://schemas.microsoft.com/office/drawing/2014/main" id="{C2BA4E40-9227-49BE-92DC-CA4513239E6B}"/>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25" name="avatar">
          <a:extLst>
            <a:ext uri="{FF2B5EF4-FFF2-40B4-BE49-F238E27FC236}">
              <a16:creationId xmlns:a16="http://schemas.microsoft.com/office/drawing/2014/main" id="{AEEE8C34-7ED8-44C8-8DC7-023580388F41}"/>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126" name="avatar">
          <a:extLst>
            <a:ext uri="{FF2B5EF4-FFF2-40B4-BE49-F238E27FC236}">
              <a16:creationId xmlns:a16="http://schemas.microsoft.com/office/drawing/2014/main" id="{99881C86-1986-4691-9D2F-F5942440BDEF}"/>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27" name="avatar">
          <a:extLst>
            <a:ext uri="{FF2B5EF4-FFF2-40B4-BE49-F238E27FC236}">
              <a16:creationId xmlns:a16="http://schemas.microsoft.com/office/drawing/2014/main" id="{398921CB-58D8-47F8-ACEA-649B67D006A8}"/>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7128" name="avatar">
          <a:extLst>
            <a:ext uri="{FF2B5EF4-FFF2-40B4-BE49-F238E27FC236}">
              <a16:creationId xmlns:a16="http://schemas.microsoft.com/office/drawing/2014/main" id="{A3E00DCA-D03D-491B-8F90-1C0266BF98E1}"/>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7129" name="avatar">
          <a:extLst>
            <a:ext uri="{FF2B5EF4-FFF2-40B4-BE49-F238E27FC236}">
              <a16:creationId xmlns:a16="http://schemas.microsoft.com/office/drawing/2014/main" id="{61D6F8C0-57A5-469F-815B-8907178AA993}"/>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130" name="avatar">
          <a:extLst>
            <a:ext uri="{FF2B5EF4-FFF2-40B4-BE49-F238E27FC236}">
              <a16:creationId xmlns:a16="http://schemas.microsoft.com/office/drawing/2014/main" id="{F47A61BE-0A4E-4828-B32D-0EFA38F67368}"/>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31" name="avatar">
          <a:extLst>
            <a:ext uri="{FF2B5EF4-FFF2-40B4-BE49-F238E27FC236}">
              <a16:creationId xmlns:a16="http://schemas.microsoft.com/office/drawing/2014/main" id="{D71E1C64-6129-46A9-8720-0D42E52A4081}"/>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7132" name="avatar">
          <a:extLst>
            <a:ext uri="{FF2B5EF4-FFF2-40B4-BE49-F238E27FC236}">
              <a16:creationId xmlns:a16="http://schemas.microsoft.com/office/drawing/2014/main" id="{08ADB986-E1EB-48BB-BBC4-58CF20B777C6}"/>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33" name="avatar">
          <a:extLst>
            <a:ext uri="{FF2B5EF4-FFF2-40B4-BE49-F238E27FC236}">
              <a16:creationId xmlns:a16="http://schemas.microsoft.com/office/drawing/2014/main" id="{25208EF5-905E-4CA6-9F8E-39285B6F36AE}"/>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134" name="avatar">
          <a:extLst>
            <a:ext uri="{FF2B5EF4-FFF2-40B4-BE49-F238E27FC236}">
              <a16:creationId xmlns:a16="http://schemas.microsoft.com/office/drawing/2014/main" id="{A80216D6-7DB5-4A53-BC56-23654A0F01F3}"/>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35" name="avatar">
          <a:extLst>
            <a:ext uri="{FF2B5EF4-FFF2-40B4-BE49-F238E27FC236}">
              <a16:creationId xmlns:a16="http://schemas.microsoft.com/office/drawing/2014/main" id="{2BD26AEA-65A4-4C4F-875A-0C6AE21DE682}"/>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7136" name="avatar">
          <a:extLst>
            <a:ext uri="{FF2B5EF4-FFF2-40B4-BE49-F238E27FC236}">
              <a16:creationId xmlns:a16="http://schemas.microsoft.com/office/drawing/2014/main" id="{C69DA637-BF25-43B5-A48C-B5144B09421F}"/>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7137" name="avatar">
          <a:extLst>
            <a:ext uri="{FF2B5EF4-FFF2-40B4-BE49-F238E27FC236}">
              <a16:creationId xmlns:a16="http://schemas.microsoft.com/office/drawing/2014/main" id="{8686871A-73E3-480F-A0F6-068BFF616BCD}"/>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138" name="avatar">
          <a:extLst>
            <a:ext uri="{FF2B5EF4-FFF2-40B4-BE49-F238E27FC236}">
              <a16:creationId xmlns:a16="http://schemas.microsoft.com/office/drawing/2014/main" id="{FBACC782-57B9-42F0-9C04-7B9339F93F48}"/>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39" name="avatar">
          <a:extLst>
            <a:ext uri="{FF2B5EF4-FFF2-40B4-BE49-F238E27FC236}">
              <a16:creationId xmlns:a16="http://schemas.microsoft.com/office/drawing/2014/main" id="{64C56A40-DD37-462F-B378-4824BCB5A051}"/>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7140" name="avatar">
          <a:extLst>
            <a:ext uri="{FF2B5EF4-FFF2-40B4-BE49-F238E27FC236}">
              <a16:creationId xmlns:a16="http://schemas.microsoft.com/office/drawing/2014/main" id="{B2C1F65D-72D7-47FF-A6CF-FFDE316CCAF3}"/>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41" name="avatar">
          <a:extLst>
            <a:ext uri="{FF2B5EF4-FFF2-40B4-BE49-F238E27FC236}">
              <a16:creationId xmlns:a16="http://schemas.microsoft.com/office/drawing/2014/main" id="{5607FD0F-67E3-4B66-8CCC-41950C3977C7}"/>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142" name="avatar">
          <a:extLst>
            <a:ext uri="{FF2B5EF4-FFF2-40B4-BE49-F238E27FC236}">
              <a16:creationId xmlns:a16="http://schemas.microsoft.com/office/drawing/2014/main" id="{1041422C-FDDE-4C2F-9A1F-A4944EF38851}"/>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43" name="avatar">
          <a:extLst>
            <a:ext uri="{FF2B5EF4-FFF2-40B4-BE49-F238E27FC236}">
              <a16:creationId xmlns:a16="http://schemas.microsoft.com/office/drawing/2014/main" id="{CD3D9D88-6260-42C0-95AF-1C2ADE79B05F}"/>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7144" name="avatar">
          <a:extLst>
            <a:ext uri="{FF2B5EF4-FFF2-40B4-BE49-F238E27FC236}">
              <a16:creationId xmlns:a16="http://schemas.microsoft.com/office/drawing/2014/main" id="{2A10FAC3-3727-4067-8F34-BCAC234D1CB6}"/>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7145" name="avatar">
          <a:extLst>
            <a:ext uri="{FF2B5EF4-FFF2-40B4-BE49-F238E27FC236}">
              <a16:creationId xmlns:a16="http://schemas.microsoft.com/office/drawing/2014/main" id="{D4457D67-CB01-4B16-AC10-F3028F230B51}"/>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146" name="avatar">
          <a:extLst>
            <a:ext uri="{FF2B5EF4-FFF2-40B4-BE49-F238E27FC236}">
              <a16:creationId xmlns:a16="http://schemas.microsoft.com/office/drawing/2014/main" id="{868E5B9B-AFF2-42B7-8678-3832948318CC}"/>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47" name="avatar">
          <a:extLst>
            <a:ext uri="{FF2B5EF4-FFF2-40B4-BE49-F238E27FC236}">
              <a16:creationId xmlns:a16="http://schemas.microsoft.com/office/drawing/2014/main" id="{4CD5D89D-F3BD-48FC-B916-D051ABAC20AC}"/>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7148" name="avatar">
          <a:extLst>
            <a:ext uri="{FF2B5EF4-FFF2-40B4-BE49-F238E27FC236}">
              <a16:creationId xmlns:a16="http://schemas.microsoft.com/office/drawing/2014/main" id="{E09BE6FB-1132-4C9A-9AA6-B9A389DB8178}"/>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49" name="avatar">
          <a:extLst>
            <a:ext uri="{FF2B5EF4-FFF2-40B4-BE49-F238E27FC236}">
              <a16:creationId xmlns:a16="http://schemas.microsoft.com/office/drawing/2014/main" id="{7F97D32F-BD8E-4677-A735-9AE1C309CEB3}"/>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150" name="avatar">
          <a:extLst>
            <a:ext uri="{FF2B5EF4-FFF2-40B4-BE49-F238E27FC236}">
              <a16:creationId xmlns:a16="http://schemas.microsoft.com/office/drawing/2014/main" id="{94B74AC0-88A4-498E-BFF3-403680ED6F15}"/>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51" name="avatar">
          <a:extLst>
            <a:ext uri="{FF2B5EF4-FFF2-40B4-BE49-F238E27FC236}">
              <a16:creationId xmlns:a16="http://schemas.microsoft.com/office/drawing/2014/main" id="{1716E85A-3588-4842-8522-8B033698FF10}"/>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7152" name="avatar">
          <a:extLst>
            <a:ext uri="{FF2B5EF4-FFF2-40B4-BE49-F238E27FC236}">
              <a16:creationId xmlns:a16="http://schemas.microsoft.com/office/drawing/2014/main" id="{D5C69D28-C62C-4BEA-9250-494C5EDD685F}"/>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7153" name="avatar">
          <a:extLst>
            <a:ext uri="{FF2B5EF4-FFF2-40B4-BE49-F238E27FC236}">
              <a16:creationId xmlns:a16="http://schemas.microsoft.com/office/drawing/2014/main" id="{8AF3FEEA-D2EC-4BCB-A07C-4F41E5591347}"/>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154" name="avatar">
          <a:extLst>
            <a:ext uri="{FF2B5EF4-FFF2-40B4-BE49-F238E27FC236}">
              <a16:creationId xmlns:a16="http://schemas.microsoft.com/office/drawing/2014/main" id="{EFD72FA6-CEE6-4567-A1E5-746636F679E3}"/>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55" name="avatar">
          <a:extLst>
            <a:ext uri="{FF2B5EF4-FFF2-40B4-BE49-F238E27FC236}">
              <a16:creationId xmlns:a16="http://schemas.microsoft.com/office/drawing/2014/main" id="{89430718-08FE-4958-9100-3D823F186FED}"/>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7156" name="avatar">
          <a:extLst>
            <a:ext uri="{FF2B5EF4-FFF2-40B4-BE49-F238E27FC236}">
              <a16:creationId xmlns:a16="http://schemas.microsoft.com/office/drawing/2014/main" id="{63814A24-E4CF-4FD8-A603-55F1C21C6C29}"/>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57" name="avatar">
          <a:extLst>
            <a:ext uri="{FF2B5EF4-FFF2-40B4-BE49-F238E27FC236}">
              <a16:creationId xmlns:a16="http://schemas.microsoft.com/office/drawing/2014/main" id="{8C10A0B8-C528-43EC-B78D-663FB54F06F1}"/>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158" name="avatar">
          <a:extLst>
            <a:ext uri="{FF2B5EF4-FFF2-40B4-BE49-F238E27FC236}">
              <a16:creationId xmlns:a16="http://schemas.microsoft.com/office/drawing/2014/main" id="{68A31EE1-DD95-4904-A88C-1A5A33544E24}"/>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59" name="avatar">
          <a:extLst>
            <a:ext uri="{FF2B5EF4-FFF2-40B4-BE49-F238E27FC236}">
              <a16:creationId xmlns:a16="http://schemas.microsoft.com/office/drawing/2014/main" id="{84736EBD-578B-45AF-9C42-CE3627F489BD}"/>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7160" name="avatar">
          <a:extLst>
            <a:ext uri="{FF2B5EF4-FFF2-40B4-BE49-F238E27FC236}">
              <a16:creationId xmlns:a16="http://schemas.microsoft.com/office/drawing/2014/main" id="{8A03B3BB-E5EE-40CB-971C-0B96ECB0D451}"/>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7161" name="avatar">
          <a:extLst>
            <a:ext uri="{FF2B5EF4-FFF2-40B4-BE49-F238E27FC236}">
              <a16:creationId xmlns:a16="http://schemas.microsoft.com/office/drawing/2014/main" id="{8CBB5F5A-E93A-40DA-96E9-BDBDEE2DFFC1}"/>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162" name="avatar">
          <a:extLst>
            <a:ext uri="{FF2B5EF4-FFF2-40B4-BE49-F238E27FC236}">
              <a16:creationId xmlns:a16="http://schemas.microsoft.com/office/drawing/2014/main" id="{B8653F8F-8EF0-4190-9A49-0216FACFA11D}"/>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63" name="avatar">
          <a:extLst>
            <a:ext uri="{FF2B5EF4-FFF2-40B4-BE49-F238E27FC236}">
              <a16:creationId xmlns:a16="http://schemas.microsoft.com/office/drawing/2014/main" id="{335A2925-7362-469F-B61A-001BFA70A84B}"/>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7164" name="avatar">
          <a:extLst>
            <a:ext uri="{FF2B5EF4-FFF2-40B4-BE49-F238E27FC236}">
              <a16:creationId xmlns:a16="http://schemas.microsoft.com/office/drawing/2014/main" id="{7D718753-67E1-4E4F-8F3B-D4E43E5F6D4B}"/>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65" name="avatar">
          <a:extLst>
            <a:ext uri="{FF2B5EF4-FFF2-40B4-BE49-F238E27FC236}">
              <a16:creationId xmlns:a16="http://schemas.microsoft.com/office/drawing/2014/main" id="{DF6A1FC2-9848-46B6-96E5-C8362BA86168}"/>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166" name="avatar">
          <a:extLst>
            <a:ext uri="{FF2B5EF4-FFF2-40B4-BE49-F238E27FC236}">
              <a16:creationId xmlns:a16="http://schemas.microsoft.com/office/drawing/2014/main" id="{C2FDCBD7-E7FA-40B8-986E-48983533F643}"/>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67" name="avatar">
          <a:extLst>
            <a:ext uri="{FF2B5EF4-FFF2-40B4-BE49-F238E27FC236}">
              <a16:creationId xmlns:a16="http://schemas.microsoft.com/office/drawing/2014/main" id="{619C633B-D24C-44B7-983F-397CD78B423B}"/>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7168" name="avatar">
          <a:extLst>
            <a:ext uri="{FF2B5EF4-FFF2-40B4-BE49-F238E27FC236}">
              <a16:creationId xmlns:a16="http://schemas.microsoft.com/office/drawing/2014/main" id="{629F62A4-D504-461E-B15E-45E597109F3E}"/>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7169" name="avatar">
          <a:extLst>
            <a:ext uri="{FF2B5EF4-FFF2-40B4-BE49-F238E27FC236}">
              <a16:creationId xmlns:a16="http://schemas.microsoft.com/office/drawing/2014/main" id="{D785C87E-4EA8-4DA0-862B-20F2E840D2C0}"/>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170" name="avatar">
          <a:extLst>
            <a:ext uri="{FF2B5EF4-FFF2-40B4-BE49-F238E27FC236}">
              <a16:creationId xmlns:a16="http://schemas.microsoft.com/office/drawing/2014/main" id="{8CBC58D0-375E-4C3D-95BA-A5874B301338}"/>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71" name="avatar">
          <a:extLst>
            <a:ext uri="{FF2B5EF4-FFF2-40B4-BE49-F238E27FC236}">
              <a16:creationId xmlns:a16="http://schemas.microsoft.com/office/drawing/2014/main" id="{19D5A94A-84A0-4465-BE25-51A9BF826C6A}"/>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7172" name="avatar">
          <a:extLst>
            <a:ext uri="{FF2B5EF4-FFF2-40B4-BE49-F238E27FC236}">
              <a16:creationId xmlns:a16="http://schemas.microsoft.com/office/drawing/2014/main" id="{BEE9EE2A-4A26-4253-A28C-3B749A16D4FD}"/>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73" name="avatar">
          <a:extLst>
            <a:ext uri="{FF2B5EF4-FFF2-40B4-BE49-F238E27FC236}">
              <a16:creationId xmlns:a16="http://schemas.microsoft.com/office/drawing/2014/main" id="{1777686E-8485-47B9-9EEF-E3DD0068D043}"/>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174" name="avatar">
          <a:extLst>
            <a:ext uri="{FF2B5EF4-FFF2-40B4-BE49-F238E27FC236}">
              <a16:creationId xmlns:a16="http://schemas.microsoft.com/office/drawing/2014/main" id="{48DF03BD-102D-489E-9CB9-E321DAE2DB4E}"/>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75" name="avatar">
          <a:extLst>
            <a:ext uri="{FF2B5EF4-FFF2-40B4-BE49-F238E27FC236}">
              <a16:creationId xmlns:a16="http://schemas.microsoft.com/office/drawing/2014/main" id="{8F5D550B-8AE7-4851-AFDF-DF686DD46630}"/>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7176" name="avatar">
          <a:extLst>
            <a:ext uri="{FF2B5EF4-FFF2-40B4-BE49-F238E27FC236}">
              <a16:creationId xmlns:a16="http://schemas.microsoft.com/office/drawing/2014/main" id="{135908FC-1FC6-4214-8A4B-9F41A3DCE087}"/>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7177" name="avatar">
          <a:extLst>
            <a:ext uri="{FF2B5EF4-FFF2-40B4-BE49-F238E27FC236}">
              <a16:creationId xmlns:a16="http://schemas.microsoft.com/office/drawing/2014/main" id="{BAE2B54D-31EE-4576-8311-06AFF9B67769}"/>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178" name="avatar">
          <a:extLst>
            <a:ext uri="{FF2B5EF4-FFF2-40B4-BE49-F238E27FC236}">
              <a16:creationId xmlns:a16="http://schemas.microsoft.com/office/drawing/2014/main" id="{410557E1-3F86-4AFC-B0B4-38FF8A2EC586}"/>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79" name="avatar">
          <a:extLst>
            <a:ext uri="{FF2B5EF4-FFF2-40B4-BE49-F238E27FC236}">
              <a16:creationId xmlns:a16="http://schemas.microsoft.com/office/drawing/2014/main" id="{D40D8ACB-B2B4-4FFD-917A-848CF1ED749D}"/>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7180" name="avatar">
          <a:extLst>
            <a:ext uri="{FF2B5EF4-FFF2-40B4-BE49-F238E27FC236}">
              <a16:creationId xmlns:a16="http://schemas.microsoft.com/office/drawing/2014/main" id="{EC843588-1208-45DE-8611-2ED47DEDEF98}"/>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81" name="avatar">
          <a:extLst>
            <a:ext uri="{FF2B5EF4-FFF2-40B4-BE49-F238E27FC236}">
              <a16:creationId xmlns:a16="http://schemas.microsoft.com/office/drawing/2014/main" id="{6DD923E5-4F91-43BE-A612-A361D523020E}"/>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182" name="avatar">
          <a:extLst>
            <a:ext uri="{FF2B5EF4-FFF2-40B4-BE49-F238E27FC236}">
              <a16:creationId xmlns:a16="http://schemas.microsoft.com/office/drawing/2014/main" id="{873B8D35-610C-42CC-8898-C07F32B68337}"/>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83" name="avatar">
          <a:extLst>
            <a:ext uri="{FF2B5EF4-FFF2-40B4-BE49-F238E27FC236}">
              <a16:creationId xmlns:a16="http://schemas.microsoft.com/office/drawing/2014/main" id="{CAD62337-09AA-4BE8-ABFF-54F7EB8375E6}"/>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7184" name="avatar">
          <a:extLst>
            <a:ext uri="{FF2B5EF4-FFF2-40B4-BE49-F238E27FC236}">
              <a16:creationId xmlns:a16="http://schemas.microsoft.com/office/drawing/2014/main" id="{A30F2465-E886-4CE4-832E-7FA63F8B56B5}"/>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7185" name="avatar">
          <a:extLst>
            <a:ext uri="{FF2B5EF4-FFF2-40B4-BE49-F238E27FC236}">
              <a16:creationId xmlns:a16="http://schemas.microsoft.com/office/drawing/2014/main" id="{E536EA96-2E7D-4050-80A6-9B9BA6A6439C}"/>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186" name="avatar">
          <a:extLst>
            <a:ext uri="{FF2B5EF4-FFF2-40B4-BE49-F238E27FC236}">
              <a16:creationId xmlns:a16="http://schemas.microsoft.com/office/drawing/2014/main" id="{1B6C5FDF-1BB0-4716-8FF1-70A6B33C0056}"/>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87" name="avatar">
          <a:extLst>
            <a:ext uri="{FF2B5EF4-FFF2-40B4-BE49-F238E27FC236}">
              <a16:creationId xmlns:a16="http://schemas.microsoft.com/office/drawing/2014/main" id="{B932606F-4372-4D0B-83B8-DCDBB18FD106}"/>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7188" name="avatar">
          <a:extLst>
            <a:ext uri="{FF2B5EF4-FFF2-40B4-BE49-F238E27FC236}">
              <a16:creationId xmlns:a16="http://schemas.microsoft.com/office/drawing/2014/main" id="{91F5BBB3-721B-49BD-B224-A6A93F44A6F2}"/>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89" name="avatar">
          <a:extLst>
            <a:ext uri="{FF2B5EF4-FFF2-40B4-BE49-F238E27FC236}">
              <a16:creationId xmlns:a16="http://schemas.microsoft.com/office/drawing/2014/main" id="{11B330D6-00FB-421E-99C9-B1A5073E7567}"/>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190" name="avatar">
          <a:extLst>
            <a:ext uri="{FF2B5EF4-FFF2-40B4-BE49-F238E27FC236}">
              <a16:creationId xmlns:a16="http://schemas.microsoft.com/office/drawing/2014/main" id="{EE222A20-6204-4140-8202-E2B0C6E06E18}"/>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91" name="avatar">
          <a:extLst>
            <a:ext uri="{FF2B5EF4-FFF2-40B4-BE49-F238E27FC236}">
              <a16:creationId xmlns:a16="http://schemas.microsoft.com/office/drawing/2014/main" id="{F805EF77-590D-46CE-8E00-4F2423A609F3}"/>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7192" name="avatar">
          <a:extLst>
            <a:ext uri="{FF2B5EF4-FFF2-40B4-BE49-F238E27FC236}">
              <a16:creationId xmlns:a16="http://schemas.microsoft.com/office/drawing/2014/main" id="{1A04BD55-2E77-435A-8C25-C46735396B22}"/>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7193" name="avatar">
          <a:extLst>
            <a:ext uri="{FF2B5EF4-FFF2-40B4-BE49-F238E27FC236}">
              <a16:creationId xmlns:a16="http://schemas.microsoft.com/office/drawing/2014/main" id="{74D7613C-CBD4-4FBE-9090-CF2DF29BF074}"/>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194" name="avatar">
          <a:extLst>
            <a:ext uri="{FF2B5EF4-FFF2-40B4-BE49-F238E27FC236}">
              <a16:creationId xmlns:a16="http://schemas.microsoft.com/office/drawing/2014/main" id="{09FA3033-50D8-400B-B788-67FB7605648E}"/>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95" name="avatar">
          <a:extLst>
            <a:ext uri="{FF2B5EF4-FFF2-40B4-BE49-F238E27FC236}">
              <a16:creationId xmlns:a16="http://schemas.microsoft.com/office/drawing/2014/main" id="{CB3AC4A6-4F66-4275-BDD3-823F63873133}"/>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7196" name="avatar">
          <a:extLst>
            <a:ext uri="{FF2B5EF4-FFF2-40B4-BE49-F238E27FC236}">
              <a16:creationId xmlns:a16="http://schemas.microsoft.com/office/drawing/2014/main" id="{5B04A74A-1330-466A-8591-88E8855E3D5F}"/>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97" name="avatar">
          <a:extLst>
            <a:ext uri="{FF2B5EF4-FFF2-40B4-BE49-F238E27FC236}">
              <a16:creationId xmlns:a16="http://schemas.microsoft.com/office/drawing/2014/main" id="{C5DA9704-FC87-4CEC-98AE-C66F62CCDFA5}"/>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198" name="avatar">
          <a:extLst>
            <a:ext uri="{FF2B5EF4-FFF2-40B4-BE49-F238E27FC236}">
              <a16:creationId xmlns:a16="http://schemas.microsoft.com/office/drawing/2014/main" id="{5BA125B0-5523-4718-BB97-B488CDD3B2AA}"/>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199" name="avatar">
          <a:extLst>
            <a:ext uri="{FF2B5EF4-FFF2-40B4-BE49-F238E27FC236}">
              <a16:creationId xmlns:a16="http://schemas.microsoft.com/office/drawing/2014/main" id="{7AA7AFB8-D5F3-4E65-BC90-463AB8BE861C}"/>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9084"/>
    <xdr:sp macro="" textlink="">
      <xdr:nvSpPr>
        <xdr:cNvPr id="67200" name="avatar">
          <a:extLst>
            <a:ext uri="{FF2B5EF4-FFF2-40B4-BE49-F238E27FC236}">
              <a16:creationId xmlns:a16="http://schemas.microsoft.com/office/drawing/2014/main" id="{A6B61DB2-310F-4EE2-A106-2BB413977570}"/>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5274"/>
    <xdr:sp macro="" textlink="">
      <xdr:nvSpPr>
        <xdr:cNvPr id="67201" name="avatar">
          <a:extLst>
            <a:ext uri="{FF2B5EF4-FFF2-40B4-BE49-F238E27FC236}">
              <a16:creationId xmlns:a16="http://schemas.microsoft.com/office/drawing/2014/main" id="{D1887A0E-0F1F-4C06-BCCF-E74E66AF7981}"/>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298449"/>
    <xdr:sp macro="" textlink="">
      <xdr:nvSpPr>
        <xdr:cNvPr id="67202" name="avatar">
          <a:extLst>
            <a:ext uri="{FF2B5EF4-FFF2-40B4-BE49-F238E27FC236}">
              <a16:creationId xmlns:a16="http://schemas.microsoft.com/office/drawing/2014/main" id="{C8BEA3A3-0BF6-435A-9263-8766D60FD1BE}"/>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203" name="avatar">
          <a:extLst>
            <a:ext uri="{FF2B5EF4-FFF2-40B4-BE49-F238E27FC236}">
              <a16:creationId xmlns:a16="http://schemas.microsoft.com/office/drawing/2014/main" id="{7F17255E-D823-474F-95E1-1B2982CD2E50}"/>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2259"/>
    <xdr:sp macro="" textlink="">
      <xdr:nvSpPr>
        <xdr:cNvPr id="67204" name="avatar">
          <a:extLst>
            <a:ext uri="{FF2B5EF4-FFF2-40B4-BE49-F238E27FC236}">
              <a16:creationId xmlns:a16="http://schemas.microsoft.com/office/drawing/2014/main" id="{5E470CFB-06BA-47F0-A0B1-F9A0FD56C2AD}"/>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77</xdr:row>
      <xdr:rowOff>0</xdr:rowOff>
    </xdr:from>
    <xdr:ext cx="304800" cy="304701"/>
    <xdr:sp macro="" textlink="">
      <xdr:nvSpPr>
        <xdr:cNvPr id="67205" name="avatar">
          <a:extLst>
            <a:ext uri="{FF2B5EF4-FFF2-40B4-BE49-F238E27FC236}">
              <a16:creationId xmlns:a16="http://schemas.microsoft.com/office/drawing/2014/main" id="{72B7E26B-9CCA-4943-8347-25706AED9A4D}"/>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3.xml><?xml version="1.0" encoding="utf-8"?>
<xdr:wsDr xmlns:xdr="http://schemas.openxmlformats.org/drawingml/2006/spreadsheetDrawing" xmlns:a="http://schemas.openxmlformats.org/drawingml/2006/main">
  <xdr:twoCellAnchor editAs="absolute">
    <xdr:from>
      <xdr:col>0</xdr:col>
      <xdr:colOff>28575</xdr:colOff>
      <xdr:row>0</xdr:row>
      <xdr:rowOff>85725</xdr:rowOff>
    </xdr:from>
    <xdr:to>
      <xdr:col>1</xdr:col>
      <xdr:colOff>429538</xdr:colOff>
      <xdr:row>0</xdr:row>
      <xdr:rowOff>380414</xdr:rowOff>
    </xdr:to>
    <xdr:pic>
      <xdr:nvPicPr>
        <xdr:cNvPr id="3" name="Figura 1">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8575" y="85725"/>
          <a:ext cx="1172488" cy="2946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28575</xdr:colOff>
      <xdr:row>43</xdr:row>
      <xdr:rowOff>28575</xdr:rowOff>
    </xdr:from>
    <xdr:to>
      <xdr:col>11</xdr:col>
      <xdr:colOff>342900</xdr:colOff>
      <xdr:row>50</xdr:row>
      <xdr:rowOff>142875</xdr:rowOff>
    </xdr:to>
    <xdr:graphicFrame macro="">
      <xdr:nvGraphicFramePr>
        <xdr:cNvPr id="4233" name="Gráfico 3">
          <a:extLst>
            <a:ext uri="{FF2B5EF4-FFF2-40B4-BE49-F238E27FC236}">
              <a16:creationId xmlns:a16="http://schemas.microsoft.com/office/drawing/2014/main" id="{00000000-0008-0000-0300-000089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76200</xdr:colOff>
      <xdr:row>0</xdr:row>
      <xdr:rowOff>123825</xdr:rowOff>
    </xdr:from>
    <xdr:to>
      <xdr:col>2</xdr:col>
      <xdr:colOff>505738</xdr:colOff>
      <xdr:row>2</xdr:row>
      <xdr:rowOff>94664</xdr:rowOff>
    </xdr:to>
    <xdr:pic>
      <xdr:nvPicPr>
        <xdr:cNvPr id="4" name="Figura 1">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200" y="123825"/>
          <a:ext cx="1172488" cy="2946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152400</xdr:colOff>
      <xdr:row>0</xdr:row>
      <xdr:rowOff>114300</xdr:rowOff>
    </xdr:from>
    <xdr:to>
      <xdr:col>1</xdr:col>
      <xdr:colOff>1115338</xdr:colOff>
      <xdr:row>2</xdr:row>
      <xdr:rowOff>85139</xdr:rowOff>
    </xdr:to>
    <xdr:pic>
      <xdr:nvPicPr>
        <xdr:cNvPr id="3" name="Figura 1">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52400" y="114300"/>
          <a:ext cx="1172488" cy="2946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1"/>
  <dimension ref="A1:V45"/>
  <sheetViews>
    <sheetView showGridLines="0" zoomScaleNormal="100" zoomScaleSheetLayoutView="100" workbookViewId="0">
      <pane ySplit="3" topLeftCell="A20" activePane="bottomLeft" state="frozen"/>
      <selection activeCell="B11" sqref="B11"/>
      <selection pane="bottomLeft" activeCell="F10" sqref="F10:N10"/>
    </sheetView>
  </sheetViews>
  <sheetFormatPr defaultRowHeight="13.5" x14ac:dyDescent="0.25"/>
  <cols>
    <col min="1" max="1" width="10.42578125" style="1" customWidth="1"/>
    <col min="2" max="2" width="2.5703125" style="1" customWidth="1"/>
    <col min="3" max="3" width="8.5703125" style="1" customWidth="1"/>
    <col min="4" max="4" width="4.5703125" style="1" customWidth="1"/>
    <col min="5" max="5" width="4" style="1" customWidth="1"/>
    <col min="6" max="6" width="4.5703125" style="1" customWidth="1"/>
    <col min="7" max="12" width="6" style="1" customWidth="1"/>
    <col min="13" max="13" width="18.42578125" style="1" customWidth="1"/>
    <col min="14" max="14" width="8.42578125" style="1" customWidth="1"/>
    <col min="15" max="15" width="11.5703125" style="1" customWidth="1"/>
    <col min="16" max="16" width="5.7109375" style="1" customWidth="1"/>
    <col min="17" max="18" width="2.5703125" style="1" customWidth="1"/>
    <col min="19" max="19" width="8" style="1" customWidth="1"/>
    <col min="20" max="22" width="2.5703125" style="1" customWidth="1"/>
  </cols>
  <sheetData>
    <row r="1" spans="1:22" ht="12.75" x14ac:dyDescent="0.2">
      <c r="A1" s="122" t="s">
        <v>0</v>
      </c>
      <c r="B1" s="122"/>
      <c r="C1" s="122"/>
      <c r="D1" s="122"/>
      <c r="E1" s="122"/>
      <c r="F1" s="122"/>
      <c r="G1" s="122"/>
      <c r="H1" s="122"/>
      <c r="I1" s="122"/>
      <c r="J1" s="122"/>
      <c r="K1" s="122"/>
      <c r="L1" s="122"/>
      <c r="M1" s="122"/>
      <c r="N1" s="122"/>
      <c r="O1" s="122"/>
      <c r="P1" s="122"/>
      <c r="Q1" s="122"/>
      <c r="R1" s="122"/>
      <c r="S1" s="122"/>
      <c r="T1" s="122"/>
      <c r="U1" s="122"/>
      <c r="V1" s="122"/>
    </row>
    <row r="2" spans="1:22" ht="12.75" x14ac:dyDescent="0.2">
      <c r="A2" s="122"/>
      <c r="B2" s="122"/>
      <c r="C2" s="122"/>
      <c r="D2" s="122"/>
      <c r="E2" s="122"/>
      <c r="F2" s="122"/>
      <c r="G2" s="122"/>
      <c r="H2" s="122"/>
      <c r="I2" s="122"/>
      <c r="J2" s="122"/>
      <c r="K2" s="122"/>
      <c r="L2" s="122"/>
      <c r="M2" s="122"/>
      <c r="N2" s="122"/>
      <c r="O2" s="122"/>
      <c r="P2" s="122"/>
      <c r="Q2" s="122"/>
      <c r="R2" s="122"/>
      <c r="S2" s="122"/>
      <c r="T2" s="122"/>
      <c r="U2" s="122"/>
      <c r="V2" s="122"/>
    </row>
    <row r="3" spans="1:22" ht="12.75" x14ac:dyDescent="0.2">
      <c r="A3" s="122"/>
      <c r="B3" s="122"/>
      <c r="C3" s="122"/>
      <c r="D3" s="122"/>
      <c r="E3" s="122"/>
      <c r="F3" s="122"/>
      <c r="G3" s="122"/>
      <c r="H3" s="122"/>
      <c r="I3" s="122"/>
      <c r="J3" s="122"/>
      <c r="K3" s="122"/>
      <c r="L3" s="122"/>
      <c r="M3" s="122"/>
      <c r="N3" s="122"/>
      <c r="O3" s="122"/>
      <c r="P3" s="122"/>
      <c r="Q3" s="122"/>
      <c r="R3" s="122"/>
      <c r="S3" s="122"/>
      <c r="T3" s="122"/>
      <c r="U3" s="122"/>
      <c r="V3" s="122"/>
    </row>
    <row r="4" spans="1:22" x14ac:dyDescent="0.25">
      <c r="A4" s="118" t="s">
        <v>1</v>
      </c>
      <c r="B4" s="118"/>
      <c r="C4" s="118"/>
      <c r="D4" s="118"/>
      <c r="E4" s="118"/>
      <c r="F4" s="119" t="s">
        <v>2</v>
      </c>
      <c r="G4" s="119"/>
      <c r="H4" s="119"/>
      <c r="I4" s="119"/>
      <c r="J4" s="119"/>
      <c r="K4" s="119"/>
      <c r="L4" s="119"/>
      <c r="M4" s="119"/>
      <c r="N4" s="119"/>
      <c r="O4" s="123" t="s">
        <v>3</v>
      </c>
      <c r="P4" s="123"/>
      <c r="Q4" s="121">
        <f>Funções!L4</f>
        <v>541</v>
      </c>
      <c r="R4" s="121"/>
      <c r="S4" s="121"/>
      <c r="T4" s="121"/>
      <c r="U4" s="121"/>
      <c r="V4" s="121"/>
    </row>
    <row r="5" spans="1:22" x14ac:dyDescent="0.25">
      <c r="A5" s="118" t="s">
        <v>4</v>
      </c>
      <c r="B5" s="118"/>
      <c r="C5" s="118"/>
      <c r="D5" s="118"/>
      <c r="E5" s="118"/>
      <c r="F5" s="119"/>
      <c r="G5" s="119"/>
      <c r="H5" s="119"/>
      <c r="I5" s="119"/>
      <c r="J5" s="119"/>
      <c r="K5" s="119"/>
      <c r="L5" s="119"/>
      <c r="M5" s="119"/>
      <c r="N5" s="119"/>
      <c r="O5" s="120" t="s">
        <v>5</v>
      </c>
      <c r="P5" s="120"/>
      <c r="Q5" s="121">
        <f>Funções!L5</f>
        <v>541</v>
      </c>
      <c r="R5" s="121"/>
      <c r="S5" s="121"/>
      <c r="T5" s="121"/>
      <c r="U5" s="121"/>
      <c r="V5" s="121"/>
    </row>
    <row r="6" spans="1:22" x14ac:dyDescent="0.25">
      <c r="A6" s="118" t="s">
        <v>6</v>
      </c>
      <c r="B6" s="118"/>
      <c r="C6" s="118"/>
      <c r="D6" s="118"/>
      <c r="E6" s="118"/>
      <c r="F6" s="124" t="s">
        <v>7</v>
      </c>
      <c r="G6" s="124"/>
      <c r="H6" s="124"/>
      <c r="I6" s="124"/>
      <c r="J6" s="124"/>
      <c r="K6" s="124"/>
      <c r="L6" s="124"/>
      <c r="M6" s="124"/>
      <c r="N6" s="124"/>
      <c r="O6" s="120" t="s">
        <v>8</v>
      </c>
      <c r="P6" s="120"/>
      <c r="Q6" s="121">
        <f>Funções!L6</f>
        <v>541</v>
      </c>
      <c r="R6" s="121"/>
      <c r="S6" s="121"/>
      <c r="T6" s="121"/>
      <c r="U6" s="121"/>
      <c r="V6" s="121"/>
    </row>
    <row r="7" spans="1:22" ht="12.75" x14ac:dyDescent="0.2">
      <c r="A7" s="118" t="s">
        <v>9</v>
      </c>
      <c r="B7" s="118"/>
      <c r="C7" s="118"/>
      <c r="D7" s="118"/>
      <c r="E7" s="118"/>
      <c r="F7" s="119" t="s">
        <v>10</v>
      </c>
      <c r="G7" s="119"/>
      <c r="H7" s="119"/>
      <c r="I7" s="119"/>
      <c r="J7" s="119"/>
      <c r="K7" s="119"/>
      <c r="L7" s="119"/>
      <c r="M7" s="119"/>
      <c r="N7" s="119"/>
      <c r="O7" s="120" t="s">
        <v>11</v>
      </c>
      <c r="P7" s="120"/>
      <c r="Q7" s="120"/>
      <c r="R7" s="125" t="s">
        <v>12</v>
      </c>
      <c r="S7" s="125"/>
      <c r="T7" s="125"/>
      <c r="U7" s="125"/>
      <c r="V7" s="125"/>
    </row>
    <row r="8" spans="1:22" ht="12.75" x14ac:dyDescent="0.2">
      <c r="A8" s="118" t="s">
        <v>13</v>
      </c>
      <c r="B8" s="118"/>
      <c r="C8" s="118"/>
      <c r="D8" s="118"/>
      <c r="E8" s="118"/>
      <c r="F8" s="119" t="s">
        <v>14</v>
      </c>
      <c r="G8" s="119"/>
      <c r="H8" s="119"/>
      <c r="I8" s="119"/>
      <c r="J8" s="119"/>
      <c r="K8" s="119"/>
      <c r="L8" s="119"/>
      <c r="M8" s="119"/>
      <c r="N8" s="119"/>
      <c r="O8" s="120" t="s">
        <v>15</v>
      </c>
      <c r="P8" s="120"/>
      <c r="Q8" s="120"/>
      <c r="R8" s="125" t="s">
        <v>16</v>
      </c>
      <c r="S8" s="125"/>
      <c r="T8" s="125"/>
      <c r="U8" s="125"/>
      <c r="V8" s="125"/>
    </row>
    <row r="9" spans="1:22" x14ac:dyDescent="0.25">
      <c r="A9" s="118" t="s">
        <v>17</v>
      </c>
      <c r="B9" s="118"/>
      <c r="C9" s="118"/>
      <c r="D9" s="118"/>
      <c r="E9" s="118"/>
      <c r="F9" s="124" t="s">
        <v>18</v>
      </c>
      <c r="G9" s="124"/>
      <c r="H9" s="124"/>
      <c r="I9" s="124"/>
      <c r="J9" s="124"/>
      <c r="K9" s="124"/>
      <c r="L9" s="124"/>
      <c r="M9" s="124"/>
      <c r="N9" s="124"/>
      <c r="O9" s="126" t="s">
        <v>19</v>
      </c>
      <c r="P9" s="126"/>
      <c r="Q9" s="126"/>
      <c r="R9" s="127">
        <v>45056</v>
      </c>
      <c r="S9" s="127"/>
      <c r="T9" s="127"/>
      <c r="U9" s="127"/>
      <c r="V9" s="127"/>
    </row>
    <row r="10" spans="1:22" x14ac:dyDescent="0.25">
      <c r="A10" s="118" t="s">
        <v>20</v>
      </c>
      <c r="B10" s="118"/>
      <c r="C10" s="118"/>
      <c r="D10" s="118"/>
      <c r="E10" s="118"/>
      <c r="F10" s="124" t="s">
        <v>21</v>
      </c>
      <c r="G10" s="124"/>
      <c r="H10" s="124"/>
      <c r="I10" s="124"/>
      <c r="J10" s="124"/>
      <c r="K10" s="124"/>
      <c r="L10" s="124"/>
      <c r="M10" s="124"/>
      <c r="N10" s="124"/>
      <c r="O10" s="126" t="s">
        <v>22</v>
      </c>
      <c r="P10" s="126"/>
      <c r="Q10" s="126"/>
      <c r="R10" s="127"/>
      <c r="S10" s="127"/>
      <c r="T10" s="127"/>
      <c r="U10" s="127"/>
      <c r="V10" s="127"/>
    </row>
    <row r="11" spans="1:22" x14ac:dyDescent="0.2">
      <c r="A11" s="128" t="s">
        <v>23</v>
      </c>
      <c r="B11" s="128"/>
      <c r="C11" s="128"/>
      <c r="D11" s="128"/>
      <c r="E11" s="128"/>
      <c r="F11" s="128"/>
      <c r="G11" s="128"/>
      <c r="H11" s="128"/>
      <c r="I11" s="128"/>
      <c r="J11" s="128"/>
      <c r="K11" s="128"/>
      <c r="L11" s="128"/>
      <c r="M11" s="128"/>
      <c r="N11" s="128"/>
      <c r="O11" s="128"/>
      <c r="P11" s="128"/>
      <c r="Q11" s="128"/>
      <c r="R11" s="128"/>
      <c r="S11" s="128"/>
      <c r="T11" s="128"/>
      <c r="U11" s="128"/>
      <c r="V11" s="128"/>
    </row>
    <row r="12" spans="1:22" ht="12.75" x14ac:dyDescent="0.2">
      <c r="A12" s="130" t="s">
        <v>24</v>
      </c>
      <c r="B12" s="130"/>
      <c r="C12" s="130"/>
      <c r="D12" s="130"/>
      <c r="E12" s="130"/>
      <c r="F12" s="130"/>
      <c r="G12" s="130"/>
      <c r="H12" s="130"/>
      <c r="I12" s="130"/>
      <c r="J12" s="130"/>
      <c r="K12" s="130"/>
      <c r="L12" s="130"/>
      <c r="M12" s="130"/>
      <c r="N12" s="130"/>
      <c r="O12" s="130"/>
      <c r="P12" s="130"/>
      <c r="Q12" s="130"/>
      <c r="R12" s="130"/>
      <c r="S12" s="130"/>
      <c r="T12" s="130"/>
      <c r="U12" s="130"/>
      <c r="V12" s="130"/>
    </row>
    <row r="13" spans="1:22" ht="12.75" x14ac:dyDescent="0.2">
      <c r="A13" s="130"/>
      <c r="B13" s="130"/>
      <c r="C13" s="130"/>
      <c r="D13" s="130"/>
      <c r="E13" s="130"/>
      <c r="F13" s="130"/>
      <c r="G13" s="130"/>
      <c r="H13" s="130"/>
      <c r="I13" s="130"/>
      <c r="J13" s="130"/>
      <c r="K13" s="130"/>
      <c r="L13" s="130"/>
      <c r="M13" s="130"/>
      <c r="N13" s="130"/>
      <c r="O13" s="130"/>
      <c r="P13" s="130"/>
      <c r="Q13" s="130"/>
      <c r="R13" s="130"/>
      <c r="S13" s="130"/>
      <c r="T13" s="130"/>
      <c r="U13" s="130"/>
      <c r="V13" s="130"/>
    </row>
    <row r="14" spans="1:22" ht="12.75" x14ac:dyDescent="0.2">
      <c r="A14" s="130"/>
      <c r="B14" s="130"/>
      <c r="C14" s="130"/>
      <c r="D14" s="130"/>
      <c r="E14" s="130"/>
      <c r="F14" s="130"/>
      <c r="G14" s="130"/>
      <c r="H14" s="130"/>
      <c r="I14" s="130"/>
      <c r="J14" s="130"/>
      <c r="K14" s="130"/>
      <c r="L14" s="130"/>
      <c r="M14" s="130"/>
      <c r="N14" s="130"/>
      <c r="O14" s="130"/>
      <c r="P14" s="130"/>
      <c r="Q14" s="130"/>
      <c r="R14" s="130"/>
      <c r="S14" s="130"/>
      <c r="T14" s="130"/>
      <c r="U14" s="130"/>
      <c r="V14" s="130"/>
    </row>
    <row r="15" spans="1:22" ht="90.75" customHeight="1" x14ac:dyDescent="0.2">
      <c r="A15" s="130"/>
      <c r="B15" s="130"/>
      <c r="C15" s="130"/>
      <c r="D15" s="130"/>
      <c r="E15" s="130"/>
      <c r="F15" s="130"/>
      <c r="G15" s="130"/>
      <c r="H15" s="130"/>
      <c r="I15" s="130"/>
      <c r="J15" s="130"/>
      <c r="K15" s="130"/>
      <c r="L15" s="130"/>
      <c r="M15" s="130"/>
      <c r="N15" s="130"/>
      <c r="O15" s="130"/>
      <c r="P15" s="130"/>
      <c r="Q15" s="130"/>
      <c r="R15" s="130"/>
      <c r="S15" s="130"/>
      <c r="T15" s="130"/>
      <c r="U15" s="130"/>
      <c r="V15" s="130"/>
    </row>
    <row r="16" spans="1:22" x14ac:dyDescent="0.2">
      <c r="A16" s="128" t="s">
        <v>25</v>
      </c>
      <c r="B16" s="128"/>
      <c r="C16" s="128"/>
      <c r="D16" s="128"/>
      <c r="E16" s="128"/>
      <c r="F16" s="128"/>
      <c r="G16" s="128"/>
      <c r="H16" s="128"/>
      <c r="I16" s="128"/>
      <c r="J16" s="128"/>
      <c r="K16" s="128"/>
      <c r="L16" s="128"/>
      <c r="M16" s="128"/>
      <c r="N16" s="128"/>
      <c r="O16" s="128"/>
      <c r="P16" s="128"/>
      <c r="Q16" s="128"/>
      <c r="R16" s="128"/>
      <c r="S16" s="128"/>
      <c r="T16" s="128"/>
      <c r="U16" s="128"/>
      <c r="V16" s="128"/>
    </row>
    <row r="17" spans="1:22" ht="12.75" x14ac:dyDescent="0.2">
      <c r="A17" s="129" t="s">
        <v>26</v>
      </c>
      <c r="B17" s="130"/>
      <c r="C17" s="130"/>
      <c r="D17" s="130"/>
      <c r="E17" s="130"/>
      <c r="F17" s="130"/>
      <c r="G17" s="130"/>
      <c r="H17" s="130"/>
      <c r="I17" s="130"/>
      <c r="J17" s="130"/>
      <c r="K17" s="130"/>
      <c r="L17" s="130"/>
      <c r="M17" s="130"/>
      <c r="N17" s="130"/>
      <c r="O17" s="130"/>
      <c r="P17" s="130"/>
      <c r="Q17" s="130"/>
      <c r="R17" s="130"/>
      <c r="S17" s="130"/>
      <c r="T17" s="130"/>
      <c r="U17" s="130"/>
      <c r="V17" s="130"/>
    </row>
    <row r="18" spans="1:22" ht="12.75" x14ac:dyDescent="0.2">
      <c r="A18" s="130"/>
      <c r="B18" s="130"/>
      <c r="C18" s="130"/>
      <c r="D18" s="130"/>
      <c r="E18" s="130"/>
      <c r="F18" s="130"/>
      <c r="G18" s="130"/>
      <c r="H18" s="130"/>
      <c r="I18" s="130"/>
      <c r="J18" s="130"/>
      <c r="K18" s="130"/>
      <c r="L18" s="130"/>
      <c r="M18" s="130"/>
      <c r="N18" s="130"/>
      <c r="O18" s="130"/>
      <c r="P18" s="130"/>
      <c r="Q18" s="130"/>
      <c r="R18" s="130"/>
      <c r="S18" s="130"/>
      <c r="T18" s="130"/>
      <c r="U18" s="130"/>
      <c r="V18" s="130"/>
    </row>
    <row r="19" spans="1:22" ht="39.75" customHeight="1" x14ac:dyDescent="0.2">
      <c r="A19" s="130"/>
      <c r="B19" s="130"/>
      <c r="C19" s="130"/>
      <c r="D19" s="130"/>
      <c r="E19" s="130"/>
      <c r="F19" s="130"/>
      <c r="G19" s="130"/>
      <c r="H19" s="130"/>
      <c r="I19" s="130"/>
      <c r="J19" s="130"/>
      <c r="K19" s="130"/>
      <c r="L19" s="130"/>
      <c r="M19" s="130"/>
      <c r="N19" s="130"/>
      <c r="O19" s="130"/>
      <c r="P19" s="130"/>
      <c r="Q19" s="130"/>
      <c r="R19" s="130"/>
      <c r="S19" s="130"/>
      <c r="T19" s="130"/>
      <c r="U19" s="130"/>
      <c r="V19" s="130"/>
    </row>
    <row r="20" spans="1:22" ht="273.75" customHeight="1" x14ac:dyDescent="0.2">
      <c r="A20" s="130"/>
      <c r="B20" s="130"/>
      <c r="C20" s="130"/>
      <c r="D20" s="130"/>
      <c r="E20" s="130"/>
      <c r="F20" s="130"/>
      <c r="G20" s="130"/>
      <c r="H20" s="130"/>
      <c r="I20" s="130"/>
      <c r="J20" s="130"/>
      <c r="K20" s="130"/>
      <c r="L20" s="130"/>
      <c r="M20" s="130"/>
      <c r="N20" s="130"/>
      <c r="O20" s="130"/>
      <c r="P20" s="130"/>
      <c r="Q20" s="130"/>
      <c r="R20" s="130"/>
      <c r="S20" s="130"/>
      <c r="T20" s="130"/>
      <c r="U20" s="130"/>
      <c r="V20" s="130"/>
    </row>
    <row r="21" spans="1:22" x14ac:dyDescent="0.2">
      <c r="A21" s="128" t="s">
        <v>27</v>
      </c>
      <c r="B21" s="128"/>
      <c r="C21" s="128"/>
      <c r="D21" s="128"/>
      <c r="E21" s="128"/>
      <c r="F21" s="128"/>
      <c r="G21" s="128"/>
      <c r="H21" s="128"/>
      <c r="I21" s="128"/>
      <c r="J21" s="128"/>
      <c r="K21" s="128"/>
      <c r="L21" s="128"/>
      <c r="M21" s="128"/>
      <c r="N21" s="128"/>
      <c r="O21" s="128"/>
      <c r="P21" s="128"/>
      <c r="Q21" s="128"/>
      <c r="R21" s="128"/>
      <c r="S21" s="128"/>
      <c r="T21" s="128"/>
      <c r="U21" s="128"/>
      <c r="V21" s="128"/>
    </row>
    <row r="22" spans="1:22" ht="12.75" x14ac:dyDescent="0.2">
      <c r="A22" s="131" t="s">
        <v>28</v>
      </c>
      <c r="B22" s="132"/>
      <c r="C22" s="132"/>
      <c r="D22" s="132"/>
      <c r="E22" s="132"/>
      <c r="F22" s="132"/>
      <c r="G22" s="132"/>
      <c r="H22" s="132"/>
      <c r="I22" s="132"/>
      <c r="J22" s="132"/>
      <c r="K22" s="132"/>
      <c r="L22" s="132"/>
      <c r="M22" s="132"/>
      <c r="N22" s="132"/>
      <c r="O22" s="132"/>
      <c r="P22" s="132"/>
      <c r="Q22" s="132"/>
      <c r="R22" s="132"/>
      <c r="S22" s="132"/>
      <c r="T22" s="132"/>
      <c r="U22" s="132"/>
      <c r="V22" s="132"/>
    </row>
    <row r="23" spans="1:22" ht="12.75" x14ac:dyDescent="0.2">
      <c r="A23" s="132"/>
      <c r="B23" s="132"/>
      <c r="C23" s="132"/>
      <c r="D23" s="132"/>
      <c r="E23" s="132"/>
      <c r="F23" s="132"/>
      <c r="G23" s="132"/>
      <c r="H23" s="132"/>
      <c r="I23" s="132"/>
      <c r="J23" s="132"/>
      <c r="K23" s="132"/>
      <c r="L23" s="132"/>
      <c r="M23" s="132"/>
      <c r="N23" s="132"/>
      <c r="O23" s="132"/>
      <c r="P23" s="132"/>
      <c r="Q23" s="132"/>
      <c r="R23" s="132"/>
      <c r="S23" s="132"/>
      <c r="T23" s="132"/>
      <c r="U23" s="132"/>
      <c r="V23" s="132"/>
    </row>
    <row r="24" spans="1:22" ht="12.75" x14ac:dyDescent="0.2">
      <c r="A24" s="132"/>
      <c r="B24" s="132"/>
      <c r="C24" s="132"/>
      <c r="D24" s="132"/>
      <c r="E24" s="132"/>
      <c r="F24" s="132"/>
      <c r="G24" s="132"/>
      <c r="H24" s="132"/>
      <c r="I24" s="132"/>
      <c r="J24" s="132"/>
      <c r="K24" s="132"/>
      <c r="L24" s="132"/>
      <c r="M24" s="132"/>
      <c r="N24" s="132"/>
      <c r="O24" s="132"/>
      <c r="P24" s="132"/>
      <c r="Q24" s="132"/>
      <c r="R24" s="132"/>
      <c r="S24" s="132"/>
      <c r="T24" s="132"/>
      <c r="U24" s="132"/>
      <c r="V24" s="132"/>
    </row>
    <row r="25" spans="1:22" ht="12.75" x14ac:dyDescent="0.2">
      <c r="A25" s="132"/>
      <c r="B25" s="132"/>
      <c r="C25" s="132"/>
      <c r="D25" s="132"/>
      <c r="E25" s="132"/>
      <c r="F25" s="132"/>
      <c r="G25" s="132"/>
      <c r="H25" s="132"/>
      <c r="I25" s="132"/>
      <c r="J25" s="132"/>
      <c r="K25" s="132"/>
      <c r="L25" s="132"/>
      <c r="M25" s="132"/>
      <c r="N25" s="132"/>
      <c r="O25" s="132"/>
      <c r="P25" s="132"/>
      <c r="Q25" s="132"/>
      <c r="R25" s="132"/>
      <c r="S25" s="132"/>
      <c r="T25" s="132"/>
      <c r="U25" s="132"/>
      <c r="V25" s="132"/>
    </row>
    <row r="26" spans="1:22" ht="12.75" x14ac:dyDescent="0.2">
      <c r="A26" s="132"/>
      <c r="B26" s="132"/>
      <c r="C26" s="132"/>
      <c r="D26" s="132"/>
      <c r="E26" s="132"/>
      <c r="F26" s="132"/>
      <c r="G26" s="132"/>
      <c r="H26" s="132"/>
      <c r="I26" s="132"/>
      <c r="J26" s="132"/>
      <c r="K26" s="132"/>
      <c r="L26" s="132"/>
      <c r="M26" s="132"/>
      <c r="N26" s="132"/>
      <c r="O26" s="132"/>
      <c r="P26" s="132"/>
      <c r="Q26" s="132"/>
      <c r="R26" s="132"/>
      <c r="S26" s="132"/>
      <c r="T26" s="132"/>
      <c r="U26" s="132"/>
      <c r="V26" s="132"/>
    </row>
    <row r="27" spans="1:22" ht="12.75" x14ac:dyDescent="0.2">
      <c r="A27" s="132"/>
      <c r="B27" s="132"/>
      <c r="C27" s="132"/>
      <c r="D27" s="132"/>
      <c r="E27" s="132"/>
      <c r="F27" s="132"/>
      <c r="G27" s="132"/>
      <c r="H27" s="132"/>
      <c r="I27" s="132"/>
      <c r="J27" s="132"/>
      <c r="K27" s="132"/>
      <c r="L27" s="132"/>
      <c r="M27" s="132"/>
      <c r="N27" s="132"/>
      <c r="O27" s="132"/>
      <c r="P27" s="132"/>
      <c r="Q27" s="132"/>
      <c r="R27" s="132"/>
      <c r="S27" s="132"/>
      <c r="T27" s="132"/>
      <c r="U27" s="132"/>
      <c r="V27" s="132"/>
    </row>
    <row r="28" spans="1:22" ht="12.75" x14ac:dyDescent="0.2">
      <c r="A28" s="132"/>
      <c r="B28" s="132"/>
      <c r="C28" s="132"/>
      <c r="D28" s="132"/>
      <c r="E28" s="132"/>
      <c r="F28" s="132"/>
      <c r="G28" s="132"/>
      <c r="H28" s="132"/>
      <c r="I28" s="132"/>
      <c r="J28" s="132"/>
      <c r="K28" s="132"/>
      <c r="L28" s="132"/>
      <c r="M28" s="132"/>
      <c r="N28" s="132"/>
      <c r="O28" s="132"/>
      <c r="P28" s="132"/>
      <c r="Q28" s="132"/>
      <c r="R28" s="132"/>
      <c r="S28" s="132"/>
      <c r="T28" s="132"/>
      <c r="U28" s="132"/>
      <c r="V28" s="132"/>
    </row>
    <row r="29" spans="1:22" ht="12.75" x14ac:dyDescent="0.2">
      <c r="A29" s="132"/>
      <c r="B29" s="132"/>
      <c r="C29" s="132"/>
      <c r="D29" s="132"/>
      <c r="E29" s="132"/>
      <c r="F29" s="132"/>
      <c r="G29" s="132"/>
      <c r="H29" s="132"/>
      <c r="I29" s="132"/>
      <c r="J29" s="132"/>
      <c r="K29" s="132"/>
      <c r="L29" s="132"/>
      <c r="M29" s="132"/>
      <c r="N29" s="132"/>
      <c r="O29" s="132"/>
      <c r="P29" s="132"/>
      <c r="Q29" s="132"/>
      <c r="R29" s="132"/>
      <c r="S29" s="132"/>
      <c r="T29" s="132"/>
      <c r="U29" s="132"/>
      <c r="V29" s="132"/>
    </row>
    <row r="30" spans="1:22" ht="12.75" x14ac:dyDescent="0.2">
      <c r="A30" s="132"/>
      <c r="B30" s="132"/>
      <c r="C30" s="132"/>
      <c r="D30" s="132"/>
      <c r="E30" s="132"/>
      <c r="F30" s="132"/>
      <c r="G30" s="132"/>
      <c r="H30" s="132"/>
      <c r="I30" s="132"/>
      <c r="J30" s="132"/>
      <c r="K30" s="132"/>
      <c r="L30" s="132"/>
      <c r="M30" s="132"/>
      <c r="N30" s="132"/>
      <c r="O30" s="132"/>
      <c r="P30" s="132"/>
      <c r="Q30" s="132"/>
      <c r="R30" s="132"/>
      <c r="S30" s="132"/>
      <c r="T30" s="132"/>
      <c r="U30" s="132"/>
      <c r="V30" s="132"/>
    </row>
    <row r="31" spans="1:22" ht="12.75" x14ac:dyDescent="0.2">
      <c r="A31" s="132"/>
      <c r="B31" s="132"/>
      <c r="C31" s="132"/>
      <c r="D31" s="132"/>
      <c r="E31" s="132"/>
      <c r="F31" s="132"/>
      <c r="G31" s="132"/>
      <c r="H31" s="132"/>
      <c r="I31" s="132"/>
      <c r="J31" s="132"/>
      <c r="K31" s="132"/>
      <c r="L31" s="132"/>
      <c r="M31" s="132"/>
      <c r="N31" s="132"/>
      <c r="O31" s="132"/>
      <c r="P31" s="132"/>
      <c r="Q31" s="132"/>
      <c r="R31" s="132"/>
      <c r="S31" s="132"/>
      <c r="T31" s="132"/>
      <c r="U31" s="132"/>
      <c r="V31" s="132"/>
    </row>
    <row r="32" spans="1:22" ht="12.75" x14ac:dyDescent="0.2">
      <c r="A32" s="132"/>
      <c r="B32" s="132"/>
      <c r="C32" s="132"/>
      <c r="D32" s="132"/>
      <c r="E32" s="132"/>
      <c r="F32" s="132"/>
      <c r="G32" s="132"/>
      <c r="H32" s="132"/>
      <c r="I32" s="132"/>
      <c r="J32" s="132"/>
      <c r="K32" s="132"/>
      <c r="L32" s="132"/>
      <c r="M32" s="132"/>
      <c r="N32" s="132"/>
      <c r="O32" s="132"/>
      <c r="P32" s="132"/>
      <c r="Q32" s="132"/>
      <c r="R32" s="132"/>
      <c r="S32" s="132"/>
      <c r="T32" s="132"/>
      <c r="U32" s="132"/>
      <c r="V32" s="132"/>
    </row>
    <row r="33" spans="1:22" ht="12.75" x14ac:dyDescent="0.2">
      <c r="A33" s="132"/>
      <c r="B33" s="132"/>
      <c r="C33" s="132"/>
      <c r="D33" s="132"/>
      <c r="E33" s="132"/>
      <c r="F33" s="132"/>
      <c r="G33" s="132"/>
      <c r="H33" s="132"/>
      <c r="I33" s="132"/>
      <c r="J33" s="132"/>
      <c r="K33" s="132"/>
      <c r="L33" s="132"/>
      <c r="M33" s="132"/>
      <c r="N33" s="132"/>
      <c r="O33" s="132"/>
      <c r="P33" s="132"/>
      <c r="Q33" s="132"/>
      <c r="R33" s="132"/>
      <c r="S33" s="132"/>
      <c r="T33" s="132"/>
      <c r="U33" s="132"/>
      <c r="V33" s="132"/>
    </row>
    <row r="34" spans="1:22" ht="12.75" x14ac:dyDescent="0.2">
      <c r="A34" s="132"/>
      <c r="B34" s="132"/>
      <c r="C34" s="132"/>
      <c r="D34" s="132"/>
      <c r="E34" s="132"/>
      <c r="F34" s="132"/>
      <c r="G34" s="132"/>
      <c r="H34" s="132"/>
      <c r="I34" s="132"/>
      <c r="J34" s="132"/>
      <c r="K34" s="132"/>
      <c r="L34" s="132"/>
      <c r="M34" s="132"/>
      <c r="N34" s="132"/>
      <c r="O34" s="132"/>
      <c r="P34" s="132"/>
      <c r="Q34" s="132"/>
      <c r="R34" s="132"/>
      <c r="S34" s="132"/>
      <c r="T34" s="132"/>
      <c r="U34" s="132"/>
      <c r="V34" s="132"/>
    </row>
    <row r="35" spans="1:22" ht="12.75" x14ac:dyDescent="0.2">
      <c r="A35" s="132"/>
      <c r="B35" s="132"/>
      <c r="C35" s="132"/>
      <c r="D35" s="132"/>
      <c r="E35" s="132"/>
      <c r="F35" s="132"/>
      <c r="G35" s="132"/>
      <c r="H35" s="132"/>
      <c r="I35" s="132"/>
      <c r="J35" s="132"/>
      <c r="K35" s="132"/>
      <c r="L35" s="132"/>
      <c r="M35" s="132"/>
      <c r="N35" s="132"/>
      <c r="O35" s="132"/>
      <c r="P35" s="132"/>
      <c r="Q35" s="132"/>
      <c r="R35" s="132"/>
      <c r="S35" s="132"/>
      <c r="T35" s="132"/>
      <c r="U35" s="132"/>
      <c r="V35" s="132"/>
    </row>
    <row r="36" spans="1:22" ht="12.75" x14ac:dyDescent="0.2">
      <c r="A36" s="132"/>
      <c r="B36" s="132"/>
      <c r="C36" s="132"/>
      <c r="D36" s="132"/>
      <c r="E36" s="132"/>
      <c r="F36" s="132"/>
      <c r="G36" s="132"/>
      <c r="H36" s="132"/>
      <c r="I36" s="132"/>
      <c r="J36" s="132"/>
      <c r="K36" s="132"/>
      <c r="L36" s="132"/>
      <c r="M36" s="132"/>
      <c r="N36" s="132"/>
      <c r="O36" s="132"/>
      <c r="P36" s="132"/>
      <c r="Q36" s="132"/>
      <c r="R36" s="132"/>
      <c r="S36" s="132"/>
      <c r="T36" s="132"/>
      <c r="U36" s="132"/>
      <c r="V36" s="132"/>
    </row>
    <row r="37" spans="1:22" ht="12.75" x14ac:dyDescent="0.2">
      <c r="A37" s="132"/>
      <c r="B37" s="132"/>
      <c r="C37" s="132"/>
      <c r="D37" s="132"/>
      <c r="E37" s="132"/>
      <c r="F37" s="132"/>
      <c r="G37" s="132"/>
      <c r="H37" s="132"/>
      <c r="I37" s="132"/>
      <c r="J37" s="132"/>
      <c r="K37" s="132"/>
      <c r="L37" s="132"/>
      <c r="M37" s="132"/>
      <c r="N37" s="132"/>
      <c r="O37" s="132"/>
      <c r="P37" s="132"/>
      <c r="Q37" s="132"/>
      <c r="R37" s="132"/>
      <c r="S37" s="132"/>
      <c r="T37" s="132"/>
      <c r="U37" s="132"/>
      <c r="V37" s="132"/>
    </row>
    <row r="38" spans="1:22" ht="12.75" x14ac:dyDescent="0.2">
      <c r="A38" s="132"/>
      <c r="B38" s="132"/>
      <c r="C38" s="132"/>
      <c r="D38" s="132"/>
      <c r="E38" s="132"/>
      <c r="F38" s="132"/>
      <c r="G38" s="132"/>
      <c r="H38" s="132"/>
      <c r="I38" s="132"/>
      <c r="J38" s="132"/>
      <c r="K38" s="132"/>
      <c r="L38" s="132"/>
      <c r="M38" s="132"/>
      <c r="N38" s="132"/>
      <c r="O38" s="132"/>
      <c r="P38" s="132"/>
      <c r="Q38" s="132"/>
      <c r="R38" s="132"/>
      <c r="S38" s="132"/>
      <c r="T38" s="132"/>
      <c r="U38" s="132"/>
      <c r="V38" s="132"/>
    </row>
    <row r="39" spans="1:22" ht="12.75" x14ac:dyDescent="0.2">
      <c r="A39" s="132"/>
      <c r="B39" s="132"/>
      <c r="C39" s="132"/>
      <c r="D39" s="132"/>
      <c r="E39" s="132"/>
      <c r="F39" s="132"/>
      <c r="G39" s="132"/>
      <c r="H39" s="132"/>
      <c r="I39" s="132"/>
      <c r="J39" s="132"/>
      <c r="K39" s="132"/>
      <c r="L39" s="132"/>
      <c r="M39" s="132"/>
      <c r="N39" s="132"/>
      <c r="O39" s="132"/>
      <c r="P39" s="132"/>
      <c r="Q39" s="132"/>
      <c r="R39" s="132"/>
      <c r="S39" s="132"/>
      <c r="T39" s="132"/>
      <c r="U39" s="132"/>
      <c r="V39" s="132"/>
    </row>
    <row r="40" spans="1:22" ht="12.75" x14ac:dyDescent="0.2">
      <c r="A40" s="132"/>
      <c r="B40" s="132"/>
      <c r="C40" s="132"/>
      <c r="D40" s="132"/>
      <c r="E40" s="132"/>
      <c r="F40" s="132"/>
      <c r="G40" s="132"/>
      <c r="H40" s="132"/>
      <c r="I40" s="132"/>
      <c r="J40" s="132"/>
      <c r="K40" s="132"/>
      <c r="L40" s="132"/>
      <c r="M40" s="132"/>
      <c r="N40" s="132"/>
      <c r="O40" s="132"/>
      <c r="P40" s="132"/>
      <c r="Q40" s="132"/>
      <c r="R40" s="132"/>
      <c r="S40" s="132"/>
      <c r="T40" s="132"/>
      <c r="U40" s="132"/>
      <c r="V40" s="132"/>
    </row>
    <row r="41" spans="1:22" ht="12.75" x14ac:dyDescent="0.2">
      <c r="A41" s="132"/>
      <c r="B41" s="132"/>
      <c r="C41" s="132"/>
      <c r="D41" s="132"/>
      <c r="E41" s="132"/>
      <c r="F41" s="132"/>
      <c r="G41" s="132"/>
      <c r="H41" s="132"/>
      <c r="I41" s="132"/>
      <c r="J41" s="132"/>
      <c r="K41" s="132"/>
      <c r="L41" s="132"/>
      <c r="M41" s="132"/>
      <c r="N41" s="132"/>
      <c r="O41" s="132"/>
      <c r="P41" s="132"/>
      <c r="Q41" s="132"/>
      <c r="R41" s="132"/>
      <c r="S41" s="132"/>
      <c r="T41" s="132"/>
      <c r="U41" s="132"/>
      <c r="V41" s="132"/>
    </row>
    <row r="42" spans="1:22" ht="12.75" x14ac:dyDescent="0.2">
      <c r="A42" s="132"/>
      <c r="B42" s="132"/>
      <c r="C42" s="132"/>
      <c r="D42" s="132"/>
      <c r="E42" s="132"/>
      <c r="F42" s="132"/>
      <c r="G42" s="132"/>
      <c r="H42" s="132"/>
      <c r="I42" s="132"/>
      <c r="J42" s="132"/>
      <c r="K42" s="132"/>
      <c r="L42" s="132"/>
      <c r="M42" s="132"/>
      <c r="N42" s="132"/>
      <c r="O42" s="132"/>
      <c r="P42" s="132"/>
      <c r="Q42" s="132"/>
      <c r="R42" s="132"/>
      <c r="S42" s="132"/>
      <c r="T42" s="132"/>
      <c r="U42" s="132"/>
      <c r="V42" s="132"/>
    </row>
    <row r="43" spans="1:22" ht="12.75" x14ac:dyDescent="0.2">
      <c r="A43" s="132"/>
      <c r="B43" s="132"/>
      <c r="C43" s="132"/>
      <c r="D43" s="132"/>
      <c r="E43" s="132"/>
      <c r="F43" s="132"/>
      <c r="G43" s="132"/>
      <c r="H43" s="132"/>
      <c r="I43" s="132"/>
      <c r="J43" s="132"/>
      <c r="K43" s="132"/>
      <c r="L43" s="132"/>
      <c r="M43" s="132"/>
      <c r="N43" s="132"/>
      <c r="O43" s="132"/>
      <c r="P43" s="132"/>
      <c r="Q43" s="132"/>
      <c r="R43" s="132"/>
      <c r="S43" s="132"/>
      <c r="T43" s="132"/>
      <c r="U43" s="132"/>
      <c r="V43" s="132"/>
    </row>
    <row r="44" spans="1:22" ht="12.75" x14ac:dyDescent="0.2">
      <c r="A44" s="132"/>
      <c r="B44" s="132"/>
      <c r="C44" s="132"/>
      <c r="D44" s="132"/>
      <c r="E44" s="132"/>
      <c r="F44" s="132"/>
      <c r="G44" s="132"/>
      <c r="H44" s="132"/>
      <c r="I44" s="132"/>
      <c r="J44" s="132"/>
      <c r="K44" s="132"/>
      <c r="L44" s="132"/>
      <c r="M44" s="132"/>
      <c r="N44" s="132"/>
      <c r="O44" s="132"/>
      <c r="P44" s="132"/>
      <c r="Q44" s="132"/>
      <c r="R44" s="132"/>
      <c r="S44" s="132"/>
      <c r="T44" s="132"/>
      <c r="U44" s="132"/>
      <c r="V44" s="132"/>
    </row>
    <row r="45" spans="1:22" ht="68.25" customHeight="1" x14ac:dyDescent="0.2">
      <c r="A45" s="132"/>
      <c r="B45" s="132"/>
      <c r="C45" s="132"/>
      <c r="D45" s="132"/>
      <c r="E45" s="132"/>
      <c r="F45" s="132"/>
      <c r="G45" s="132"/>
      <c r="H45" s="132"/>
      <c r="I45" s="132"/>
      <c r="J45" s="132"/>
      <c r="K45" s="132"/>
      <c r="L45" s="132"/>
      <c r="M45" s="132"/>
      <c r="N45" s="132"/>
      <c r="O45" s="132"/>
      <c r="P45" s="132"/>
      <c r="Q45" s="132"/>
      <c r="R45" s="132"/>
      <c r="S45" s="132"/>
      <c r="T45" s="132"/>
      <c r="U45" s="132"/>
      <c r="V45" s="132"/>
    </row>
  </sheetData>
  <sheetProtection selectLockedCells="1" selectUnlockedCells="1"/>
  <mergeCells count="35">
    <mergeCell ref="A16:V16"/>
    <mergeCell ref="A17:V20"/>
    <mergeCell ref="A21:V21"/>
    <mergeCell ref="A22:V45"/>
    <mergeCell ref="A10:E10"/>
    <mergeCell ref="F10:N10"/>
    <mergeCell ref="O10:Q10"/>
    <mergeCell ref="R10:V10"/>
    <mergeCell ref="A11:V11"/>
    <mergeCell ref="A12:V15"/>
    <mergeCell ref="A8:E8"/>
    <mergeCell ref="F8:N8"/>
    <mergeCell ref="O8:Q8"/>
    <mergeCell ref="R8:V8"/>
    <mergeCell ref="A9:E9"/>
    <mergeCell ref="F9:N9"/>
    <mergeCell ref="O9:Q9"/>
    <mergeCell ref="R9:V9"/>
    <mergeCell ref="A6:E6"/>
    <mergeCell ref="F6:N6"/>
    <mergeCell ref="O6:P6"/>
    <mergeCell ref="Q6:V6"/>
    <mergeCell ref="A7:E7"/>
    <mergeCell ref="F7:N7"/>
    <mergeCell ref="O7:Q7"/>
    <mergeCell ref="R7:V7"/>
    <mergeCell ref="A5:E5"/>
    <mergeCell ref="F5:N5"/>
    <mergeCell ref="O5:P5"/>
    <mergeCell ref="Q5:V5"/>
    <mergeCell ref="A1:V3"/>
    <mergeCell ref="A4:E4"/>
    <mergeCell ref="F4:N4"/>
    <mergeCell ref="O4:P4"/>
    <mergeCell ref="Q4:V4"/>
  </mergeCells>
  <dataValidations count="3">
    <dataValidation type="list" operator="equal" allowBlank="1" showErrorMessage="1" sqref="F6" xr:uid="{00000000-0002-0000-0000-000000000000}">
      <formula1>"Aplicação,Projeto de Desenvolvimento,Projeto de Melhoria"</formula1>
      <formula2>0</formula2>
    </dataValidation>
    <dataValidation type="list" operator="equal" allowBlank="1" showErrorMessage="1" sqref="G6:N7" xr:uid="{00000000-0002-0000-0000-000001000000}">
      <formula1>"Aplicação,Estimativa,Projeto de Desenvolvimento,Projeto de Melhoria"</formula1>
      <formula2>0</formula2>
    </dataValidation>
    <dataValidation type="list" operator="equal" allowBlank="1" showErrorMessage="1" promptTitle="Método de COntagem" prompt="Detalhada (IFPUG)_x000a_Estimativa (NESMA)_x000a_Indicativa (NESMA)" sqref="F7" xr:uid="{00000000-0002-0000-0000-000002000000}">
      <formula1>"Detalhada (IFPUG),Estimativa (NESMA),Indicativa (NESMA)"</formula1>
      <formula2>0</formula2>
    </dataValidation>
  </dataValidations>
  <pageMargins left="0.78749999999999998" right="0.78749999999999998" top="0.78749999999999998" bottom="0.78749999999999998" header="0.51180555555555551" footer="0.51180555555555551"/>
  <pageSetup paperSize="9" scale="59" firstPageNumber="0" orientation="portrait" horizontalDpi="300" verticalDpi="300" r:id="rId1"/>
  <headerFooter alignWithMargins="0">
    <oddFooter>&amp;R&amp;"Tahoma,Normal"&amp;8&amp;F - &amp;A</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2">
    <pageSetUpPr fitToPage="1"/>
  </sheetPr>
  <dimension ref="A1:O160"/>
  <sheetViews>
    <sheetView showGridLines="0" tabSelected="1" zoomScaleNormal="100" zoomScaleSheetLayoutView="100" workbookViewId="0">
      <pane ySplit="7" topLeftCell="A75" activePane="bottomLeft" state="frozen"/>
      <selection activeCell="B11" sqref="B11"/>
      <selection pane="bottomLeft" activeCell="A86" sqref="A86"/>
    </sheetView>
  </sheetViews>
  <sheetFormatPr defaultRowHeight="12.75" x14ac:dyDescent="0.2"/>
  <cols>
    <col min="1" max="1" width="67.140625" customWidth="1"/>
    <col min="2" max="2" width="5" customWidth="1"/>
    <col min="3" max="3" width="10.42578125" customWidth="1"/>
    <col min="4" max="4" width="3.85546875" customWidth="1"/>
    <col min="5" max="5" width="5" bestFit="1" customWidth="1"/>
    <col min="6" max="6" width="8" customWidth="1"/>
    <col min="7" max="7" width="9" hidden="1" customWidth="1"/>
    <col min="8" max="8" width="12" customWidth="1"/>
    <col min="9" max="9" width="6.5703125" hidden="1" customWidth="1"/>
    <col min="10" max="10" width="7.42578125" hidden="1" customWidth="1"/>
    <col min="11" max="11" width="12.5703125" customWidth="1"/>
    <col min="12" max="12" width="12" customWidth="1"/>
    <col min="13" max="13" width="6.7109375" customWidth="1"/>
    <col min="14" max="14" width="10.5703125" customWidth="1"/>
    <col min="15" max="15" width="32.42578125" customWidth="1"/>
  </cols>
  <sheetData>
    <row r="1" spans="1:15" ht="13.5" thickBot="1" x14ac:dyDescent="0.25">
      <c r="A1" s="138" t="s">
        <v>29</v>
      </c>
      <c r="B1" s="139"/>
      <c r="C1" s="139"/>
      <c r="D1" s="139"/>
      <c r="E1" s="139"/>
      <c r="F1" s="139"/>
      <c r="G1" s="139"/>
      <c r="H1" s="139"/>
      <c r="I1" s="139"/>
      <c r="J1" s="139"/>
      <c r="K1" s="139"/>
      <c r="L1" s="139"/>
      <c r="M1" s="139"/>
      <c r="N1" s="139"/>
      <c r="O1" s="140"/>
    </row>
    <row r="2" spans="1:15" ht="13.5" thickBot="1" x14ac:dyDescent="0.25">
      <c r="A2" s="141"/>
      <c r="B2" s="142"/>
      <c r="C2" s="142"/>
      <c r="D2" s="142"/>
      <c r="E2" s="142"/>
      <c r="F2" s="142"/>
      <c r="G2" s="142"/>
      <c r="H2" s="142"/>
      <c r="I2" s="142"/>
      <c r="J2" s="142"/>
      <c r="K2" s="142"/>
      <c r="L2" s="142"/>
      <c r="M2" s="142"/>
      <c r="N2" s="142"/>
      <c r="O2" s="143"/>
    </row>
    <row r="3" spans="1:15" x14ac:dyDescent="0.2">
      <c r="A3" s="141"/>
      <c r="B3" s="142"/>
      <c r="C3" s="142"/>
      <c r="D3" s="142"/>
      <c r="E3" s="142"/>
      <c r="F3" s="142"/>
      <c r="G3" s="142"/>
      <c r="H3" s="142"/>
      <c r="I3" s="142"/>
      <c r="J3" s="142"/>
      <c r="K3" s="142"/>
      <c r="L3" s="142"/>
      <c r="M3" s="142"/>
      <c r="N3" s="142"/>
      <c r="O3" s="143"/>
    </row>
    <row r="4" spans="1:15" x14ac:dyDescent="0.2">
      <c r="A4" s="102" t="str">
        <f>Contagem!A5&amp;" : "&amp;Contagem!F5</f>
        <v xml:space="preserve">Aplicação : </v>
      </c>
      <c r="B4" s="146" t="str">
        <f>Contagem!A8&amp;" : "&amp;Contagem!F8</f>
        <v>Projeto : SEI</v>
      </c>
      <c r="C4" s="147"/>
      <c r="D4" s="147"/>
      <c r="E4" s="147"/>
      <c r="F4" s="147"/>
      <c r="G4" s="147"/>
      <c r="H4" s="147"/>
      <c r="I4" s="147"/>
      <c r="J4" s="148"/>
      <c r="K4" s="92" t="s">
        <v>3</v>
      </c>
      <c r="L4" s="95">
        <f>SUM(H6:H298)</f>
        <v>541</v>
      </c>
      <c r="M4" s="136"/>
      <c r="N4" s="136"/>
      <c r="O4" s="137"/>
    </row>
    <row r="5" spans="1:15" x14ac:dyDescent="0.2">
      <c r="A5" s="102" t="str">
        <f>Contagem!A9&amp;" : "&amp;Contagem!F9</f>
        <v>Responsável : Ana Karyna da Silva Teixeira</v>
      </c>
      <c r="B5" s="146" t="str">
        <f>Contagem!A10&amp;" : "&amp;Contagem!F10</f>
        <v>Revisor : Luana Alves de Araújo Passos Aguiar</v>
      </c>
      <c r="C5" s="147"/>
      <c r="D5" s="147"/>
      <c r="E5" s="147"/>
      <c r="F5" s="147"/>
      <c r="G5" s="147"/>
      <c r="H5" s="147"/>
      <c r="I5" s="147"/>
      <c r="J5" s="148"/>
      <c r="K5" s="94" t="s">
        <v>5</v>
      </c>
      <c r="L5" s="95">
        <f>SUM(K7:K299)</f>
        <v>541</v>
      </c>
      <c r="M5" s="144"/>
      <c r="N5" s="144"/>
      <c r="O5" s="145"/>
    </row>
    <row r="6" spans="1:15" x14ac:dyDescent="0.2">
      <c r="A6" s="103" t="str">
        <f>Contagem!A4&amp;" : "&amp;Contagem!F4</f>
        <v>Empresa : Secretaria de Estado de Planejamento e Gestão de Mato Grosso</v>
      </c>
      <c r="B6" s="133" t="str">
        <f>"Tipo da Contagem : "&amp;Contagem!F6</f>
        <v>Tipo da Contagem : Projeto de Desenvolvimento</v>
      </c>
      <c r="C6" s="134"/>
      <c r="D6" s="134"/>
      <c r="E6" s="134"/>
      <c r="F6" s="134"/>
      <c r="G6" s="134"/>
      <c r="H6" s="134"/>
      <c r="I6" s="134"/>
      <c r="J6" s="135"/>
      <c r="K6" s="93" t="s">
        <v>8</v>
      </c>
      <c r="L6" s="95">
        <f>SUM(L8:L300)</f>
        <v>541</v>
      </c>
      <c r="M6" s="136"/>
      <c r="N6" s="136"/>
      <c r="O6" s="137"/>
    </row>
    <row r="7" spans="1:15" ht="13.5" customHeight="1" x14ac:dyDescent="0.25">
      <c r="A7" s="104" t="s">
        <v>30</v>
      </c>
      <c r="B7" s="53" t="s">
        <v>31</v>
      </c>
      <c r="C7" s="54" t="s">
        <v>32</v>
      </c>
      <c r="D7" s="55" t="s">
        <v>33</v>
      </c>
      <c r="E7" s="55" t="s">
        <v>34</v>
      </c>
      <c r="F7" s="55" t="s">
        <v>35</v>
      </c>
      <c r="G7" s="56" t="s">
        <v>36</v>
      </c>
      <c r="H7" s="56" t="s">
        <v>3</v>
      </c>
      <c r="I7" s="99" t="s">
        <v>37</v>
      </c>
      <c r="J7" s="99" t="s">
        <v>38</v>
      </c>
      <c r="K7" s="56" t="s">
        <v>5</v>
      </c>
      <c r="L7" s="57" t="s">
        <v>8</v>
      </c>
      <c r="M7" s="58" t="s">
        <v>39</v>
      </c>
      <c r="N7" s="58" t="s">
        <v>40</v>
      </c>
      <c r="O7" s="105" t="s">
        <v>41</v>
      </c>
    </row>
    <row r="8" spans="1:15" x14ac:dyDescent="0.2">
      <c r="A8" s="108" t="s">
        <v>292</v>
      </c>
      <c r="B8" s="107"/>
      <c r="C8" s="107"/>
      <c r="D8" s="4"/>
      <c r="E8" s="4"/>
      <c r="F8" s="101" t="str">
        <f>IF(ISBLANK(B8),"",IF(I8="L","Baixa",IF(I8="A","Média",IF(I8="","","Alta"))))</f>
        <v/>
      </c>
      <c r="G8" s="101" t="str">
        <f>CONCATENATE(B8,I8)</f>
        <v/>
      </c>
      <c r="H8" s="4" t="str">
        <f>IF(ISBLANK(B8),"",IF(B8="ALI",IF(I8="L",7,IF(I8="A",10,15)),IF(B8="AIE",IF(I8="L",5,IF(I8="A",7,10)),IF(B8="SE",IF(I8="L",4,IF(I8="A",5,7)),IF(OR(B8="EE",B8="CE"),IF(I8="L",3,IF(I8="A",4,6)),0)))))</f>
        <v/>
      </c>
      <c r="I8" s="100" t="str">
        <f>IF(OR(ISBLANK(D8),ISBLANK(E8)),IF(OR(B8="ALI",B8="AIE"),"L",IF(OR(B8="EE",B8="SE",B8="CE"),"A","")),IF(B8="EE",IF(E8&gt;=3,IF(D8&gt;=5,"H","A"),IF(E8&gt;=2,IF(D8&gt;=16,"H",IF(D8&lt;=4,"L","A")),IF(D8&lt;=15,"L","A"))),IF(OR(B8="SE",B8="CE"),IF(E8&gt;=4,IF(D8&gt;=6,"H","A"),IF(E8&gt;=2,IF(D8&gt;=20,"H",IF(D8&lt;=5,"L","A")),IF(D8&lt;=19,"L","A"))),IF(OR(B8="ALI",B8="AIE"),IF(E8&gt;=6,IF(D8&gt;=20,"H","A"),IF(E8&gt;=2,IF(D8&gt;=51,"H",IF(D8&lt;=19,"L","A")),IF(D8&lt;=50,"L","A"))),""))))</f>
        <v/>
      </c>
      <c r="J8" s="4" t="str">
        <f>CONCATENATE(B8,C8)</f>
        <v/>
      </c>
      <c r="K8" s="101" t="str">
        <f>IF(OR(H8="",H8=0),L8,H8)</f>
        <v/>
      </c>
      <c r="L8" s="101" t="str">
        <f>IF(NOT(ISERROR(VLOOKUP(B8,Deflatores!G$42:H$64,2,FALSE))),VLOOKUP(B8,Deflatores!G$42:H$64,2,FALSE),IF(OR(ISBLANK(C8),ISBLANK(B8)),"",VLOOKUP(C8,Deflatores!G$4:H$38,2,FALSE)*H8+VLOOKUP(C8,Deflatores!G$4:I$38,3,FALSE)))</f>
        <v/>
      </c>
      <c r="M8" s="101"/>
      <c r="N8" s="101"/>
      <c r="O8" s="113"/>
    </row>
    <row r="9" spans="1:15" x14ac:dyDescent="0.2">
      <c r="A9" s="106" t="s">
        <v>42</v>
      </c>
      <c r="B9" s="107" t="s">
        <v>43</v>
      </c>
      <c r="C9" s="107" t="s">
        <v>44</v>
      </c>
      <c r="D9" s="4">
        <v>47</v>
      </c>
      <c r="E9" s="4">
        <v>2</v>
      </c>
      <c r="F9" s="101" t="str">
        <f>IF(ISBLANK(B9),"",IF(I9="L","Baixa",IF(I9="A","Média",IF(I9="","","Alta"))))</f>
        <v>Média</v>
      </c>
      <c r="G9" s="101" t="str">
        <f>CONCATENATE(B9,I9)</f>
        <v>ALIA</v>
      </c>
      <c r="H9" s="4">
        <f>IF(ISBLANK(B9),"",IF(B9="ALI",IF(I9="L",7,IF(I9="A",10,15)),IF(B9="AIE",IF(I9="L",5,IF(I9="A",7,10)),IF(B9="SE",IF(I9="L",4,IF(I9="A",5,7)),IF(OR(B9="EE",B9="CE"),IF(I9="L",3,IF(I9="A",4,6)),0)))))</f>
        <v>10</v>
      </c>
      <c r="I9" s="100" t="str">
        <f>IF(OR(ISBLANK(D9),ISBLANK(E9)),IF(OR(B9="ALI",B9="AIE"),"L",IF(OR(B9="EE",B9="SE",B9="CE"),"A","")),IF(B9="EE",IF(E9&gt;=3,IF(D9&gt;=5,"H","A"),IF(E9&gt;=2,IF(D9&gt;=16,"H",IF(D9&lt;=4,"L","A")),IF(D9&lt;=15,"L","A"))),IF(OR(B9="SE",B9="CE"),IF(E9&gt;=4,IF(D9&gt;=6,"H","A"),IF(E9&gt;=2,IF(D9&gt;=20,"H",IF(D9&lt;=5,"L","A")),IF(D9&lt;=19,"L","A"))),IF(OR(B9="ALI",B9="AIE"),IF(E9&gt;=6,IF(D9&gt;=20,"H","A"),IF(E9&gt;=2,IF(D9&gt;=51,"H",IF(D9&lt;=19,"L","A")),IF(D9&lt;=50,"L","A"))),""))))</f>
        <v>A</v>
      </c>
      <c r="J9" s="4" t="str">
        <f>CONCATENATE(B9,C9)</f>
        <v>ALII</v>
      </c>
      <c r="K9" s="101">
        <f>IF(OR(H9="",H9=0),L9,H9)</f>
        <v>10</v>
      </c>
      <c r="L9" s="101">
        <f>IF(NOT(ISERROR(VLOOKUP(B9,Deflatores!G$42:H$64,2,FALSE))),VLOOKUP(B9,Deflatores!G$42:H$64,2,FALSE),IF(OR(ISBLANK(C9),ISBLANK(B9)),"",VLOOKUP(C9,Deflatores!G$4:H$38,2,FALSE)*H9+VLOOKUP(C9,Deflatores!G$4:I$38,3,FALSE)))</f>
        <v>10</v>
      </c>
      <c r="M9" s="101" t="s">
        <v>45</v>
      </c>
      <c r="N9" s="101"/>
      <c r="O9" s="114"/>
    </row>
    <row r="10" spans="1:15" x14ac:dyDescent="0.2">
      <c r="A10" s="106" t="s">
        <v>46</v>
      </c>
      <c r="B10" s="107" t="s">
        <v>47</v>
      </c>
      <c r="C10" s="107" t="s">
        <v>44</v>
      </c>
      <c r="D10" s="107">
        <v>2</v>
      </c>
      <c r="E10" s="4">
        <v>1</v>
      </c>
      <c r="F10" s="101" t="str">
        <f>IF(ISBLANK(B10),"",IF(I10="L","Baixa",IF(I10="A","Média",IF(I10="","","Alta"))))</f>
        <v>Baixa</v>
      </c>
      <c r="G10" s="101" t="str">
        <f>CONCATENATE(B10,I10)</f>
        <v>AIEL</v>
      </c>
      <c r="H10" s="4">
        <f t="shared" ref="H10" si="0">IF(ISBLANK(B10),"",IF(B10="ALI",IF(I10="L",7,IF(I10="A",10,15)),IF(B10="AIE",IF(I10="L",5,IF(I10="A",7,10)),IF(B10="SE",IF(I10="L",4,IF(I10="A",5,7)),IF(OR(B10="EE",B10="CE"),IF(I10="L",3,IF(I10="A",4,6)),0)))))</f>
        <v>5</v>
      </c>
      <c r="I10" s="100" t="str">
        <f t="shared" ref="I10" si="1">IF(OR(ISBLANK(D10),ISBLANK(E10)),IF(OR(B10="ALI",B10="AIE"),"L",IF(OR(B10="EE",B10="SE",B10="CE"),"A","")),IF(B10="EE",IF(E10&gt;=3,IF(D10&gt;=5,"H","A"),IF(E10&gt;=2,IF(D10&gt;=16,"H",IF(D10&lt;=4,"L","A")),IF(D10&lt;=15,"L","A"))),IF(OR(B10="SE",B10="CE"),IF(E10&gt;=4,IF(D10&gt;=6,"H","A"),IF(E10&gt;=2,IF(D10&gt;=20,"H",IF(D10&lt;=5,"L","A")),IF(D10&lt;=19,"L","A"))),IF(OR(B10="ALI",B10="AIE"),IF(E10&gt;=6,IF(D10&gt;=20,"H","A"),IF(E10&gt;=2,IF(D10&gt;=51,"H",IF(D10&lt;=19,"L","A")),IF(D10&lt;=50,"L","A"))),""))))</f>
        <v>L</v>
      </c>
      <c r="J10" s="4" t="str">
        <f t="shared" ref="J10" si="2">CONCATENATE(B10,C10)</f>
        <v>AIEI</v>
      </c>
      <c r="K10" s="101">
        <f t="shared" ref="K10" si="3">IF(OR(H10="",H10=0),L10,H10)</f>
        <v>5</v>
      </c>
      <c r="L10" s="101">
        <f>IF(NOT(ISERROR(VLOOKUP(B10,Deflatores!G$42:H$64,2,FALSE))),VLOOKUP(B10,Deflatores!G$42:H$64,2,FALSE),IF(OR(ISBLANK(C10),ISBLANK(B10)),"",VLOOKUP(C10,Deflatores!G$4:H$38,2,FALSE)*H10+VLOOKUP(C10,Deflatores!G$4:I$38,3,FALSE)))</f>
        <v>5</v>
      </c>
      <c r="M10" s="101" t="s">
        <v>45</v>
      </c>
      <c r="N10" s="101"/>
      <c r="O10" s="113"/>
    </row>
    <row r="11" spans="1:15" x14ac:dyDescent="0.2">
      <c r="A11" s="106" t="s">
        <v>48</v>
      </c>
      <c r="B11" s="107" t="s">
        <v>49</v>
      </c>
      <c r="C11" s="107" t="s">
        <v>44</v>
      </c>
      <c r="D11" s="4">
        <v>14</v>
      </c>
      <c r="E11" s="4">
        <v>4</v>
      </c>
      <c r="F11" s="101" t="str">
        <f>IF(ISBLANK(B11),"",IF(I11="L","Baixa",IF(I11="A","Média",IF(I11="","","Alta"))))</f>
        <v>Alta</v>
      </c>
      <c r="G11" s="101" t="str">
        <f>CONCATENATE(B11,I11)</f>
        <v>CEH</v>
      </c>
      <c r="H11" s="4">
        <f>IF(ISBLANK(B11),"",IF(B11="ALI",IF(I11="L",7,IF(I11="A",10,15)),IF(B11="AIE",IF(I11="L",5,IF(I11="A",7,10)),IF(B11="SE",IF(I11="L",4,IF(I11="A",5,7)),IF(OR(B11="EE",B11="CE"),IF(I11="L",3,IF(I11="A",4,6)),0)))))</f>
        <v>6</v>
      </c>
      <c r="I11" s="100" t="str">
        <f>IF(OR(ISBLANK(D11),ISBLANK(E11)),IF(OR(B11="ALI",B11="AIE"),"L",IF(OR(B11="EE",B11="SE",B11="CE"),"A","")),IF(B11="EE",IF(E11&gt;=3,IF(D11&gt;=5,"H","A"),IF(E11&gt;=2,IF(D11&gt;=16,"H",IF(D11&lt;=4,"L","A")),IF(D11&lt;=15,"L","A"))),IF(OR(B11="SE",B11="CE"),IF(E11&gt;=4,IF(D11&gt;=6,"H","A"),IF(E11&gt;=2,IF(D11&gt;=20,"H",IF(D11&lt;=5,"L","A")),IF(D11&lt;=19,"L","A"))),IF(OR(B11="ALI",B11="AIE"),IF(E11&gt;=6,IF(D11&gt;=20,"H","A"),IF(E11&gt;=2,IF(D11&gt;=51,"H",IF(D11&lt;=19,"L","A")),IF(D11&lt;=50,"L","A"))),""))))</f>
        <v>H</v>
      </c>
      <c r="J11" s="4" t="str">
        <f>CONCATENATE(B11,C11)</f>
        <v>CEI</v>
      </c>
      <c r="K11" s="101">
        <f>IF(OR(H11="",H11=0),L11,H11)</f>
        <v>6</v>
      </c>
      <c r="L11" s="101">
        <f>IF(NOT(ISERROR(VLOOKUP(B11,Deflatores!G$42:H$64,2,FALSE))),VLOOKUP(B11,Deflatores!G$42:H$64,2,FALSE),IF(OR(ISBLANK(C11),ISBLANK(B11)),"",VLOOKUP(C11,Deflatores!G$4:H$38,2,FALSE)*H11+VLOOKUP(C11,Deflatores!G$4:I$38,3,FALSE)))</f>
        <v>6</v>
      </c>
      <c r="M11" s="101" t="s">
        <v>45</v>
      </c>
      <c r="N11" s="101"/>
      <c r="O11" s="113"/>
    </row>
    <row r="12" spans="1:15" s="112" customFormat="1" x14ac:dyDescent="0.2">
      <c r="A12" s="109" t="s">
        <v>50</v>
      </c>
      <c r="B12" s="107" t="s">
        <v>49</v>
      </c>
      <c r="C12" s="107" t="s">
        <v>44</v>
      </c>
      <c r="D12" s="4">
        <v>3</v>
      </c>
      <c r="E12" s="4">
        <v>1</v>
      </c>
      <c r="F12" s="111" t="str">
        <f t="shared" ref="F12" si="4">IF(ISBLANK(B12),"",IF(I12="L","Baixa",IF(I12="A","Média",IF(I12="","","Alta"))))</f>
        <v>Baixa</v>
      </c>
      <c r="G12" s="111" t="str">
        <f t="shared" ref="G12" si="5">CONCATENATE(B12,I12)</f>
        <v>CEL</v>
      </c>
      <c r="H12" s="4">
        <f t="shared" ref="H12" si="6">IF(ISBLANK(B12),"",IF(B12="ALI",IF(I12="L",7,IF(I12="A",10,15)),IF(B12="AIE",IF(I12="L",5,IF(I12="A",7,10)),IF(B12="SE",IF(I12="L",4,IF(I12="A",5,7)),IF(OR(B12="EE",B12="CE"),IF(I12="L",3,IF(I12="A",4,6)),0)))))</f>
        <v>3</v>
      </c>
      <c r="I12" s="100" t="str">
        <f t="shared" ref="I12" si="7">IF(OR(ISBLANK(D12),ISBLANK(E12)),IF(OR(B12="ALI",B12="AIE"),"L",IF(OR(B12="EE",B12="SE",B12="CE"),"A","")),IF(B12="EE",IF(E12&gt;=3,IF(D12&gt;=5,"H","A"),IF(E12&gt;=2,IF(D12&gt;=16,"H",IF(D12&lt;=4,"L","A")),IF(D12&lt;=15,"L","A"))),IF(OR(B12="SE",B12="CE"),IF(E12&gt;=4,IF(D12&gt;=6,"H","A"),IF(E12&gt;=2,IF(D12&gt;=20,"H",IF(D12&lt;=5,"L","A")),IF(D12&lt;=19,"L","A"))),IF(OR(B12="ALI",B12="AIE"),IF(E12&gt;=6,IF(D12&gt;=20,"H","A"),IF(E12&gt;=2,IF(D12&gt;=51,"H",IF(D12&lt;=19,"L","A")),IF(D12&lt;=50,"L","A"))),""))))</f>
        <v>L</v>
      </c>
      <c r="J12" s="4" t="str">
        <f t="shared" ref="J12" si="8">CONCATENATE(B12,C12)</f>
        <v>CEI</v>
      </c>
      <c r="K12" s="101">
        <f t="shared" ref="K12" si="9">IF(OR(H12="",H12=0),L12,H12)</f>
        <v>3</v>
      </c>
      <c r="L12" s="101">
        <f>IF(NOT(ISERROR(VLOOKUP(B12,Deflatores!G$42:H$64,2,FALSE))),VLOOKUP(B12,Deflatores!G$42:H$64,2,FALSE),IF(OR(ISBLANK(C12),ISBLANK(B12)),"",VLOOKUP(C12,Deflatores!G$4:H$38,2,FALSE)*H12+VLOOKUP(C12,Deflatores!G$4:I$38,3,FALSE)))</f>
        <v>3</v>
      </c>
      <c r="M12" s="101" t="s">
        <v>45</v>
      </c>
      <c r="N12" s="111"/>
      <c r="O12" s="113"/>
    </row>
    <row r="13" spans="1:15" x14ac:dyDescent="0.2">
      <c r="A13" s="106" t="s">
        <v>51</v>
      </c>
      <c r="B13" s="107" t="s">
        <v>49</v>
      </c>
      <c r="C13" s="107" t="s">
        <v>44</v>
      </c>
      <c r="D13" s="4">
        <v>14</v>
      </c>
      <c r="E13" s="4">
        <v>4</v>
      </c>
      <c r="F13" s="101" t="str">
        <f t="shared" ref="F13" si="10">IF(ISBLANK(B13),"",IF(I13="L","Baixa",IF(I13="A","Média",IF(I13="","","Alta"))))</f>
        <v>Alta</v>
      </c>
      <c r="G13" s="101" t="str">
        <f t="shared" ref="G13" si="11">CONCATENATE(B13,I13)</f>
        <v>CEH</v>
      </c>
      <c r="H13" s="4">
        <f t="shared" ref="H13" si="12">IF(ISBLANK(B13),"",IF(B13="ALI",IF(I13="L",7,IF(I13="A",10,15)),IF(B13="AIE",IF(I13="L",5,IF(I13="A",7,10)),IF(B13="SE",IF(I13="L",4,IF(I13="A",5,7)),IF(OR(B13="EE",B13="CE"),IF(I13="L",3,IF(I13="A",4,6)),0)))))</f>
        <v>6</v>
      </c>
      <c r="I13" s="100" t="str">
        <f t="shared" ref="I13" si="13">IF(OR(ISBLANK(D13),ISBLANK(E13)),IF(OR(B13="ALI",B13="AIE"),"L",IF(OR(B13="EE",B13="SE",B13="CE"),"A","")),IF(B13="EE",IF(E13&gt;=3,IF(D13&gt;=5,"H","A"),IF(E13&gt;=2,IF(D13&gt;=16,"H",IF(D13&lt;=4,"L","A")),IF(D13&lt;=15,"L","A"))),IF(OR(B13="SE",B13="CE"),IF(E13&gt;=4,IF(D13&gt;=6,"H","A"),IF(E13&gt;=2,IF(D13&gt;=20,"H",IF(D13&lt;=5,"L","A")),IF(D13&lt;=19,"L","A"))),IF(OR(B13="ALI",B13="AIE"),IF(E13&gt;=6,IF(D13&gt;=20,"H","A"),IF(E13&gt;=2,IF(D13&gt;=51,"H",IF(D13&lt;=19,"L","A")),IF(D13&lt;=50,"L","A"))),""))))</f>
        <v>H</v>
      </c>
      <c r="J13" s="4" t="str">
        <f t="shared" ref="J13" si="14">CONCATENATE(B13,C13)</f>
        <v>CEI</v>
      </c>
      <c r="K13" s="101">
        <f t="shared" ref="K13" si="15">IF(OR(H13="",H13=0),L13,H13)</f>
        <v>6</v>
      </c>
      <c r="L13" s="101">
        <f>IF(NOT(ISERROR(VLOOKUP(B13,Deflatores!G$42:H$64,2,FALSE))),VLOOKUP(B13,Deflatores!G$42:H$64,2,FALSE),IF(OR(ISBLANK(C13),ISBLANK(B13)),"",VLOOKUP(C13,Deflatores!G$4:H$38,2,FALSE)*H13+VLOOKUP(C13,Deflatores!G$4:I$38,3,FALSE)))</f>
        <v>6</v>
      </c>
      <c r="M13" s="101" t="s">
        <v>45</v>
      </c>
      <c r="N13" s="101"/>
      <c r="O13" s="113"/>
    </row>
    <row r="14" spans="1:15" x14ac:dyDescent="0.2">
      <c r="A14" s="106" t="s">
        <v>52</v>
      </c>
      <c r="B14" s="107" t="s">
        <v>53</v>
      </c>
      <c r="C14" s="107" t="s">
        <v>44</v>
      </c>
      <c r="D14" s="4">
        <v>19</v>
      </c>
      <c r="E14" s="4">
        <v>4</v>
      </c>
      <c r="F14" s="101" t="str">
        <f t="shared" ref="F14:F24" si="16">IF(ISBLANK(B14),"",IF(I14="L","Baixa",IF(I14="A","Média",IF(I14="","","Alta"))))</f>
        <v>Alta</v>
      </c>
      <c r="G14" s="101" t="str">
        <f t="shared" ref="G14:G24" si="17">CONCATENATE(B14,I14)</f>
        <v>EEH</v>
      </c>
      <c r="H14" s="4">
        <f t="shared" ref="H14:H24" si="18">IF(ISBLANK(B14),"",IF(B14="ALI",IF(I14="L",7,IF(I14="A",10,15)),IF(B14="AIE",IF(I14="L",5,IF(I14="A",7,10)),IF(B14="SE",IF(I14="L",4,IF(I14="A",5,7)),IF(OR(B14="EE",B14="CE"),IF(I14="L",3,IF(I14="A",4,6)),0)))))</f>
        <v>6</v>
      </c>
      <c r="I14" s="100" t="str">
        <f t="shared" ref="I14:I24" si="19">IF(OR(ISBLANK(D14),ISBLANK(E14)),IF(OR(B14="ALI",B14="AIE"),"L",IF(OR(B14="EE",B14="SE",B14="CE"),"A","")),IF(B14="EE",IF(E14&gt;=3,IF(D14&gt;=5,"H","A"),IF(E14&gt;=2,IF(D14&gt;=16,"H",IF(D14&lt;=4,"L","A")),IF(D14&lt;=15,"L","A"))),IF(OR(B14="SE",B14="CE"),IF(E14&gt;=4,IF(D14&gt;=6,"H","A"),IF(E14&gt;=2,IF(D14&gt;=20,"H",IF(D14&lt;=5,"L","A")),IF(D14&lt;=19,"L","A"))),IF(OR(B14="ALI",B14="AIE"),IF(E14&gt;=6,IF(D14&gt;=20,"H","A"),IF(E14&gt;=2,IF(D14&gt;=51,"H",IF(D14&lt;=19,"L","A")),IF(D14&lt;=50,"L","A"))),""))))</f>
        <v>H</v>
      </c>
      <c r="J14" s="4" t="str">
        <f t="shared" ref="J14:J24" si="20">CONCATENATE(B14,C14)</f>
        <v>EEI</v>
      </c>
      <c r="K14" s="101">
        <f t="shared" ref="K14:K24" si="21">IF(OR(H14="",H14=0),L14,H14)</f>
        <v>6</v>
      </c>
      <c r="L14" s="101">
        <f>IF(NOT(ISERROR(VLOOKUP(B14,Deflatores!G$42:H$64,2,FALSE))),VLOOKUP(B14,Deflatores!G$42:H$64,2,FALSE),IF(OR(ISBLANK(C14),ISBLANK(B14)),"",VLOOKUP(C14,Deflatores!G$4:H$38,2,FALSE)*H14+VLOOKUP(C14,Deflatores!G$4:I$38,3,FALSE)))</f>
        <v>6</v>
      </c>
      <c r="M14" s="101" t="s">
        <v>45</v>
      </c>
      <c r="N14" s="101"/>
      <c r="O14" s="113"/>
    </row>
    <row r="15" spans="1:15" s="112" customFormat="1" x14ac:dyDescent="0.2">
      <c r="A15" s="109" t="s">
        <v>54</v>
      </c>
      <c r="B15" s="107" t="s">
        <v>49</v>
      </c>
      <c r="C15" s="107" t="s">
        <v>44</v>
      </c>
      <c r="D15" s="107">
        <v>3</v>
      </c>
      <c r="E15" s="110">
        <v>1</v>
      </c>
      <c r="F15" s="111" t="str">
        <f t="shared" si="16"/>
        <v>Baixa</v>
      </c>
      <c r="G15" s="111" t="str">
        <f t="shared" si="17"/>
        <v>CEL</v>
      </c>
      <c r="H15" s="4">
        <f t="shared" si="18"/>
        <v>3</v>
      </c>
      <c r="I15" s="100" t="str">
        <f t="shared" si="19"/>
        <v>L</v>
      </c>
      <c r="J15" s="4" t="str">
        <f t="shared" si="20"/>
        <v>CEI</v>
      </c>
      <c r="K15" s="101">
        <f t="shared" si="21"/>
        <v>3</v>
      </c>
      <c r="L15" s="101">
        <f>IF(NOT(ISERROR(VLOOKUP(B15,Deflatores!G$42:H$64,2,FALSE))),VLOOKUP(B15,Deflatores!G$42:H$64,2,FALSE),IF(OR(ISBLANK(C15),ISBLANK(B15)),"",VLOOKUP(C15,Deflatores!G$4:H$38,2,FALSE)*H15+VLOOKUP(C15,Deflatores!G$4:I$38,3,FALSE)))</f>
        <v>3</v>
      </c>
      <c r="M15" s="101" t="s">
        <v>45</v>
      </c>
      <c r="N15" s="111"/>
      <c r="O15" s="114"/>
    </row>
    <row r="16" spans="1:15" s="112" customFormat="1" x14ac:dyDescent="0.2">
      <c r="A16" s="109" t="s">
        <v>55</v>
      </c>
      <c r="B16" s="107" t="s">
        <v>49</v>
      </c>
      <c r="C16" s="107" t="s">
        <v>44</v>
      </c>
      <c r="D16" s="107">
        <v>3</v>
      </c>
      <c r="E16" s="110">
        <v>1</v>
      </c>
      <c r="F16" s="111" t="str">
        <f t="shared" si="16"/>
        <v>Baixa</v>
      </c>
      <c r="G16" s="111" t="str">
        <f t="shared" si="17"/>
        <v>CEL</v>
      </c>
      <c r="H16" s="4">
        <f t="shared" si="18"/>
        <v>3</v>
      </c>
      <c r="I16" s="100" t="str">
        <f t="shared" si="19"/>
        <v>L</v>
      </c>
      <c r="J16" s="4" t="str">
        <f t="shared" si="20"/>
        <v>CEI</v>
      </c>
      <c r="K16" s="101">
        <f t="shared" si="21"/>
        <v>3</v>
      </c>
      <c r="L16" s="101">
        <f>IF(NOT(ISERROR(VLOOKUP(B16,Deflatores!G$42:H$64,2,FALSE))),VLOOKUP(B16,Deflatores!G$42:H$64,2,FALSE),IF(OR(ISBLANK(C16),ISBLANK(B16)),"",VLOOKUP(C16,Deflatores!G$4:H$38,2,FALSE)*H16+VLOOKUP(C16,Deflatores!G$4:I$38,3,FALSE)))</f>
        <v>3</v>
      </c>
      <c r="M16" s="101" t="s">
        <v>45</v>
      </c>
      <c r="N16" s="111"/>
      <c r="O16" s="113"/>
    </row>
    <row r="17" spans="1:15" s="112" customFormat="1" x14ac:dyDescent="0.2">
      <c r="A17" s="109" t="s">
        <v>56</v>
      </c>
      <c r="B17" s="107" t="s">
        <v>49</v>
      </c>
      <c r="C17" s="107" t="s">
        <v>44</v>
      </c>
      <c r="D17" s="107">
        <v>5</v>
      </c>
      <c r="E17" s="110">
        <v>1</v>
      </c>
      <c r="F17" s="111" t="str">
        <f t="shared" si="16"/>
        <v>Baixa</v>
      </c>
      <c r="G17" s="111" t="str">
        <f t="shared" si="17"/>
        <v>CEL</v>
      </c>
      <c r="H17" s="4">
        <f t="shared" si="18"/>
        <v>3</v>
      </c>
      <c r="I17" s="100" t="str">
        <f t="shared" si="19"/>
        <v>L</v>
      </c>
      <c r="J17" s="4" t="str">
        <f t="shared" si="20"/>
        <v>CEI</v>
      </c>
      <c r="K17" s="101">
        <f t="shared" si="21"/>
        <v>3</v>
      </c>
      <c r="L17" s="101">
        <f>IF(NOT(ISERROR(VLOOKUP(B17,Deflatores!G$42:H$64,2,FALSE))),VLOOKUP(B17,Deflatores!G$42:H$64,2,FALSE),IF(OR(ISBLANK(C17),ISBLANK(B17)),"",VLOOKUP(C17,Deflatores!G$4:H$38,2,FALSE)*H17+VLOOKUP(C17,Deflatores!G$4:I$38,3,FALSE)))</f>
        <v>3</v>
      </c>
      <c r="M17" s="101" t="s">
        <v>45</v>
      </c>
      <c r="N17" s="111"/>
      <c r="O17" s="111"/>
    </row>
    <row r="18" spans="1:15" x14ac:dyDescent="0.2">
      <c r="A18" s="106" t="s">
        <v>57</v>
      </c>
      <c r="B18" s="107" t="s">
        <v>53</v>
      </c>
      <c r="C18" s="107" t="s">
        <v>44</v>
      </c>
      <c r="D18" s="107">
        <v>19</v>
      </c>
      <c r="E18" s="4">
        <v>1</v>
      </c>
      <c r="F18" s="101" t="str">
        <f t="shared" si="16"/>
        <v>Média</v>
      </c>
      <c r="G18" s="101" t="str">
        <f t="shared" si="17"/>
        <v>EEA</v>
      </c>
      <c r="H18" s="4">
        <f t="shared" si="18"/>
        <v>4</v>
      </c>
      <c r="I18" s="100" t="str">
        <f t="shared" si="19"/>
        <v>A</v>
      </c>
      <c r="J18" s="4" t="str">
        <f t="shared" si="20"/>
        <v>EEI</v>
      </c>
      <c r="K18" s="101">
        <f t="shared" si="21"/>
        <v>4</v>
      </c>
      <c r="L18" s="101">
        <f>IF(NOT(ISERROR(VLOOKUP(B18,Deflatores!G$42:H$64,2,FALSE))),VLOOKUP(B18,Deflatores!G$42:H$64,2,FALSE),IF(OR(ISBLANK(C18),ISBLANK(B18)),"",VLOOKUP(C18,Deflatores!G$4:H$38,2,FALSE)*H18+VLOOKUP(C18,Deflatores!G$4:I$38,3,FALSE)))</f>
        <v>4</v>
      </c>
      <c r="M18" s="101" t="s">
        <v>45</v>
      </c>
      <c r="N18" s="101"/>
      <c r="O18" s="114"/>
    </row>
    <row r="19" spans="1:15" x14ac:dyDescent="0.2">
      <c r="A19" s="109" t="s">
        <v>58</v>
      </c>
      <c r="B19" s="107" t="s">
        <v>49</v>
      </c>
      <c r="C19" s="107" t="s">
        <v>44</v>
      </c>
      <c r="D19" s="107">
        <v>3</v>
      </c>
      <c r="E19" s="4">
        <v>1</v>
      </c>
      <c r="F19" s="101" t="str">
        <f t="shared" ref="F19" si="22">IF(ISBLANK(B19),"",IF(I19="L","Baixa",IF(I19="A","Média",IF(I19="","","Alta"))))</f>
        <v>Baixa</v>
      </c>
      <c r="G19" s="101" t="str">
        <f t="shared" ref="G19" si="23">CONCATENATE(B19,I19)</f>
        <v>CEL</v>
      </c>
      <c r="H19" s="4">
        <f t="shared" ref="H19" si="24">IF(ISBLANK(B19),"",IF(B19="ALI",IF(I19="L",7,IF(I19="A",10,15)),IF(B19="AIE",IF(I19="L",5,IF(I19="A",7,10)),IF(B19="SE",IF(I19="L",4,IF(I19="A",5,7)),IF(OR(B19="EE",B19="CE"),IF(I19="L",3,IF(I19="A",4,6)),0)))))</f>
        <v>3</v>
      </c>
      <c r="I19" s="100" t="str">
        <f t="shared" ref="I19" si="25">IF(OR(ISBLANK(D19),ISBLANK(E19)),IF(OR(B19="ALI",B19="AIE"),"L",IF(OR(B19="EE",B19="SE",B19="CE"),"A","")),IF(B19="EE",IF(E19&gt;=3,IF(D19&gt;=5,"H","A"),IF(E19&gt;=2,IF(D19&gt;=16,"H",IF(D19&lt;=4,"L","A")),IF(D19&lt;=15,"L","A"))),IF(OR(B19="SE",B19="CE"),IF(E19&gt;=4,IF(D19&gt;=6,"H","A"),IF(E19&gt;=2,IF(D19&gt;=20,"H",IF(D19&lt;=5,"L","A")),IF(D19&lt;=19,"L","A"))),IF(OR(B19="ALI",B19="AIE"),IF(E19&gt;=6,IF(D19&gt;=20,"H","A"),IF(E19&gt;=2,IF(D19&gt;=51,"H",IF(D19&lt;=19,"L","A")),IF(D19&lt;=50,"L","A"))),""))))</f>
        <v>L</v>
      </c>
      <c r="J19" s="4" t="str">
        <f t="shared" ref="J19" si="26">CONCATENATE(B19,C19)</f>
        <v>CEI</v>
      </c>
      <c r="K19" s="101">
        <f t="shared" ref="K19" si="27">IF(OR(H19="",H19=0),L19,H19)</f>
        <v>3</v>
      </c>
      <c r="L19" s="101">
        <f>IF(NOT(ISERROR(VLOOKUP(B19,Deflatores!G$42:H$64,2,FALSE))),VLOOKUP(B19,Deflatores!G$42:H$64,2,FALSE),IF(OR(ISBLANK(C19),ISBLANK(B19)),"",VLOOKUP(C19,Deflatores!G$4:H$38,2,FALSE)*H19+VLOOKUP(C19,Deflatores!G$4:I$38,3,FALSE)))</f>
        <v>3</v>
      </c>
      <c r="M19" s="101" t="s">
        <v>45</v>
      </c>
      <c r="N19" s="101"/>
      <c r="O19" s="114"/>
    </row>
    <row r="20" spans="1:15" x14ac:dyDescent="0.2">
      <c r="A20" s="109" t="s">
        <v>59</v>
      </c>
      <c r="B20" s="107" t="s">
        <v>49</v>
      </c>
      <c r="C20" s="107" t="s">
        <v>44</v>
      </c>
      <c r="D20" s="107">
        <v>3</v>
      </c>
      <c r="E20" s="4">
        <v>1</v>
      </c>
      <c r="F20" s="101" t="str">
        <f t="shared" ref="F20" si="28">IF(ISBLANK(B20),"",IF(I20="L","Baixa",IF(I20="A","Média",IF(I20="","","Alta"))))</f>
        <v>Baixa</v>
      </c>
      <c r="G20" s="101" t="str">
        <f t="shared" ref="G20" si="29">CONCATENATE(B20,I20)</f>
        <v>CEL</v>
      </c>
      <c r="H20" s="4">
        <f t="shared" ref="H20" si="30">IF(ISBLANK(B20),"",IF(B20="ALI",IF(I20="L",7,IF(I20="A",10,15)),IF(B20="AIE",IF(I20="L",5,IF(I20="A",7,10)),IF(B20="SE",IF(I20="L",4,IF(I20="A",5,7)),IF(OR(B20="EE",B20="CE"),IF(I20="L",3,IF(I20="A",4,6)),0)))))</f>
        <v>3</v>
      </c>
      <c r="I20" s="100" t="str">
        <f t="shared" ref="I20" si="31">IF(OR(ISBLANK(D20),ISBLANK(E20)),IF(OR(B20="ALI",B20="AIE"),"L",IF(OR(B20="EE",B20="SE",B20="CE"),"A","")),IF(B20="EE",IF(E20&gt;=3,IF(D20&gt;=5,"H","A"),IF(E20&gt;=2,IF(D20&gt;=16,"H",IF(D20&lt;=4,"L","A")),IF(D20&lt;=15,"L","A"))),IF(OR(B20="SE",B20="CE"),IF(E20&gt;=4,IF(D20&gt;=6,"H","A"),IF(E20&gt;=2,IF(D20&gt;=20,"H",IF(D20&lt;=5,"L","A")),IF(D20&lt;=19,"L","A"))),IF(OR(B20="ALI",B20="AIE"),IF(E20&gt;=6,IF(D20&gt;=20,"H","A"),IF(E20&gt;=2,IF(D20&gt;=51,"H",IF(D20&lt;=19,"L","A")),IF(D20&lt;=50,"L","A"))),""))))</f>
        <v>L</v>
      </c>
      <c r="J20" s="4" t="str">
        <f t="shared" ref="J20" si="32">CONCATENATE(B20,C20)</f>
        <v>CEI</v>
      </c>
      <c r="K20" s="101">
        <f t="shared" ref="K20" si="33">IF(OR(H20="",H20=0),L20,H20)</f>
        <v>3</v>
      </c>
      <c r="L20" s="101">
        <f>IF(NOT(ISERROR(VLOOKUP(B20,Deflatores!G$42:H$64,2,FALSE))),VLOOKUP(B20,Deflatores!G$42:H$64,2,FALSE),IF(OR(ISBLANK(C20),ISBLANK(B20)),"",VLOOKUP(C20,Deflatores!G$4:H$38,2,FALSE)*H20+VLOOKUP(C20,Deflatores!G$4:I$38,3,FALSE)))</f>
        <v>3</v>
      </c>
      <c r="M20" s="101" t="s">
        <v>45</v>
      </c>
      <c r="N20" s="101"/>
      <c r="O20" s="114"/>
    </row>
    <row r="21" spans="1:15" x14ac:dyDescent="0.2">
      <c r="A21" s="109" t="s">
        <v>60</v>
      </c>
      <c r="B21" s="107" t="s">
        <v>49</v>
      </c>
      <c r="C21" s="107" t="s">
        <v>44</v>
      </c>
      <c r="D21" s="107">
        <v>3</v>
      </c>
      <c r="E21" s="4">
        <v>1</v>
      </c>
      <c r="F21" s="101" t="str">
        <f t="shared" ref="F21" si="34">IF(ISBLANK(B21),"",IF(I21="L","Baixa",IF(I21="A","Média",IF(I21="","","Alta"))))</f>
        <v>Baixa</v>
      </c>
      <c r="G21" s="101" t="str">
        <f t="shared" ref="G21" si="35">CONCATENATE(B21,I21)</f>
        <v>CEL</v>
      </c>
      <c r="H21" s="4">
        <f t="shared" ref="H21" si="36">IF(ISBLANK(B21),"",IF(B21="ALI",IF(I21="L",7,IF(I21="A",10,15)),IF(B21="AIE",IF(I21="L",5,IF(I21="A",7,10)),IF(B21="SE",IF(I21="L",4,IF(I21="A",5,7)),IF(OR(B21="EE",B21="CE"),IF(I21="L",3,IF(I21="A",4,6)),0)))))</f>
        <v>3</v>
      </c>
      <c r="I21" s="100" t="str">
        <f t="shared" ref="I21" si="37">IF(OR(ISBLANK(D21),ISBLANK(E21)),IF(OR(B21="ALI",B21="AIE"),"L",IF(OR(B21="EE",B21="SE",B21="CE"),"A","")),IF(B21="EE",IF(E21&gt;=3,IF(D21&gt;=5,"H","A"),IF(E21&gt;=2,IF(D21&gt;=16,"H",IF(D21&lt;=4,"L","A")),IF(D21&lt;=15,"L","A"))),IF(OR(B21="SE",B21="CE"),IF(E21&gt;=4,IF(D21&gt;=6,"H","A"),IF(E21&gt;=2,IF(D21&gt;=20,"H",IF(D21&lt;=5,"L","A")),IF(D21&lt;=19,"L","A"))),IF(OR(B21="ALI",B21="AIE"),IF(E21&gt;=6,IF(D21&gt;=20,"H","A"),IF(E21&gt;=2,IF(D21&gt;=51,"H",IF(D21&lt;=19,"L","A")),IF(D21&lt;=50,"L","A"))),""))))</f>
        <v>L</v>
      </c>
      <c r="J21" s="4" t="str">
        <f t="shared" ref="J21" si="38">CONCATENATE(B21,C21)</f>
        <v>CEI</v>
      </c>
      <c r="K21" s="101">
        <f t="shared" ref="K21" si="39">IF(OR(H21="",H21=0),L21,H21)</f>
        <v>3</v>
      </c>
      <c r="L21" s="101">
        <f>IF(NOT(ISERROR(VLOOKUP(B21,Deflatores!G$42:H$64,2,FALSE))),VLOOKUP(B21,Deflatores!G$42:H$64,2,FALSE),IF(OR(ISBLANK(C21),ISBLANK(B21)),"",VLOOKUP(C21,Deflatores!G$4:H$38,2,FALSE)*H21+VLOOKUP(C21,Deflatores!G$4:I$38,3,FALSE)))</f>
        <v>3</v>
      </c>
      <c r="M21" s="101" t="s">
        <v>45</v>
      </c>
      <c r="N21" s="101"/>
      <c r="O21" s="114"/>
    </row>
    <row r="22" spans="1:15" x14ac:dyDescent="0.2">
      <c r="A22" s="109" t="s">
        <v>61</v>
      </c>
      <c r="B22" s="107" t="s">
        <v>49</v>
      </c>
      <c r="C22" s="107" t="s">
        <v>44</v>
      </c>
      <c r="D22" s="107">
        <v>3</v>
      </c>
      <c r="E22" s="4">
        <v>1</v>
      </c>
      <c r="F22" s="101" t="str">
        <f t="shared" ref="F22" si="40">IF(ISBLANK(B22),"",IF(I22="L","Baixa",IF(I22="A","Média",IF(I22="","","Alta"))))</f>
        <v>Baixa</v>
      </c>
      <c r="G22" s="101" t="str">
        <f t="shared" ref="G22" si="41">CONCATENATE(B22,I22)</f>
        <v>CEL</v>
      </c>
      <c r="H22" s="4">
        <f t="shared" ref="H22" si="42">IF(ISBLANK(B22),"",IF(B22="ALI",IF(I22="L",7,IF(I22="A",10,15)),IF(B22="AIE",IF(I22="L",5,IF(I22="A",7,10)),IF(B22="SE",IF(I22="L",4,IF(I22="A",5,7)),IF(OR(B22="EE",B22="CE"),IF(I22="L",3,IF(I22="A",4,6)),0)))))</f>
        <v>3</v>
      </c>
      <c r="I22" s="100" t="str">
        <f t="shared" ref="I22" si="43">IF(OR(ISBLANK(D22),ISBLANK(E22)),IF(OR(B22="ALI",B22="AIE"),"L",IF(OR(B22="EE",B22="SE",B22="CE"),"A","")),IF(B22="EE",IF(E22&gt;=3,IF(D22&gt;=5,"H","A"),IF(E22&gt;=2,IF(D22&gt;=16,"H",IF(D22&lt;=4,"L","A")),IF(D22&lt;=15,"L","A"))),IF(OR(B22="SE",B22="CE"),IF(E22&gt;=4,IF(D22&gt;=6,"H","A"),IF(E22&gt;=2,IF(D22&gt;=20,"H",IF(D22&lt;=5,"L","A")),IF(D22&lt;=19,"L","A"))),IF(OR(B22="ALI",B22="AIE"),IF(E22&gt;=6,IF(D22&gt;=20,"H","A"),IF(E22&gt;=2,IF(D22&gt;=51,"H",IF(D22&lt;=19,"L","A")),IF(D22&lt;=50,"L","A"))),""))))</f>
        <v>L</v>
      </c>
      <c r="J22" s="4" t="str">
        <f t="shared" ref="J22" si="44">CONCATENATE(B22,C22)</f>
        <v>CEI</v>
      </c>
      <c r="K22" s="101">
        <f t="shared" ref="K22" si="45">IF(OR(H22="",H22=0),L22,H22)</f>
        <v>3</v>
      </c>
      <c r="L22" s="101">
        <f>IF(NOT(ISERROR(VLOOKUP(B22,Deflatores!G$42:H$64,2,FALSE))),VLOOKUP(B22,Deflatores!G$42:H$64,2,FALSE),IF(OR(ISBLANK(C22),ISBLANK(B22)),"",VLOOKUP(C22,Deflatores!G$4:H$38,2,FALSE)*H22+VLOOKUP(C22,Deflatores!G$4:I$38,3,FALSE)))</f>
        <v>3</v>
      </c>
      <c r="M22" s="101" t="s">
        <v>45</v>
      </c>
      <c r="N22" s="101"/>
      <c r="O22" s="114"/>
    </row>
    <row r="23" spans="1:15" ht="25.5" x14ac:dyDescent="0.2">
      <c r="A23" s="109" t="s">
        <v>62</v>
      </c>
      <c r="B23" s="107" t="s">
        <v>49</v>
      </c>
      <c r="C23" s="107" t="s">
        <v>44</v>
      </c>
      <c r="D23" s="107">
        <v>3</v>
      </c>
      <c r="E23" s="4">
        <v>1</v>
      </c>
      <c r="F23" s="101" t="str">
        <f t="shared" si="16"/>
        <v>Baixa</v>
      </c>
      <c r="G23" s="101" t="str">
        <f t="shared" si="17"/>
        <v>CEL</v>
      </c>
      <c r="H23" s="4">
        <f t="shared" si="18"/>
        <v>3</v>
      </c>
      <c r="I23" s="100" t="str">
        <f t="shared" si="19"/>
        <v>L</v>
      </c>
      <c r="J23" s="4" t="str">
        <f t="shared" si="20"/>
        <v>CEI</v>
      </c>
      <c r="K23" s="101">
        <f t="shared" si="21"/>
        <v>3</v>
      </c>
      <c r="L23" s="101">
        <f>IF(NOT(ISERROR(VLOOKUP(B23,Deflatores!G$42:H$64,2,FALSE))),VLOOKUP(B23,Deflatores!G$42:H$64,2,FALSE),IF(OR(ISBLANK(C23),ISBLANK(B23)),"",VLOOKUP(C23,Deflatores!G$4:H$38,2,FALSE)*H23+VLOOKUP(C23,Deflatores!G$4:I$38,3,FALSE)))</f>
        <v>3</v>
      </c>
      <c r="M23" s="101" t="s">
        <v>45</v>
      </c>
      <c r="N23" s="101"/>
      <c r="O23" s="115"/>
    </row>
    <row r="24" spans="1:15" x14ac:dyDescent="0.2">
      <c r="A24" s="106" t="s">
        <v>63</v>
      </c>
      <c r="B24" s="107" t="s">
        <v>53</v>
      </c>
      <c r="C24" s="107" t="s">
        <v>44</v>
      </c>
      <c r="D24" s="107">
        <v>8</v>
      </c>
      <c r="E24" s="4">
        <v>1</v>
      </c>
      <c r="F24" s="101" t="str">
        <f t="shared" si="16"/>
        <v>Baixa</v>
      </c>
      <c r="G24" s="101" t="str">
        <f t="shared" si="17"/>
        <v>EEL</v>
      </c>
      <c r="H24" s="4">
        <f t="shared" si="18"/>
        <v>3</v>
      </c>
      <c r="I24" s="100" t="str">
        <f t="shared" si="19"/>
        <v>L</v>
      </c>
      <c r="J24" s="4" t="str">
        <f t="shared" si="20"/>
        <v>EEI</v>
      </c>
      <c r="K24" s="101">
        <f t="shared" si="21"/>
        <v>3</v>
      </c>
      <c r="L24" s="101">
        <f>IF(NOT(ISERROR(VLOOKUP(B24,Deflatores!G$42:H$64,2,FALSE))),VLOOKUP(B24,Deflatores!G$42:H$64,2,FALSE),IF(OR(ISBLANK(C24),ISBLANK(B24)),"",VLOOKUP(C24,Deflatores!G$4:H$38,2,FALSE)*H24+VLOOKUP(C24,Deflatores!G$4:I$38,3,FALSE)))</f>
        <v>3</v>
      </c>
      <c r="M24" s="101" t="s">
        <v>45</v>
      </c>
      <c r="N24" s="101"/>
      <c r="O24" s="114"/>
    </row>
    <row r="25" spans="1:15" x14ac:dyDescent="0.2">
      <c r="A25" s="106" t="s">
        <v>64</v>
      </c>
      <c r="B25" s="107" t="s">
        <v>53</v>
      </c>
      <c r="C25" s="107" t="s">
        <v>44</v>
      </c>
      <c r="D25" s="4">
        <v>18</v>
      </c>
      <c r="E25" s="4">
        <v>4</v>
      </c>
      <c r="F25" s="101" t="str">
        <f t="shared" ref="F25:F33" si="46">IF(ISBLANK(B25),"",IF(I25="L","Baixa",IF(I25="A","Média",IF(I25="","","Alta"))))</f>
        <v>Alta</v>
      </c>
      <c r="G25" s="101" t="str">
        <f t="shared" ref="G25:G38" si="47">CONCATENATE(B25,I25)</f>
        <v>EEH</v>
      </c>
      <c r="H25" s="4">
        <f t="shared" ref="H25:H38" si="48">IF(ISBLANK(B25),"",IF(B25="ALI",IF(I25="L",7,IF(I25="A",10,15)),IF(B25="AIE",IF(I25="L",5,IF(I25="A",7,10)),IF(B25="SE",IF(I25="L",4,IF(I25="A",5,7)),IF(OR(B25="EE",B25="CE"),IF(I25="L",3,IF(I25="A",4,6)),0)))))</f>
        <v>6</v>
      </c>
      <c r="I25" s="100" t="str">
        <f t="shared" ref="I25:I38" si="49">IF(OR(ISBLANK(D25),ISBLANK(E25)),IF(OR(B25="ALI",B25="AIE"),"L",IF(OR(B25="EE",B25="SE",B25="CE"),"A","")),IF(B25="EE",IF(E25&gt;=3,IF(D25&gt;=5,"H","A"),IF(E25&gt;=2,IF(D25&gt;=16,"H",IF(D25&lt;=4,"L","A")),IF(D25&lt;=15,"L","A"))),IF(OR(B25="SE",B25="CE"),IF(E25&gt;=4,IF(D25&gt;=6,"H","A"),IF(E25&gt;=2,IF(D25&gt;=20,"H",IF(D25&lt;=5,"L","A")),IF(D25&lt;=19,"L","A"))),IF(OR(B25="ALI",B25="AIE"),IF(E25&gt;=6,IF(D25&gt;=20,"H","A"),IF(E25&gt;=2,IF(D25&gt;=51,"H",IF(D25&lt;=19,"L","A")),IF(D25&lt;=50,"L","A"))),""))))</f>
        <v>H</v>
      </c>
      <c r="J25" s="4" t="str">
        <f t="shared" ref="J25:J38" si="50">CONCATENATE(B25,C25)</f>
        <v>EEI</v>
      </c>
      <c r="K25" s="101">
        <f t="shared" ref="K25:K38" si="51">IF(OR(H25="",H25=0),L25,H25)</f>
        <v>6</v>
      </c>
      <c r="L25" s="101">
        <f>IF(NOT(ISERROR(VLOOKUP(B25,Deflatores!G$42:H$64,2,FALSE))),VLOOKUP(B25,Deflatores!G$42:H$64,2,FALSE),IF(OR(ISBLANK(C25),ISBLANK(B25)),"",VLOOKUP(C25,Deflatores!G$4:H$38,2,FALSE)*H25+VLOOKUP(C25,Deflatores!G$4:I$38,3,FALSE)))</f>
        <v>6</v>
      </c>
      <c r="M25" s="101" t="s">
        <v>45</v>
      </c>
      <c r="N25" s="101"/>
      <c r="O25" s="113"/>
    </row>
    <row r="26" spans="1:15" s="112" customFormat="1" x14ac:dyDescent="0.2">
      <c r="A26" s="109" t="s">
        <v>65</v>
      </c>
      <c r="B26" s="107" t="s">
        <v>49</v>
      </c>
      <c r="C26" s="107" t="s">
        <v>44</v>
      </c>
      <c r="D26" s="4">
        <v>16</v>
      </c>
      <c r="E26" s="110">
        <v>4</v>
      </c>
      <c r="F26" s="111" t="str">
        <f t="shared" si="46"/>
        <v>Alta</v>
      </c>
      <c r="G26" s="111" t="str">
        <f t="shared" si="47"/>
        <v>CEH</v>
      </c>
      <c r="H26" s="4">
        <f t="shared" si="48"/>
        <v>6</v>
      </c>
      <c r="I26" s="100" t="str">
        <f t="shared" si="49"/>
        <v>H</v>
      </c>
      <c r="J26" s="4" t="str">
        <f t="shared" si="50"/>
        <v>CEI</v>
      </c>
      <c r="K26" s="101">
        <f t="shared" si="51"/>
        <v>6</v>
      </c>
      <c r="L26" s="101">
        <f>IF(NOT(ISERROR(VLOOKUP(B26,Deflatores!G$42:H$64,2,FALSE))),VLOOKUP(B26,Deflatores!G$42:H$64,2,FALSE),IF(OR(ISBLANK(C26),ISBLANK(B26)),"",VLOOKUP(C26,Deflatores!G$4:H$38,2,FALSE)*H26+VLOOKUP(C26,Deflatores!G$4:I$38,3,FALSE)))</f>
        <v>6</v>
      </c>
      <c r="M26" s="101" t="s">
        <v>45</v>
      </c>
      <c r="N26" s="111"/>
      <c r="O26" s="113"/>
    </row>
    <row r="27" spans="1:15" x14ac:dyDescent="0.2">
      <c r="A27" s="106" t="s">
        <v>66</v>
      </c>
      <c r="B27" s="107" t="s">
        <v>53</v>
      </c>
      <c r="C27" s="107" t="s">
        <v>44</v>
      </c>
      <c r="D27" s="107">
        <v>18</v>
      </c>
      <c r="E27" s="4">
        <v>1</v>
      </c>
      <c r="F27" s="101" t="str">
        <f t="shared" si="46"/>
        <v>Média</v>
      </c>
      <c r="G27" s="101" t="str">
        <f t="shared" si="47"/>
        <v>EEA</v>
      </c>
      <c r="H27" s="4">
        <f t="shared" si="48"/>
        <v>4</v>
      </c>
      <c r="I27" s="100" t="str">
        <f t="shared" si="49"/>
        <v>A</v>
      </c>
      <c r="J27" s="4" t="str">
        <f t="shared" si="50"/>
        <v>EEI</v>
      </c>
      <c r="K27" s="101">
        <f t="shared" si="51"/>
        <v>4</v>
      </c>
      <c r="L27" s="101">
        <f>IF(NOT(ISERROR(VLOOKUP(B27,Deflatores!G$42:H$64,2,FALSE))),VLOOKUP(B27,Deflatores!G$42:H$64,2,FALSE),IF(OR(ISBLANK(C27),ISBLANK(B27)),"",VLOOKUP(C27,Deflatores!G$4:H$38,2,FALSE)*H27+VLOOKUP(C27,Deflatores!G$4:I$38,3,FALSE)))</f>
        <v>4</v>
      </c>
      <c r="M27" s="101" t="s">
        <v>45</v>
      </c>
      <c r="N27" s="101"/>
      <c r="O27" s="113"/>
    </row>
    <row r="28" spans="1:15" s="112" customFormat="1" x14ac:dyDescent="0.2">
      <c r="A28" s="109" t="s">
        <v>67</v>
      </c>
      <c r="B28" s="107" t="s">
        <v>49</v>
      </c>
      <c r="C28" s="107" t="s">
        <v>44</v>
      </c>
      <c r="D28" s="107">
        <v>16</v>
      </c>
      <c r="E28" s="110">
        <v>1</v>
      </c>
      <c r="F28" s="111" t="str">
        <f t="shared" si="46"/>
        <v>Baixa</v>
      </c>
      <c r="G28" s="111" t="str">
        <f t="shared" si="47"/>
        <v>CEL</v>
      </c>
      <c r="H28" s="4">
        <f t="shared" si="48"/>
        <v>3</v>
      </c>
      <c r="I28" s="100" t="str">
        <f t="shared" si="49"/>
        <v>L</v>
      </c>
      <c r="J28" s="4" t="str">
        <f t="shared" si="50"/>
        <v>CEI</v>
      </c>
      <c r="K28" s="101">
        <f t="shared" si="51"/>
        <v>3</v>
      </c>
      <c r="L28" s="101">
        <f>IF(NOT(ISERROR(VLOOKUP(B28,Deflatores!G$42:H$64,2,FALSE))),VLOOKUP(B28,Deflatores!G$42:H$64,2,FALSE),IF(OR(ISBLANK(C28),ISBLANK(B28)),"",VLOOKUP(C28,Deflatores!G$4:H$38,2,FALSE)*H28+VLOOKUP(C28,Deflatores!G$4:I$38,3,FALSE)))</f>
        <v>3</v>
      </c>
      <c r="M28" s="101" t="s">
        <v>45</v>
      </c>
      <c r="N28" s="111"/>
      <c r="O28" s="113"/>
    </row>
    <row r="29" spans="1:15" x14ac:dyDescent="0.2">
      <c r="A29" s="106" t="s">
        <v>68</v>
      </c>
      <c r="B29" s="107" t="s">
        <v>53</v>
      </c>
      <c r="C29" s="107" t="s">
        <v>44</v>
      </c>
      <c r="D29" s="107">
        <v>8</v>
      </c>
      <c r="E29" s="4">
        <v>1</v>
      </c>
      <c r="F29" s="101" t="str">
        <f t="shared" si="46"/>
        <v>Baixa</v>
      </c>
      <c r="G29" s="101" t="str">
        <f t="shared" si="47"/>
        <v>EEL</v>
      </c>
      <c r="H29" s="4">
        <f t="shared" si="48"/>
        <v>3</v>
      </c>
      <c r="I29" s="100" t="str">
        <f t="shared" si="49"/>
        <v>L</v>
      </c>
      <c r="J29" s="4" t="str">
        <f t="shared" si="50"/>
        <v>EEI</v>
      </c>
      <c r="K29" s="101">
        <f t="shared" si="51"/>
        <v>3</v>
      </c>
      <c r="L29" s="101">
        <f>IF(NOT(ISERROR(VLOOKUP(B29,Deflatores!G$42:H$64,2,FALSE))),VLOOKUP(B29,Deflatores!G$42:H$64,2,FALSE),IF(OR(ISBLANK(C29),ISBLANK(B29)),"",VLOOKUP(C29,Deflatores!G$4:H$38,2,FALSE)*H29+VLOOKUP(C29,Deflatores!G$4:I$38,3,FALSE)))</f>
        <v>3</v>
      </c>
      <c r="M29" s="101" t="s">
        <v>45</v>
      </c>
      <c r="N29" s="101"/>
      <c r="O29" s="113"/>
    </row>
    <row r="30" spans="1:15" s="112" customFormat="1" x14ac:dyDescent="0.2">
      <c r="A30" s="109" t="s">
        <v>69</v>
      </c>
      <c r="B30" s="107" t="s">
        <v>49</v>
      </c>
      <c r="C30" s="107" t="s">
        <v>44</v>
      </c>
      <c r="D30" s="107">
        <v>6</v>
      </c>
      <c r="E30" s="110">
        <v>1</v>
      </c>
      <c r="F30" s="111" t="str">
        <f t="shared" si="46"/>
        <v>Baixa</v>
      </c>
      <c r="G30" s="111" t="str">
        <f t="shared" si="47"/>
        <v>CEL</v>
      </c>
      <c r="H30" s="4">
        <f t="shared" si="48"/>
        <v>3</v>
      </c>
      <c r="I30" s="100" t="str">
        <f t="shared" si="49"/>
        <v>L</v>
      </c>
      <c r="J30" s="4" t="str">
        <f t="shared" si="50"/>
        <v>CEI</v>
      </c>
      <c r="K30" s="101">
        <f t="shared" si="51"/>
        <v>3</v>
      </c>
      <c r="L30" s="101">
        <f>IF(NOT(ISERROR(VLOOKUP(B30,Deflatores!G$42:H$64,2,FALSE))),VLOOKUP(B30,Deflatores!G$42:H$64,2,FALSE),IF(OR(ISBLANK(C30),ISBLANK(B30)),"",VLOOKUP(C30,Deflatores!G$4:H$38,2,FALSE)*H30+VLOOKUP(C30,Deflatores!G$4:I$38,3,FALSE)))</f>
        <v>3</v>
      </c>
      <c r="M30" s="101" t="s">
        <v>45</v>
      </c>
      <c r="N30" s="111"/>
      <c r="O30" s="113"/>
    </row>
    <row r="31" spans="1:15" x14ac:dyDescent="0.2">
      <c r="A31" s="106" t="s">
        <v>70</v>
      </c>
      <c r="B31" s="107" t="s">
        <v>53</v>
      </c>
      <c r="C31" s="107" t="s">
        <v>44</v>
      </c>
      <c r="D31" s="107">
        <v>3</v>
      </c>
      <c r="E31" s="4">
        <v>1</v>
      </c>
      <c r="F31" s="101" t="str">
        <f t="shared" ref="F31" si="52">IF(ISBLANK(B31),"",IF(I31="L","Baixa",IF(I31="A","Média",IF(I31="","","Alta"))))</f>
        <v>Baixa</v>
      </c>
      <c r="G31" s="101" t="str">
        <f t="shared" ref="G31" si="53">CONCATENATE(B31,I31)</f>
        <v>EEL</v>
      </c>
      <c r="H31" s="4">
        <f t="shared" ref="H31" si="54">IF(ISBLANK(B31),"",IF(B31="ALI",IF(I31="L",7,IF(I31="A",10,15)),IF(B31="AIE",IF(I31="L",5,IF(I31="A",7,10)),IF(B31="SE",IF(I31="L",4,IF(I31="A",5,7)),IF(OR(B31="EE",B31="CE"),IF(I31="L",3,IF(I31="A",4,6)),0)))))</f>
        <v>3</v>
      </c>
      <c r="I31" s="100" t="str">
        <f t="shared" ref="I31" si="55">IF(OR(ISBLANK(D31),ISBLANK(E31)),IF(OR(B31="ALI",B31="AIE"),"L",IF(OR(B31="EE",B31="SE",B31="CE"),"A","")),IF(B31="EE",IF(E31&gt;=3,IF(D31&gt;=5,"H","A"),IF(E31&gt;=2,IF(D31&gt;=16,"H",IF(D31&lt;=4,"L","A")),IF(D31&lt;=15,"L","A"))),IF(OR(B31="SE",B31="CE"),IF(E31&gt;=4,IF(D31&gt;=6,"H","A"),IF(E31&gt;=2,IF(D31&gt;=20,"H",IF(D31&lt;=5,"L","A")),IF(D31&lt;=19,"L","A"))),IF(OR(B31="ALI",B31="AIE"),IF(E31&gt;=6,IF(D31&gt;=20,"H","A"),IF(E31&gt;=2,IF(D31&gt;=51,"H",IF(D31&lt;=19,"L","A")),IF(D31&lt;=50,"L","A"))),""))))</f>
        <v>L</v>
      </c>
      <c r="J31" s="4" t="str">
        <f t="shared" ref="J31" si="56">CONCATENATE(B31,C31)</f>
        <v>EEI</v>
      </c>
      <c r="K31" s="101">
        <f t="shared" ref="K31" si="57">IF(OR(H31="",H31=0),L31,H31)</f>
        <v>3</v>
      </c>
      <c r="L31" s="101">
        <f>IF(NOT(ISERROR(VLOOKUP(B31,Deflatores!G$42:H$64,2,FALSE))),VLOOKUP(B31,Deflatores!G$42:H$64,2,FALSE),IF(OR(ISBLANK(C31),ISBLANK(B31)),"",VLOOKUP(C31,Deflatores!G$4:H$38,2,FALSE)*H31+VLOOKUP(C31,Deflatores!G$4:I$38,3,FALSE)))</f>
        <v>3</v>
      </c>
      <c r="M31" s="101" t="s">
        <v>45</v>
      </c>
      <c r="N31" s="101"/>
      <c r="O31" s="113"/>
    </row>
    <row r="32" spans="1:15" x14ac:dyDescent="0.2">
      <c r="A32" s="106" t="s">
        <v>71</v>
      </c>
      <c r="B32" s="107" t="s">
        <v>53</v>
      </c>
      <c r="C32" s="107" t="s">
        <v>44</v>
      </c>
      <c r="D32" s="107">
        <v>3</v>
      </c>
      <c r="E32" s="4">
        <v>1</v>
      </c>
      <c r="F32" s="101" t="str">
        <f t="shared" si="46"/>
        <v>Baixa</v>
      </c>
      <c r="G32" s="101" t="str">
        <f t="shared" si="47"/>
        <v>EEL</v>
      </c>
      <c r="H32" s="4">
        <f t="shared" si="48"/>
        <v>3</v>
      </c>
      <c r="I32" s="100" t="str">
        <f t="shared" si="49"/>
        <v>L</v>
      </c>
      <c r="J32" s="4" t="str">
        <f t="shared" si="50"/>
        <v>EEI</v>
      </c>
      <c r="K32" s="101">
        <f t="shared" si="51"/>
        <v>3</v>
      </c>
      <c r="L32" s="101">
        <f>IF(NOT(ISERROR(VLOOKUP(B32,Deflatores!G$42:H$64,2,FALSE))),VLOOKUP(B32,Deflatores!G$42:H$64,2,FALSE),IF(OR(ISBLANK(C32),ISBLANK(B32)),"",VLOOKUP(C32,Deflatores!G$4:H$38,2,FALSE)*H32+VLOOKUP(C32,Deflatores!G$4:I$38,3,FALSE)))</f>
        <v>3</v>
      </c>
      <c r="M32" s="101" t="s">
        <v>45</v>
      </c>
      <c r="N32" s="101"/>
      <c r="O32" s="113"/>
    </row>
    <row r="33" spans="1:15" x14ac:dyDescent="0.2">
      <c r="A33" s="106" t="s">
        <v>72</v>
      </c>
      <c r="B33" s="107" t="s">
        <v>53</v>
      </c>
      <c r="C33" s="107" t="s">
        <v>44</v>
      </c>
      <c r="D33" s="107">
        <v>4</v>
      </c>
      <c r="E33" s="4">
        <v>1</v>
      </c>
      <c r="F33" s="101" t="str">
        <f t="shared" si="46"/>
        <v>Baixa</v>
      </c>
      <c r="G33" s="101" t="str">
        <f t="shared" si="47"/>
        <v>EEL</v>
      </c>
      <c r="H33" s="4">
        <f t="shared" si="48"/>
        <v>3</v>
      </c>
      <c r="I33" s="100" t="str">
        <f t="shared" si="49"/>
        <v>L</v>
      </c>
      <c r="J33" s="4" t="str">
        <f t="shared" si="50"/>
        <v>EEI</v>
      </c>
      <c r="K33" s="101">
        <f t="shared" si="51"/>
        <v>3</v>
      </c>
      <c r="L33" s="101">
        <f>IF(NOT(ISERROR(VLOOKUP(B33,Deflatores!G$42:H$64,2,FALSE))),VLOOKUP(B33,Deflatores!G$42:H$64,2,FALSE),IF(OR(ISBLANK(C33),ISBLANK(B33)),"",VLOOKUP(C33,Deflatores!G$4:H$38,2,FALSE)*H33+VLOOKUP(C33,Deflatores!G$4:I$38,3,FALSE)))</f>
        <v>3</v>
      </c>
      <c r="M33" s="101" t="s">
        <v>45</v>
      </c>
      <c r="N33" s="101"/>
      <c r="O33" s="113"/>
    </row>
    <row r="34" spans="1:15" x14ac:dyDescent="0.2">
      <c r="A34" s="106" t="s">
        <v>73</v>
      </c>
      <c r="B34" s="107" t="s">
        <v>49</v>
      </c>
      <c r="C34" s="107" t="s">
        <v>44</v>
      </c>
      <c r="D34" s="4">
        <v>18</v>
      </c>
      <c r="E34" s="4">
        <v>4</v>
      </c>
      <c r="F34" s="101" t="str">
        <f t="shared" ref="F34:F36" si="58">IF(ISBLANK(B34),"",IF(I34="L","Baixa",IF(I34="A","Média",IF(I34="","","Alta"))))</f>
        <v>Alta</v>
      </c>
      <c r="G34" s="101" t="str">
        <f t="shared" si="47"/>
        <v>CEH</v>
      </c>
      <c r="H34" s="4">
        <f t="shared" si="48"/>
        <v>6</v>
      </c>
      <c r="I34" s="100" t="str">
        <f t="shared" si="49"/>
        <v>H</v>
      </c>
      <c r="J34" s="4" t="str">
        <f t="shared" si="50"/>
        <v>CEI</v>
      </c>
      <c r="K34" s="101">
        <f t="shared" si="51"/>
        <v>6</v>
      </c>
      <c r="L34" s="101">
        <f>IF(NOT(ISERROR(VLOOKUP(B34,Deflatores!G$42:H$64,2,FALSE))),VLOOKUP(B34,Deflatores!G$42:H$64,2,FALSE),IF(OR(ISBLANK(C34),ISBLANK(B34)),"",VLOOKUP(C34,Deflatores!G$4:H$38,2,FALSE)*H34+VLOOKUP(C34,Deflatores!G$4:I$38,3,FALSE)))</f>
        <v>6</v>
      </c>
      <c r="M34" s="101" t="s">
        <v>45</v>
      </c>
      <c r="N34" s="101"/>
      <c r="O34" s="113"/>
    </row>
    <row r="35" spans="1:15" x14ac:dyDescent="0.2">
      <c r="A35" s="109" t="s">
        <v>74</v>
      </c>
      <c r="B35" s="107" t="s">
        <v>49</v>
      </c>
      <c r="C35" s="107" t="s">
        <v>44</v>
      </c>
      <c r="D35" s="107">
        <v>18</v>
      </c>
      <c r="E35" s="4">
        <v>1</v>
      </c>
      <c r="F35" s="101" t="str">
        <f t="shared" si="58"/>
        <v>Baixa</v>
      </c>
      <c r="G35" s="101" t="str">
        <f t="shared" si="47"/>
        <v>CEL</v>
      </c>
      <c r="H35" s="4">
        <f t="shared" si="48"/>
        <v>3</v>
      </c>
      <c r="I35" s="100" t="str">
        <f t="shared" si="49"/>
        <v>L</v>
      </c>
      <c r="J35" s="4" t="str">
        <f t="shared" si="50"/>
        <v>CEI</v>
      </c>
      <c r="K35" s="101">
        <f t="shared" si="51"/>
        <v>3</v>
      </c>
      <c r="L35" s="101">
        <f>IF(NOT(ISERROR(VLOOKUP(B35,Deflatores!G$42:H$64,2,FALSE))),VLOOKUP(B35,Deflatores!G$42:H$64,2,FALSE),IF(OR(ISBLANK(C35),ISBLANK(B35)),"",VLOOKUP(C35,Deflatores!G$4:H$38,2,FALSE)*H35+VLOOKUP(C35,Deflatores!G$4:I$38,3,FALSE)))</f>
        <v>3</v>
      </c>
      <c r="M35" s="101" t="s">
        <v>45</v>
      </c>
      <c r="N35" s="101"/>
      <c r="O35" s="113"/>
    </row>
    <row r="36" spans="1:15" x14ac:dyDescent="0.2">
      <c r="A36" s="109" t="s">
        <v>75</v>
      </c>
      <c r="B36" s="107" t="s">
        <v>49</v>
      </c>
      <c r="C36" s="107" t="s">
        <v>44</v>
      </c>
      <c r="D36" s="107">
        <v>8</v>
      </c>
      <c r="E36" s="4">
        <v>1</v>
      </c>
      <c r="F36" s="101" t="str">
        <f t="shared" si="58"/>
        <v>Baixa</v>
      </c>
      <c r="G36" s="101" t="str">
        <f t="shared" si="47"/>
        <v>CEL</v>
      </c>
      <c r="H36" s="4">
        <f t="shared" si="48"/>
        <v>3</v>
      </c>
      <c r="I36" s="100" t="str">
        <f t="shared" si="49"/>
        <v>L</v>
      </c>
      <c r="J36" s="4" t="str">
        <f t="shared" si="50"/>
        <v>CEI</v>
      </c>
      <c r="K36" s="101">
        <f t="shared" si="51"/>
        <v>3</v>
      </c>
      <c r="L36" s="101">
        <f>IF(NOT(ISERROR(VLOOKUP(B36,Deflatores!G$42:H$64,2,FALSE))),VLOOKUP(B36,Deflatores!G$42:H$64,2,FALSE),IF(OR(ISBLANK(C36),ISBLANK(B36)),"",VLOOKUP(C36,Deflatores!G$4:H$38,2,FALSE)*H36+VLOOKUP(C36,Deflatores!G$4:I$38,3,FALSE)))</f>
        <v>3</v>
      </c>
      <c r="M36" s="101" t="s">
        <v>45</v>
      </c>
      <c r="N36" s="101"/>
      <c r="O36" s="113"/>
    </row>
    <row r="37" spans="1:15" x14ac:dyDescent="0.2">
      <c r="A37" s="106" t="s">
        <v>76</v>
      </c>
      <c r="B37" s="107" t="s">
        <v>53</v>
      </c>
      <c r="C37" s="107" t="s">
        <v>44</v>
      </c>
      <c r="D37" s="107">
        <v>6</v>
      </c>
      <c r="E37" s="4">
        <v>1</v>
      </c>
      <c r="F37" s="101" t="str">
        <f>IF(ISBLANK(B37),"",IF(I37="L","Baixa",IF(I37="A","Média",IF(I37="","","Alta"))))</f>
        <v>Baixa</v>
      </c>
      <c r="G37" s="101" t="str">
        <f t="shared" si="47"/>
        <v>EEL</v>
      </c>
      <c r="H37" s="4">
        <f t="shared" si="48"/>
        <v>3</v>
      </c>
      <c r="I37" s="100" t="str">
        <f t="shared" si="49"/>
        <v>L</v>
      </c>
      <c r="J37" s="4" t="str">
        <f t="shared" si="50"/>
        <v>EEI</v>
      </c>
      <c r="K37" s="101">
        <f t="shared" si="51"/>
        <v>3</v>
      </c>
      <c r="L37" s="101">
        <f>IF(NOT(ISERROR(VLOOKUP(B37,Deflatores!G$42:H$64,2,FALSE))),VLOOKUP(B37,Deflatores!G$42:H$64,2,FALSE),IF(OR(ISBLANK(C37),ISBLANK(B37)),"",VLOOKUP(C37,Deflatores!G$4:H$38,2,FALSE)*H37+VLOOKUP(C37,Deflatores!G$4:I$38,3,FALSE)))</f>
        <v>3</v>
      </c>
      <c r="M37" s="101" t="s">
        <v>45</v>
      </c>
      <c r="N37" s="101"/>
      <c r="O37" s="113"/>
    </row>
    <row r="38" spans="1:15" x14ac:dyDescent="0.2">
      <c r="A38" s="106"/>
      <c r="B38" s="107"/>
      <c r="C38" s="107"/>
      <c r="D38" s="4"/>
      <c r="E38" s="4"/>
      <c r="F38" s="101" t="str">
        <f>IF(ISBLANK(B38),"",IF(I38="L","Baixa",IF(I38="A","Média",IF(I38="","","Alta"))))</f>
        <v/>
      </c>
      <c r="G38" s="101" t="str">
        <f t="shared" si="47"/>
        <v/>
      </c>
      <c r="H38" s="4" t="str">
        <f t="shared" si="48"/>
        <v/>
      </c>
      <c r="I38" s="100" t="str">
        <f t="shared" si="49"/>
        <v/>
      </c>
      <c r="J38" s="4" t="str">
        <f t="shared" si="50"/>
        <v/>
      </c>
      <c r="K38" s="101" t="str">
        <f t="shared" si="51"/>
        <v/>
      </c>
      <c r="L38" s="101" t="str">
        <f>IF(NOT(ISERROR(VLOOKUP(B38,Deflatores!G$42:H$64,2,FALSE))),VLOOKUP(B38,Deflatores!G$42:H$64,2,FALSE),IF(OR(ISBLANK(C38),ISBLANK(B38)),"",VLOOKUP(C38,Deflatores!G$4:H$38,2,FALSE)*H38+VLOOKUP(C38,Deflatores!G$4:I$38,3,FALSE)))</f>
        <v/>
      </c>
      <c r="M38" s="101"/>
      <c r="N38" s="101"/>
      <c r="O38" s="113"/>
    </row>
    <row r="39" spans="1:15" x14ac:dyDescent="0.2">
      <c r="A39" s="108" t="s">
        <v>293</v>
      </c>
      <c r="B39" s="107"/>
      <c r="C39" s="107"/>
      <c r="D39" s="4"/>
      <c r="E39" s="4"/>
      <c r="F39" s="101" t="str">
        <f t="shared" ref="F39:F46" si="59">IF(ISBLANK(B39),"",IF(I39="L","Baixa",IF(I39="A","Média",IF(I39="","","Alta"))))</f>
        <v/>
      </c>
      <c r="G39" s="101" t="str">
        <f t="shared" ref="G39:G46" si="60">CONCATENATE(B39,I39)</f>
        <v/>
      </c>
      <c r="H39" s="4" t="str">
        <f t="shared" ref="H39:H46" si="61">IF(ISBLANK(B39),"",IF(B39="ALI",IF(I39="L",7,IF(I39="A",10,15)),IF(B39="AIE",IF(I39="L",5,IF(I39="A",7,10)),IF(B39="SE",IF(I39="L",4,IF(I39="A",5,7)),IF(OR(B39="EE",B39="CE"),IF(I39="L",3,IF(I39="A",4,6)),0)))))</f>
        <v/>
      </c>
      <c r="I39" s="100" t="str">
        <f t="shared" ref="I39:I46" si="62">IF(OR(ISBLANK(D39),ISBLANK(E39)),IF(OR(B39="ALI",B39="AIE"),"L",IF(OR(B39="EE",B39="SE",B39="CE"),"A","")),IF(B39="EE",IF(E39&gt;=3,IF(D39&gt;=5,"H","A"),IF(E39&gt;=2,IF(D39&gt;=16,"H",IF(D39&lt;=4,"L","A")),IF(D39&lt;=15,"L","A"))),IF(OR(B39="SE",B39="CE"),IF(E39&gt;=4,IF(D39&gt;=6,"H","A"),IF(E39&gt;=2,IF(D39&gt;=20,"H",IF(D39&lt;=5,"L","A")),IF(D39&lt;=19,"L","A"))),IF(OR(B39="ALI",B39="AIE"),IF(E39&gt;=6,IF(D39&gt;=20,"H","A"),IF(E39&gt;=2,IF(D39&gt;=51,"H",IF(D39&lt;=19,"L","A")),IF(D39&lt;=50,"L","A"))),""))))</f>
        <v/>
      </c>
      <c r="J39" s="4" t="str">
        <f t="shared" ref="J39:J46" si="63">CONCATENATE(B39,C39)</f>
        <v/>
      </c>
      <c r="K39" s="101" t="str">
        <f t="shared" ref="K39:K46" si="64">IF(OR(H39="",H39=0),L39,H39)</f>
        <v/>
      </c>
      <c r="L39" s="101" t="str">
        <f>IF(NOT(ISERROR(VLOOKUP(B39,Deflatores!G$42:H$64,2,FALSE))),VLOOKUP(B39,Deflatores!G$42:H$64,2,FALSE),IF(OR(ISBLANK(C39),ISBLANK(B39)),"",VLOOKUP(C39,Deflatores!G$4:H$38,2,FALSE)*H39+VLOOKUP(C39,Deflatores!G$4:I$38,3,FALSE)))</f>
        <v/>
      </c>
      <c r="M39" s="101"/>
      <c r="N39" s="101"/>
      <c r="O39" s="113"/>
    </row>
    <row r="40" spans="1:15" x14ac:dyDescent="0.2">
      <c r="A40" s="106" t="s">
        <v>77</v>
      </c>
      <c r="B40" s="107" t="s">
        <v>43</v>
      </c>
      <c r="C40" s="107" t="s">
        <v>44</v>
      </c>
      <c r="D40" s="4">
        <v>36</v>
      </c>
      <c r="E40" s="4">
        <v>1</v>
      </c>
      <c r="F40" s="101" t="str">
        <f t="shared" si="59"/>
        <v>Baixa</v>
      </c>
      <c r="G40" s="101" t="str">
        <f t="shared" si="60"/>
        <v>ALIL</v>
      </c>
      <c r="H40" s="4">
        <f t="shared" si="61"/>
        <v>7</v>
      </c>
      <c r="I40" s="100" t="str">
        <f t="shared" si="62"/>
        <v>L</v>
      </c>
      <c r="J40" s="4" t="str">
        <f t="shared" si="63"/>
        <v>ALII</v>
      </c>
      <c r="K40" s="101">
        <f t="shared" si="64"/>
        <v>7</v>
      </c>
      <c r="L40" s="101">
        <f>IF(NOT(ISERROR(VLOOKUP(B40,Deflatores!G$42:H$64,2,FALSE))),VLOOKUP(B40,Deflatores!G$42:H$64,2,FALSE),IF(OR(ISBLANK(C40),ISBLANK(B40)),"",VLOOKUP(C40,Deflatores!G$4:H$38,2,FALSE)*H40+VLOOKUP(C40,Deflatores!G$4:I$38,3,FALSE)))</f>
        <v>7</v>
      </c>
      <c r="M40" s="101" t="s">
        <v>45</v>
      </c>
      <c r="N40" s="101"/>
      <c r="O40" s="114"/>
    </row>
    <row r="41" spans="1:15" x14ac:dyDescent="0.2">
      <c r="A41" s="106" t="s">
        <v>78</v>
      </c>
      <c r="B41" s="107" t="s">
        <v>47</v>
      </c>
      <c r="C41" s="107" t="s">
        <v>44</v>
      </c>
      <c r="D41" s="107">
        <v>2</v>
      </c>
      <c r="E41" s="107">
        <v>1</v>
      </c>
      <c r="F41" s="101" t="str">
        <f t="shared" ref="F41" si="65">IF(ISBLANK(B41),"",IF(I41="L","Baixa",IF(I41="A","Média",IF(I41="","","Alta"))))</f>
        <v>Baixa</v>
      </c>
      <c r="G41" s="101" t="str">
        <f t="shared" ref="G41" si="66">CONCATENATE(B41,I41)</f>
        <v>AIEL</v>
      </c>
      <c r="H41" s="4">
        <f t="shared" ref="H41" si="67">IF(ISBLANK(B41),"",IF(B41="ALI",IF(I41="L",7,IF(I41="A",10,15)),IF(B41="AIE",IF(I41="L",5,IF(I41="A",7,10)),IF(B41="SE",IF(I41="L",4,IF(I41="A",5,7)),IF(OR(B41="EE",B41="CE"),IF(I41="L",3,IF(I41="A",4,6)),0)))))</f>
        <v>5</v>
      </c>
      <c r="I41" s="100" t="str">
        <f t="shared" ref="I41" si="68">IF(OR(ISBLANK(D41),ISBLANK(E41)),IF(OR(B41="ALI",B41="AIE"),"L",IF(OR(B41="EE",B41="SE",B41="CE"),"A","")),IF(B41="EE",IF(E41&gt;=3,IF(D41&gt;=5,"H","A"),IF(E41&gt;=2,IF(D41&gt;=16,"H",IF(D41&lt;=4,"L","A")),IF(D41&lt;=15,"L","A"))),IF(OR(B41="SE",B41="CE"),IF(E41&gt;=4,IF(D41&gt;=6,"H","A"),IF(E41&gt;=2,IF(D41&gt;=20,"H",IF(D41&lt;=5,"L","A")),IF(D41&lt;=19,"L","A"))),IF(OR(B41="ALI",B41="AIE"),IF(E41&gt;=6,IF(D41&gt;=20,"H","A"),IF(E41&gt;=2,IF(D41&gt;=51,"H",IF(D41&lt;=19,"L","A")),IF(D41&lt;=50,"L","A"))),""))))</f>
        <v>L</v>
      </c>
      <c r="J41" s="4" t="str">
        <f t="shared" ref="J41" si="69">CONCATENATE(B41,C41)</f>
        <v>AIEI</v>
      </c>
      <c r="K41" s="101">
        <f t="shared" ref="K41" si="70">IF(OR(H41="",H41=0),L41,H41)</f>
        <v>5</v>
      </c>
      <c r="L41" s="101">
        <f>IF(NOT(ISERROR(VLOOKUP(B41,Deflatores!G$42:H$64,2,FALSE))),VLOOKUP(B41,Deflatores!G$42:H$64,2,FALSE),IF(OR(ISBLANK(C41),ISBLANK(B41)),"",VLOOKUP(C41,Deflatores!G$4:H$38,2,FALSE)*H41+VLOOKUP(C41,Deflatores!G$4:I$38,3,FALSE)))</f>
        <v>5</v>
      </c>
      <c r="M41" s="101" t="s">
        <v>45</v>
      </c>
      <c r="N41" s="101"/>
      <c r="O41" s="113"/>
    </row>
    <row r="42" spans="1:15" x14ac:dyDescent="0.2">
      <c r="A42" s="106" t="s">
        <v>313</v>
      </c>
      <c r="B42" s="107" t="s">
        <v>49</v>
      </c>
      <c r="C42" s="107" t="s">
        <v>44</v>
      </c>
      <c r="D42" s="4">
        <v>13</v>
      </c>
      <c r="E42" s="4">
        <v>4</v>
      </c>
      <c r="F42" s="101" t="str">
        <f t="shared" si="59"/>
        <v>Alta</v>
      </c>
      <c r="G42" s="101" t="str">
        <f t="shared" si="60"/>
        <v>CEH</v>
      </c>
      <c r="H42" s="4">
        <f t="shared" si="61"/>
        <v>6</v>
      </c>
      <c r="I42" s="100" t="str">
        <f t="shared" si="62"/>
        <v>H</v>
      </c>
      <c r="J42" s="4" t="str">
        <f t="shared" si="63"/>
        <v>CEI</v>
      </c>
      <c r="K42" s="101">
        <f t="shared" si="64"/>
        <v>6</v>
      </c>
      <c r="L42" s="101">
        <f>IF(NOT(ISERROR(VLOOKUP(B42,Deflatores!G$42:H$64,2,FALSE))),VLOOKUP(B42,Deflatores!G$42:H$64,2,FALSE),IF(OR(ISBLANK(C42),ISBLANK(B42)),"",VLOOKUP(C42,Deflatores!G$4:H$38,2,FALSE)*H42+VLOOKUP(C42,Deflatores!G$4:I$38,3,FALSE)))</f>
        <v>6</v>
      </c>
      <c r="M42" s="101" t="s">
        <v>45</v>
      </c>
      <c r="N42" s="101"/>
      <c r="O42" s="114"/>
    </row>
    <row r="43" spans="1:15" x14ac:dyDescent="0.2">
      <c r="A43" s="106" t="s">
        <v>79</v>
      </c>
      <c r="B43" s="107" t="s">
        <v>49</v>
      </c>
      <c r="C43" s="107" t="s">
        <v>44</v>
      </c>
      <c r="D43" s="4">
        <v>13</v>
      </c>
      <c r="E43" s="4">
        <v>4</v>
      </c>
      <c r="F43" s="101" t="str">
        <f t="shared" ref="F43" si="71">IF(ISBLANK(B43),"",IF(I43="L","Baixa",IF(I43="A","Média",IF(I43="","","Alta"))))</f>
        <v>Alta</v>
      </c>
      <c r="G43" s="101" t="str">
        <f t="shared" ref="G43" si="72">CONCATENATE(B43,I43)</f>
        <v>CEH</v>
      </c>
      <c r="H43" s="4">
        <f t="shared" ref="H43" si="73">IF(ISBLANK(B43),"",IF(B43="ALI",IF(I43="L",7,IF(I43="A",10,15)),IF(B43="AIE",IF(I43="L",5,IF(I43="A",7,10)),IF(B43="SE",IF(I43="L",4,IF(I43="A",5,7)),IF(OR(B43="EE",B43="CE"),IF(I43="L",3,IF(I43="A",4,6)),0)))))</f>
        <v>6</v>
      </c>
      <c r="I43" s="100" t="str">
        <f t="shared" ref="I43" si="74">IF(OR(ISBLANK(D43),ISBLANK(E43)),IF(OR(B43="ALI",B43="AIE"),"L",IF(OR(B43="EE",B43="SE",B43="CE"),"A","")),IF(B43="EE",IF(E43&gt;=3,IF(D43&gt;=5,"H","A"),IF(E43&gt;=2,IF(D43&gt;=16,"H",IF(D43&lt;=4,"L","A")),IF(D43&lt;=15,"L","A"))),IF(OR(B43="SE",B43="CE"),IF(E43&gt;=4,IF(D43&gt;=6,"H","A"),IF(E43&gt;=2,IF(D43&gt;=20,"H",IF(D43&lt;=5,"L","A")),IF(D43&lt;=19,"L","A"))),IF(OR(B43="ALI",B43="AIE"),IF(E43&gt;=6,IF(D43&gt;=20,"H","A"),IF(E43&gt;=2,IF(D43&gt;=51,"H",IF(D43&lt;=19,"L","A")),IF(D43&lt;=50,"L","A"))),""))))</f>
        <v>H</v>
      </c>
      <c r="J43" s="4" t="str">
        <f t="shared" ref="J43" si="75">CONCATENATE(B43,C43)</f>
        <v>CEI</v>
      </c>
      <c r="K43" s="101">
        <f t="shared" ref="K43" si="76">IF(OR(H43="",H43=0),L43,H43)</f>
        <v>6</v>
      </c>
      <c r="L43" s="101">
        <f>IF(NOT(ISERROR(VLOOKUP(B43,Deflatores!G$42:H$64,2,FALSE))),VLOOKUP(B43,Deflatores!G$42:H$64,2,FALSE),IF(OR(ISBLANK(C43),ISBLANK(B43)),"",VLOOKUP(C43,Deflatores!G$4:H$38,2,FALSE)*H43+VLOOKUP(C43,Deflatores!G$4:I$38,3,FALSE)))</f>
        <v>6</v>
      </c>
      <c r="M43" s="101" t="s">
        <v>45</v>
      </c>
      <c r="N43" s="101"/>
      <c r="O43" s="113"/>
    </row>
    <row r="44" spans="1:15" x14ac:dyDescent="0.2">
      <c r="A44" s="106" t="s">
        <v>80</v>
      </c>
      <c r="B44" s="107" t="s">
        <v>53</v>
      </c>
      <c r="C44" s="107" t="s">
        <v>44</v>
      </c>
      <c r="D44" s="107">
        <v>4</v>
      </c>
      <c r="E44" s="4">
        <v>1</v>
      </c>
      <c r="F44" s="101" t="str">
        <f t="shared" si="59"/>
        <v>Baixa</v>
      </c>
      <c r="G44" s="101" t="str">
        <f t="shared" si="60"/>
        <v>EEL</v>
      </c>
      <c r="H44" s="4">
        <f t="shared" si="61"/>
        <v>3</v>
      </c>
      <c r="I44" s="100" t="str">
        <f t="shared" si="62"/>
        <v>L</v>
      </c>
      <c r="J44" s="4" t="str">
        <f t="shared" si="63"/>
        <v>EEI</v>
      </c>
      <c r="K44" s="101">
        <f t="shared" si="64"/>
        <v>3</v>
      </c>
      <c r="L44" s="101">
        <f>IF(NOT(ISERROR(VLOOKUP(B44,Deflatores!G$42:H$64,2,FALSE))),VLOOKUP(B44,Deflatores!G$42:H$64,2,FALSE),IF(OR(ISBLANK(C44),ISBLANK(B44)),"",VLOOKUP(C44,Deflatores!G$4:H$38,2,FALSE)*H44+VLOOKUP(C44,Deflatores!G$4:I$38,3,FALSE)))</f>
        <v>3</v>
      </c>
      <c r="M44" s="101" t="s">
        <v>45</v>
      </c>
      <c r="N44" s="101"/>
      <c r="O44" s="113"/>
    </row>
    <row r="45" spans="1:15" x14ac:dyDescent="0.2">
      <c r="A45" s="106" t="s">
        <v>81</v>
      </c>
      <c r="B45" s="107" t="s">
        <v>53</v>
      </c>
      <c r="C45" s="107" t="s">
        <v>44</v>
      </c>
      <c r="D45" s="4">
        <v>36</v>
      </c>
      <c r="E45" s="4">
        <v>2</v>
      </c>
      <c r="F45" s="101" t="str">
        <f t="shared" si="59"/>
        <v>Alta</v>
      </c>
      <c r="G45" s="101" t="str">
        <f t="shared" si="60"/>
        <v>EEH</v>
      </c>
      <c r="H45" s="4">
        <f t="shared" si="61"/>
        <v>6</v>
      </c>
      <c r="I45" s="100" t="str">
        <f t="shared" si="62"/>
        <v>H</v>
      </c>
      <c r="J45" s="4" t="str">
        <f t="shared" si="63"/>
        <v>EEI</v>
      </c>
      <c r="K45" s="101">
        <f t="shared" si="64"/>
        <v>6</v>
      </c>
      <c r="L45" s="101">
        <f>IF(NOT(ISERROR(VLOOKUP(B45,Deflatores!G$42:H$64,2,FALSE))),VLOOKUP(B45,Deflatores!G$42:H$64,2,FALSE),IF(OR(ISBLANK(C45),ISBLANK(B45)),"",VLOOKUP(C45,Deflatores!G$4:H$38,2,FALSE)*H45+VLOOKUP(C45,Deflatores!G$4:I$38,3,FALSE)))</f>
        <v>6</v>
      </c>
      <c r="M45" s="101" t="s">
        <v>45</v>
      </c>
      <c r="N45" s="101"/>
      <c r="O45" s="113"/>
    </row>
    <row r="46" spans="1:15" x14ac:dyDescent="0.2">
      <c r="A46" s="106" t="s">
        <v>82</v>
      </c>
      <c r="B46" s="107" t="s">
        <v>53</v>
      </c>
      <c r="C46" s="107" t="s">
        <v>44</v>
      </c>
      <c r="D46" s="107">
        <v>4</v>
      </c>
      <c r="E46" s="4">
        <v>1</v>
      </c>
      <c r="F46" s="101" t="str">
        <f t="shared" si="59"/>
        <v>Baixa</v>
      </c>
      <c r="G46" s="101" t="str">
        <f t="shared" si="60"/>
        <v>EEL</v>
      </c>
      <c r="H46" s="4">
        <f t="shared" si="61"/>
        <v>3</v>
      </c>
      <c r="I46" s="100" t="str">
        <f t="shared" si="62"/>
        <v>L</v>
      </c>
      <c r="J46" s="4" t="str">
        <f t="shared" si="63"/>
        <v>EEI</v>
      </c>
      <c r="K46" s="101">
        <f t="shared" si="64"/>
        <v>3</v>
      </c>
      <c r="L46" s="101">
        <f>IF(NOT(ISERROR(VLOOKUP(B46,Deflatores!G$42:H$64,2,FALSE))),VLOOKUP(B46,Deflatores!G$42:H$64,2,FALSE),IF(OR(ISBLANK(C46),ISBLANK(B46)),"",VLOOKUP(C46,Deflatores!G$4:H$38,2,FALSE)*H46+VLOOKUP(C46,Deflatores!G$4:I$38,3,FALSE)))</f>
        <v>3</v>
      </c>
      <c r="M46" s="101" t="s">
        <v>45</v>
      </c>
      <c r="N46" s="101"/>
      <c r="O46" s="113"/>
    </row>
    <row r="47" spans="1:15" x14ac:dyDescent="0.2">
      <c r="A47" s="106" t="s">
        <v>83</v>
      </c>
      <c r="B47" s="107" t="s">
        <v>53</v>
      </c>
      <c r="C47" s="107" t="s">
        <v>44</v>
      </c>
      <c r="D47" s="107">
        <v>34</v>
      </c>
      <c r="E47" s="4">
        <v>2</v>
      </c>
      <c r="F47" s="101" t="str">
        <f t="shared" ref="F47" si="77">IF(ISBLANK(B47),"",IF(I47="L","Baixa",IF(I47="A","Média",IF(I47="","","Alta"))))</f>
        <v>Alta</v>
      </c>
      <c r="G47" s="101" t="str">
        <f t="shared" ref="G47" si="78">CONCATENATE(B47,I47)</f>
        <v>EEH</v>
      </c>
      <c r="H47" s="4">
        <f t="shared" ref="H47" si="79">IF(ISBLANK(B47),"",IF(B47="ALI",IF(I47="L",7,IF(I47="A",10,15)),IF(B47="AIE",IF(I47="L",5,IF(I47="A",7,10)),IF(B47="SE",IF(I47="L",4,IF(I47="A",5,7)),IF(OR(B47="EE",B47="CE"),IF(I47="L",3,IF(I47="A",4,6)),0)))))</f>
        <v>6</v>
      </c>
      <c r="I47" s="100" t="str">
        <f t="shared" ref="I47" si="80">IF(OR(ISBLANK(D47),ISBLANK(E47)),IF(OR(B47="ALI",B47="AIE"),"L",IF(OR(B47="EE",B47="SE",B47="CE"),"A","")),IF(B47="EE",IF(E47&gt;=3,IF(D47&gt;=5,"H","A"),IF(E47&gt;=2,IF(D47&gt;=16,"H",IF(D47&lt;=4,"L","A")),IF(D47&lt;=15,"L","A"))),IF(OR(B47="SE",B47="CE"),IF(E47&gt;=4,IF(D47&gt;=6,"H","A"),IF(E47&gt;=2,IF(D47&gt;=20,"H",IF(D47&lt;=5,"L","A")),IF(D47&lt;=19,"L","A"))),IF(OR(B47="ALI",B47="AIE"),IF(E47&gt;=6,IF(D47&gt;=20,"H","A"),IF(E47&gt;=2,IF(D47&gt;=51,"H",IF(D47&lt;=19,"L","A")),IF(D47&lt;=50,"L","A"))),""))))</f>
        <v>H</v>
      </c>
      <c r="J47" s="4" t="str">
        <f t="shared" ref="J47" si="81">CONCATENATE(B47,C47)</f>
        <v>EEI</v>
      </c>
      <c r="K47" s="101">
        <f t="shared" ref="K47" si="82">IF(OR(H47="",H47=0),L47,H47)</f>
        <v>6</v>
      </c>
      <c r="L47" s="101">
        <f>IF(NOT(ISERROR(VLOOKUP(B47,Deflatores!G$42:H$64,2,FALSE))),VLOOKUP(B47,Deflatores!G$42:H$64,2,FALSE),IF(OR(ISBLANK(C47),ISBLANK(B47)),"",VLOOKUP(C47,Deflatores!G$4:H$38,2,FALSE)*H47+VLOOKUP(C47,Deflatores!G$4:I$38,3,FALSE)))</f>
        <v>6</v>
      </c>
      <c r="M47" s="101" t="s">
        <v>45</v>
      </c>
      <c r="N47" s="101"/>
      <c r="O47" s="113"/>
    </row>
    <row r="48" spans="1:15" x14ac:dyDescent="0.2">
      <c r="A48" s="109" t="s">
        <v>84</v>
      </c>
      <c r="B48" s="107" t="s">
        <v>49</v>
      </c>
      <c r="C48" s="107" t="s">
        <v>44</v>
      </c>
      <c r="D48" s="4">
        <v>32</v>
      </c>
      <c r="E48" s="4">
        <v>2</v>
      </c>
      <c r="F48" s="101" t="str">
        <f t="shared" ref="F48" si="83">IF(ISBLANK(B48),"",IF(I48="L","Baixa",IF(I48="A","Média",IF(I48="","","Alta"))))</f>
        <v>Alta</v>
      </c>
      <c r="G48" s="101" t="str">
        <f t="shared" ref="G48" si="84">CONCATENATE(B48,I48)</f>
        <v>CEH</v>
      </c>
      <c r="H48" s="4">
        <f t="shared" ref="H48" si="85">IF(ISBLANK(B48),"",IF(B48="ALI",IF(I48="L",7,IF(I48="A",10,15)),IF(B48="AIE",IF(I48="L",5,IF(I48="A",7,10)),IF(B48="SE",IF(I48="L",4,IF(I48="A",5,7)),IF(OR(B48="EE",B48="CE"),IF(I48="L",3,IF(I48="A",4,6)),0)))))</f>
        <v>6</v>
      </c>
      <c r="I48" s="100" t="str">
        <f t="shared" ref="I48" si="86">IF(OR(ISBLANK(D48),ISBLANK(E48)),IF(OR(B48="ALI",B48="AIE"),"L",IF(OR(B48="EE",B48="SE",B48="CE"),"A","")),IF(B48="EE",IF(E48&gt;=3,IF(D48&gt;=5,"H","A"),IF(E48&gt;=2,IF(D48&gt;=16,"H",IF(D48&lt;=4,"L","A")),IF(D48&lt;=15,"L","A"))),IF(OR(B48="SE",B48="CE"),IF(E48&gt;=4,IF(D48&gt;=6,"H","A"),IF(E48&gt;=2,IF(D48&gt;=20,"H",IF(D48&lt;=5,"L","A")),IF(D48&lt;=19,"L","A"))),IF(OR(B48="ALI",B48="AIE"),IF(E48&gt;=6,IF(D48&gt;=20,"H","A"),IF(E48&gt;=2,IF(D48&gt;=51,"H",IF(D48&lt;=19,"L","A")),IF(D48&lt;=50,"L","A"))),""))))</f>
        <v>H</v>
      </c>
      <c r="J48" s="4" t="str">
        <f t="shared" ref="J48" si="87">CONCATENATE(B48,C48)</f>
        <v>CEI</v>
      </c>
      <c r="K48" s="101">
        <f t="shared" ref="K48" si="88">IF(OR(H48="",H48=0),L48,H48)</f>
        <v>6</v>
      </c>
      <c r="L48" s="101">
        <f>IF(NOT(ISERROR(VLOOKUP(B48,Deflatores!G$42:H$64,2,FALSE))),VLOOKUP(B48,Deflatores!G$42:H$64,2,FALSE),IF(OR(ISBLANK(C48),ISBLANK(B48)),"",VLOOKUP(C48,Deflatores!G$4:H$38,2,FALSE)*H48+VLOOKUP(C48,Deflatores!G$4:I$38,3,FALSE)))</f>
        <v>6</v>
      </c>
      <c r="M48" s="101" t="s">
        <v>45</v>
      </c>
      <c r="N48" s="101"/>
      <c r="O48" s="113"/>
    </row>
    <row r="49" spans="1:15" x14ac:dyDescent="0.2">
      <c r="A49" s="106" t="s">
        <v>85</v>
      </c>
      <c r="B49" s="107" t="s">
        <v>49</v>
      </c>
      <c r="C49" s="107" t="s">
        <v>44</v>
      </c>
      <c r="D49" s="107">
        <v>3</v>
      </c>
      <c r="E49" s="107">
        <v>1</v>
      </c>
      <c r="F49" s="101" t="str">
        <f t="shared" ref="F49:F51" si="89">IF(ISBLANK(B49),"",IF(I49="L","Baixa",IF(I49="A","Média",IF(I49="","","Alta"))))</f>
        <v>Baixa</v>
      </c>
      <c r="G49" s="101" t="str">
        <f t="shared" ref="G49:G51" si="90">CONCATENATE(B49,I49)</f>
        <v>CEL</v>
      </c>
      <c r="H49" s="4">
        <f t="shared" ref="H49:H51" si="91">IF(ISBLANK(B49),"",IF(B49="ALI",IF(I49="L",7,IF(I49="A",10,15)),IF(B49="AIE",IF(I49="L",5,IF(I49="A",7,10)),IF(B49="SE",IF(I49="L",4,IF(I49="A",5,7)),IF(OR(B49="EE",B49="CE"),IF(I49="L",3,IF(I49="A",4,6)),0)))))</f>
        <v>3</v>
      </c>
      <c r="I49" s="100" t="str">
        <f t="shared" ref="I49:I51" si="92">IF(OR(ISBLANK(D49),ISBLANK(E49)),IF(OR(B49="ALI",B49="AIE"),"L",IF(OR(B49="EE",B49="SE",B49="CE"),"A","")),IF(B49="EE",IF(E49&gt;=3,IF(D49&gt;=5,"H","A"),IF(E49&gt;=2,IF(D49&gt;=16,"H",IF(D49&lt;=4,"L","A")),IF(D49&lt;=15,"L","A"))),IF(OR(B49="SE",B49="CE"),IF(E49&gt;=4,IF(D49&gt;=6,"H","A"),IF(E49&gt;=2,IF(D49&gt;=20,"H",IF(D49&lt;=5,"L","A")),IF(D49&lt;=19,"L","A"))),IF(OR(B49="ALI",B49="AIE"),IF(E49&gt;=6,IF(D49&gt;=20,"H","A"),IF(E49&gt;=2,IF(D49&gt;=51,"H",IF(D49&lt;=19,"L","A")),IF(D49&lt;=50,"L","A"))),""))))</f>
        <v>L</v>
      </c>
      <c r="J49" s="4" t="str">
        <f t="shared" ref="J49:J51" si="93">CONCATENATE(B49,C49)</f>
        <v>CEI</v>
      </c>
      <c r="K49" s="101">
        <f t="shared" ref="K49:K51" si="94">IF(OR(H49="",H49=0),L49,H49)</f>
        <v>3</v>
      </c>
      <c r="L49" s="101">
        <f>IF(NOT(ISERROR(VLOOKUP(B49,Deflatores!G$42:H$64,2,FALSE))),VLOOKUP(B49,Deflatores!G$42:H$64,2,FALSE),IF(OR(ISBLANK(C49),ISBLANK(B49)),"",VLOOKUP(C49,Deflatores!G$4:H$38,2,FALSE)*H49+VLOOKUP(C49,Deflatores!G$4:I$38,3,FALSE)))</f>
        <v>3</v>
      </c>
      <c r="M49" s="101" t="s">
        <v>45</v>
      </c>
      <c r="N49" s="101"/>
      <c r="O49" s="113"/>
    </row>
    <row r="50" spans="1:15" x14ac:dyDescent="0.2">
      <c r="A50" s="106" t="s">
        <v>86</v>
      </c>
      <c r="B50" s="107" t="s">
        <v>49</v>
      </c>
      <c r="C50" s="107" t="s">
        <v>44</v>
      </c>
      <c r="D50" s="107">
        <v>3</v>
      </c>
      <c r="E50" s="107">
        <v>2</v>
      </c>
      <c r="F50" s="101" t="str">
        <f t="shared" si="89"/>
        <v>Baixa</v>
      </c>
      <c r="G50" s="101" t="str">
        <f t="shared" si="90"/>
        <v>CEL</v>
      </c>
      <c r="H50" s="4">
        <f t="shared" si="91"/>
        <v>3</v>
      </c>
      <c r="I50" s="100" t="str">
        <f t="shared" si="92"/>
        <v>L</v>
      </c>
      <c r="J50" s="4" t="str">
        <f t="shared" si="93"/>
        <v>CEI</v>
      </c>
      <c r="K50" s="101">
        <f t="shared" si="94"/>
        <v>3</v>
      </c>
      <c r="L50" s="101">
        <f>IF(NOT(ISERROR(VLOOKUP(B50,Deflatores!G$42:H$64,2,FALSE))),VLOOKUP(B50,Deflatores!G$42:H$64,2,FALSE),IF(OR(ISBLANK(C50),ISBLANK(B50)),"",VLOOKUP(C50,Deflatores!G$4:H$38,2,FALSE)*H50+VLOOKUP(C50,Deflatores!G$4:I$38,3,FALSE)))</f>
        <v>3</v>
      </c>
      <c r="M50" s="101" t="s">
        <v>45</v>
      </c>
      <c r="N50" s="101"/>
      <c r="O50" s="113"/>
    </row>
    <row r="51" spans="1:15" x14ac:dyDescent="0.2">
      <c r="A51" s="106" t="s">
        <v>87</v>
      </c>
      <c r="B51" s="107" t="s">
        <v>49</v>
      </c>
      <c r="C51" s="107" t="s">
        <v>44</v>
      </c>
      <c r="D51" s="107">
        <v>3</v>
      </c>
      <c r="E51" s="107">
        <v>2</v>
      </c>
      <c r="F51" s="101" t="str">
        <f t="shared" si="89"/>
        <v>Baixa</v>
      </c>
      <c r="G51" s="101" t="str">
        <f t="shared" si="90"/>
        <v>CEL</v>
      </c>
      <c r="H51" s="4">
        <f t="shared" si="91"/>
        <v>3</v>
      </c>
      <c r="I51" s="100" t="str">
        <f t="shared" si="92"/>
        <v>L</v>
      </c>
      <c r="J51" s="4" t="str">
        <f t="shared" si="93"/>
        <v>CEI</v>
      </c>
      <c r="K51" s="101">
        <f t="shared" si="94"/>
        <v>3</v>
      </c>
      <c r="L51" s="101">
        <f>IF(NOT(ISERROR(VLOOKUP(B51,Deflatores!G$42:H$64,2,FALSE))),VLOOKUP(B51,Deflatores!G$42:H$64,2,FALSE),IF(OR(ISBLANK(C51),ISBLANK(B51)),"",VLOOKUP(C51,Deflatores!G$4:H$38,2,FALSE)*H51+VLOOKUP(C51,Deflatores!G$4:I$38,3,FALSE)))</f>
        <v>3</v>
      </c>
      <c r="M51" s="101" t="s">
        <v>45</v>
      </c>
      <c r="N51" s="101"/>
      <c r="O51" s="113"/>
    </row>
    <row r="52" spans="1:15" x14ac:dyDescent="0.2">
      <c r="A52" s="106"/>
      <c r="B52" s="107"/>
      <c r="C52" s="107"/>
      <c r="D52" s="4"/>
      <c r="E52" s="4"/>
      <c r="F52" s="101"/>
      <c r="G52" s="101"/>
      <c r="H52" s="4"/>
      <c r="I52" s="100"/>
      <c r="J52" s="4"/>
      <c r="K52" s="101"/>
      <c r="L52" s="101"/>
      <c r="M52" s="101"/>
      <c r="N52" s="101"/>
      <c r="O52" s="113"/>
    </row>
    <row r="53" spans="1:15" x14ac:dyDescent="0.2">
      <c r="A53" s="108" t="s">
        <v>294</v>
      </c>
      <c r="B53" s="107"/>
      <c r="C53" s="107"/>
      <c r="D53" s="4"/>
      <c r="E53" s="4"/>
      <c r="F53" s="101" t="str">
        <f t="shared" ref="F53:F58" si="95">IF(ISBLANK(B53),"",IF(I53="L","Baixa",IF(I53="A","Média",IF(I53="","","Alta"))))</f>
        <v/>
      </c>
      <c r="G53" s="101" t="str">
        <f t="shared" ref="G53:G58" si="96">CONCATENATE(B53,I53)</f>
        <v/>
      </c>
      <c r="H53" s="4" t="str">
        <f t="shared" ref="H53:H58" si="97">IF(ISBLANK(B53),"",IF(B53="ALI",IF(I53="L",7,IF(I53="A",10,15)),IF(B53="AIE",IF(I53="L",5,IF(I53="A",7,10)),IF(B53="SE",IF(I53="L",4,IF(I53="A",5,7)),IF(OR(B53="EE",B53="CE"),IF(I53="L",3,IF(I53="A",4,6)),0)))))</f>
        <v/>
      </c>
      <c r="I53" s="100" t="str">
        <f t="shared" ref="I53:I58" si="98">IF(OR(ISBLANK(D53),ISBLANK(E53)),IF(OR(B53="ALI",B53="AIE"),"L",IF(OR(B53="EE",B53="SE",B53="CE"),"A","")),IF(B53="EE",IF(E53&gt;=3,IF(D53&gt;=5,"H","A"),IF(E53&gt;=2,IF(D53&gt;=16,"H",IF(D53&lt;=4,"L","A")),IF(D53&lt;=15,"L","A"))),IF(OR(B53="SE",B53="CE"),IF(E53&gt;=4,IF(D53&gt;=6,"H","A"),IF(E53&gt;=2,IF(D53&gt;=20,"H",IF(D53&lt;=5,"L","A")),IF(D53&lt;=19,"L","A"))),IF(OR(B53="ALI",B53="AIE"),IF(E53&gt;=6,IF(D53&gt;=20,"H","A"),IF(E53&gt;=2,IF(D53&gt;=51,"H",IF(D53&lt;=19,"L","A")),IF(D53&lt;=50,"L","A"))),""))))</f>
        <v/>
      </c>
      <c r="J53" s="4" t="str">
        <f t="shared" ref="J53:J58" si="99">CONCATENATE(B53,C53)</f>
        <v/>
      </c>
      <c r="K53" s="101" t="str">
        <f t="shared" ref="K53:K58" si="100">IF(OR(H53="",H53=0),L53,H53)</f>
        <v/>
      </c>
      <c r="L53" s="101" t="str">
        <f>IF(NOT(ISERROR(VLOOKUP(B53,Deflatores!G$42:H$64,2,FALSE))),VLOOKUP(B53,Deflatores!G$42:H$64,2,FALSE),IF(OR(ISBLANK(C53),ISBLANK(B53)),"",VLOOKUP(C53,Deflatores!G$4:H$38,2,FALSE)*H53+VLOOKUP(C53,Deflatores!G$4:I$38,3,FALSE)))</f>
        <v/>
      </c>
      <c r="M53" s="101"/>
      <c r="N53" s="101"/>
      <c r="O53" s="113"/>
    </row>
    <row r="54" spans="1:15" x14ac:dyDescent="0.2">
      <c r="A54" s="106" t="s">
        <v>88</v>
      </c>
      <c r="B54" s="107" t="s">
        <v>43</v>
      </c>
      <c r="C54" s="107" t="s">
        <v>44</v>
      </c>
      <c r="D54" s="4">
        <v>28</v>
      </c>
      <c r="E54" s="4">
        <v>1</v>
      </c>
      <c r="F54" s="101" t="str">
        <f t="shared" si="95"/>
        <v>Baixa</v>
      </c>
      <c r="G54" s="101" t="str">
        <f t="shared" si="96"/>
        <v>ALIL</v>
      </c>
      <c r="H54" s="4">
        <f t="shared" si="97"/>
        <v>7</v>
      </c>
      <c r="I54" s="100" t="str">
        <f t="shared" si="98"/>
        <v>L</v>
      </c>
      <c r="J54" s="4" t="str">
        <f t="shared" si="99"/>
        <v>ALII</v>
      </c>
      <c r="K54" s="101">
        <f t="shared" si="100"/>
        <v>7</v>
      </c>
      <c r="L54" s="101">
        <f>IF(NOT(ISERROR(VLOOKUP(B54,Deflatores!G$42:H$64,2,FALSE))),VLOOKUP(B54,Deflatores!G$42:H$64,2,FALSE),IF(OR(ISBLANK(C54),ISBLANK(B54)),"",VLOOKUP(C54,Deflatores!G$4:H$38,2,FALSE)*H54+VLOOKUP(C54,Deflatores!G$4:I$38,3,FALSE)))</f>
        <v>7</v>
      </c>
      <c r="M54" s="101" t="s">
        <v>45</v>
      </c>
      <c r="N54" s="101"/>
      <c r="O54" s="114"/>
    </row>
    <row r="55" spans="1:15" x14ac:dyDescent="0.2">
      <c r="A55" s="106" t="s">
        <v>312</v>
      </c>
      <c r="B55" s="107" t="s">
        <v>49</v>
      </c>
      <c r="C55" s="107" t="s">
        <v>44</v>
      </c>
      <c r="D55" s="4">
        <v>13</v>
      </c>
      <c r="E55" s="4">
        <v>4</v>
      </c>
      <c r="F55" s="101" t="str">
        <f t="shared" si="95"/>
        <v>Alta</v>
      </c>
      <c r="G55" s="101" t="str">
        <f t="shared" si="96"/>
        <v>CEH</v>
      </c>
      <c r="H55" s="4">
        <f t="shared" si="97"/>
        <v>6</v>
      </c>
      <c r="I55" s="100" t="str">
        <f t="shared" si="98"/>
        <v>H</v>
      </c>
      <c r="J55" s="4" t="str">
        <f t="shared" si="99"/>
        <v>CEI</v>
      </c>
      <c r="K55" s="101">
        <f t="shared" si="100"/>
        <v>6</v>
      </c>
      <c r="L55" s="101">
        <f>IF(NOT(ISERROR(VLOOKUP(B55,Deflatores!G$42:H$64,2,FALSE))),VLOOKUP(B55,Deflatores!G$42:H$64,2,FALSE),IF(OR(ISBLANK(C55),ISBLANK(B55)),"",VLOOKUP(C55,Deflatores!G$4:H$38,2,FALSE)*H55+VLOOKUP(C55,Deflatores!G$4:I$38,3,FALSE)))</f>
        <v>6</v>
      </c>
      <c r="M55" s="101" t="s">
        <v>45</v>
      </c>
      <c r="N55" s="101"/>
      <c r="O55" s="113"/>
    </row>
    <row r="56" spans="1:15" x14ac:dyDescent="0.2">
      <c r="A56" s="106" t="s">
        <v>89</v>
      </c>
      <c r="B56" s="107" t="s">
        <v>49</v>
      </c>
      <c r="C56" s="107" t="s">
        <v>44</v>
      </c>
      <c r="D56" s="4">
        <v>13</v>
      </c>
      <c r="E56" s="4">
        <v>4</v>
      </c>
      <c r="F56" s="101" t="str">
        <f t="shared" ref="F56" si="101">IF(ISBLANK(B56),"",IF(I56="L","Baixa",IF(I56="A","Média",IF(I56="","","Alta"))))</f>
        <v>Alta</v>
      </c>
      <c r="G56" s="101" t="str">
        <f t="shared" ref="G56" si="102">CONCATENATE(B56,I56)</f>
        <v>CEH</v>
      </c>
      <c r="H56" s="4">
        <f t="shared" ref="H56" si="103">IF(ISBLANK(B56),"",IF(B56="ALI",IF(I56="L",7,IF(I56="A",10,15)),IF(B56="AIE",IF(I56="L",5,IF(I56="A",7,10)),IF(B56="SE",IF(I56="L",4,IF(I56="A",5,7)),IF(OR(B56="EE",B56="CE"),IF(I56="L",3,IF(I56="A",4,6)),0)))))</f>
        <v>6</v>
      </c>
      <c r="I56" s="100" t="str">
        <f t="shared" ref="I56" si="104">IF(OR(ISBLANK(D56),ISBLANK(E56)),IF(OR(B56="ALI",B56="AIE"),"L",IF(OR(B56="EE",B56="SE",B56="CE"),"A","")),IF(B56="EE",IF(E56&gt;=3,IF(D56&gt;=5,"H","A"),IF(E56&gt;=2,IF(D56&gt;=16,"H",IF(D56&lt;=4,"L","A")),IF(D56&lt;=15,"L","A"))),IF(OR(B56="SE",B56="CE"),IF(E56&gt;=4,IF(D56&gt;=6,"H","A"),IF(E56&gt;=2,IF(D56&gt;=20,"H",IF(D56&lt;=5,"L","A")),IF(D56&lt;=19,"L","A"))),IF(OR(B56="ALI",B56="AIE"),IF(E56&gt;=6,IF(D56&gt;=20,"H","A"),IF(E56&gt;=2,IF(D56&gt;=51,"H",IF(D56&lt;=19,"L","A")),IF(D56&lt;=50,"L","A"))),""))))</f>
        <v>H</v>
      </c>
      <c r="J56" s="4" t="str">
        <f t="shared" ref="J56" si="105">CONCATENATE(B56,C56)</f>
        <v>CEI</v>
      </c>
      <c r="K56" s="101">
        <f t="shared" ref="K56" si="106">IF(OR(H56="",H56=0),L56,H56)</f>
        <v>6</v>
      </c>
      <c r="L56" s="101">
        <f>IF(NOT(ISERROR(VLOOKUP(B56,Deflatores!G$42:H$64,2,FALSE))),VLOOKUP(B56,Deflatores!G$42:H$64,2,FALSE),IF(OR(ISBLANK(C56),ISBLANK(B56)),"",VLOOKUP(C56,Deflatores!G$4:H$38,2,FALSE)*H56+VLOOKUP(C56,Deflatores!G$4:I$38,3,FALSE)))</f>
        <v>6</v>
      </c>
      <c r="M56" s="101" t="s">
        <v>45</v>
      </c>
      <c r="N56" s="101"/>
      <c r="O56" s="113"/>
    </row>
    <row r="57" spans="1:15" x14ac:dyDescent="0.2">
      <c r="A57" s="106" t="s">
        <v>90</v>
      </c>
      <c r="B57" s="107" t="s">
        <v>53</v>
      </c>
      <c r="C57" s="107" t="s">
        <v>44</v>
      </c>
      <c r="D57" s="107">
        <v>5</v>
      </c>
      <c r="E57" s="4">
        <v>1</v>
      </c>
      <c r="F57" s="101" t="str">
        <f t="shared" si="95"/>
        <v>Baixa</v>
      </c>
      <c r="G57" s="101" t="str">
        <f t="shared" si="96"/>
        <v>EEL</v>
      </c>
      <c r="H57" s="4">
        <f t="shared" si="97"/>
        <v>3</v>
      </c>
      <c r="I57" s="100" t="str">
        <f t="shared" si="98"/>
        <v>L</v>
      </c>
      <c r="J57" s="4" t="str">
        <f t="shared" si="99"/>
        <v>EEI</v>
      </c>
      <c r="K57" s="101">
        <f t="shared" si="100"/>
        <v>3</v>
      </c>
      <c r="L57" s="101">
        <f>IF(NOT(ISERROR(VLOOKUP(B57,Deflatores!G$42:H$64,2,FALSE))),VLOOKUP(B57,Deflatores!G$42:H$64,2,FALSE),IF(OR(ISBLANK(C57),ISBLANK(B57)),"",VLOOKUP(C57,Deflatores!G$4:H$38,2,FALSE)*H57+VLOOKUP(C57,Deflatores!G$4:I$38,3,FALSE)))</f>
        <v>3</v>
      </c>
      <c r="M57" s="101" t="s">
        <v>45</v>
      </c>
      <c r="N57" s="101"/>
      <c r="O57" s="113"/>
    </row>
    <row r="58" spans="1:15" x14ac:dyDescent="0.2">
      <c r="A58" s="106" t="s">
        <v>91</v>
      </c>
      <c r="B58" s="107" t="s">
        <v>53</v>
      </c>
      <c r="C58" s="107" t="s">
        <v>44</v>
      </c>
      <c r="D58" s="4">
        <v>29</v>
      </c>
      <c r="E58" s="4">
        <v>2</v>
      </c>
      <c r="F58" s="101" t="str">
        <f t="shared" si="95"/>
        <v>Alta</v>
      </c>
      <c r="G58" s="101" t="str">
        <f t="shared" si="96"/>
        <v>EEH</v>
      </c>
      <c r="H58" s="4">
        <f t="shared" si="97"/>
        <v>6</v>
      </c>
      <c r="I58" s="100" t="str">
        <f t="shared" si="98"/>
        <v>H</v>
      </c>
      <c r="J58" s="4" t="str">
        <f t="shared" si="99"/>
        <v>EEI</v>
      </c>
      <c r="K58" s="101">
        <f t="shared" si="100"/>
        <v>6</v>
      </c>
      <c r="L58" s="101">
        <f>IF(NOT(ISERROR(VLOOKUP(B58,Deflatores!G$42:H$64,2,FALSE))),VLOOKUP(B58,Deflatores!G$42:H$64,2,FALSE),IF(OR(ISBLANK(C58),ISBLANK(B58)),"",VLOOKUP(C58,Deflatores!G$4:H$38,2,FALSE)*H58+VLOOKUP(C58,Deflatores!G$4:I$38,3,FALSE)))</f>
        <v>6</v>
      </c>
      <c r="M58" s="101" t="s">
        <v>45</v>
      </c>
      <c r="N58" s="101"/>
      <c r="O58" s="113"/>
    </row>
    <row r="59" spans="1:15" x14ac:dyDescent="0.2">
      <c r="A59" s="106" t="s">
        <v>92</v>
      </c>
      <c r="B59" s="107" t="s">
        <v>53</v>
      </c>
      <c r="C59" s="107" t="s">
        <v>44</v>
      </c>
      <c r="D59" s="4">
        <v>5</v>
      </c>
      <c r="E59" s="4">
        <v>1</v>
      </c>
      <c r="F59" s="101" t="str">
        <f t="shared" ref="F59:F61" si="107">IF(ISBLANK(B59),"",IF(I59="L","Baixa",IF(I59="A","Média",IF(I59="","","Alta"))))</f>
        <v>Baixa</v>
      </c>
      <c r="G59" s="101" t="str">
        <f t="shared" ref="G59:G61" si="108">CONCATENATE(B59,I59)</f>
        <v>EEL</v>
      </c>
      <c r="H59" s="4">
        <f t="shared" ref="H59:H61" si="109">IF(ISBLANK(B59),"",IF(B59="ALI",IF(I59="L",7,IF(I59="A",10,15)),IF(B59="AIE",IF(I59="L",5,IF(I59="A",7,10)),IF(B59="SE",IF(I59="L",4,IF(I59="A",5,7)),IF(OR(B59="EE",B59="CE"),IF(I59="L",3,IF(I59="A",4,6)),0)))))</f>
        <v>3</v>
      </c>
      <c r="I59" s="100" t="str">
        <f t="shared" ref="I59:I61" si="110">IF(OR(ISBLANK(D59),ISBLANK(E59)),IF(OR(B59="ALI",B59="AIE"),"L",IF(OR(B59="EE",B59="SE",B59="CE"),"A","")),IF(B59="EE",IF(E59&gt;=3,IF(D59&gt;=5,"H","A"),IF(E59&gt;=2,IF(D59&gt;=16,"H",IF(D59&lt;=4,"L","A")),IF(D59&lt;=15,"L","A"))),IF(OR(B59="SE",B59="CE"),IF(E59&gt;=4,IF(D59&gt;=6,"H","A"),IF(E59&gt;=2,IF(D59&gt;=20,"H",IF(D59&lt;=5,"L","A")),IF(D59&lt;=19,"L","A"))),IF(OR(B59="ALI",B59="AIE"),IF(E59&gt;=6,IF(D59&gt;=20,"H","A"),IF(E59&gt;=2,IF(D59&gt;=51,"H",IF(D59&lt;=19,"L","A")),IF(D59&lt;=50,"L","A"))),""))))</f>
        <v>L</v>
      </c>
      <c r="J59" s="4" t="str">
        <f t="shared" ref="J59:J61" si="111">CONCATENATE(B59,C59)</f>
        <v>EEI</v>
      </c>
      <c r="K59" s="101">
        <f t="shared" ref="K59:K61" si="112">IF(OR(H59="",H59=0),L59,H59)</f>
        <v>3</v>
      </c>
      <c r="L59" s="101">
        <f>IF(NOT(ISERROR(VLOOKUP(B59,Deflatores!G$42:H$64,2,FALSE))),VLOOKUP(B59,Deflatores!G$42:H$64,2,FALSE),IF(OR(ISBLANK(C59),ISBLANK(B59)),"",VLOOKUP(C59,Deflatores!G$4:H$38,2,FALSE)*H59+VLOOKUP(C59,Deflatores!G$4:I$38,3,FALSE)))</f>
        <v>3</v>
      </c>
      <c r="M59" s="101" t="s">
        <v>45</v>
      </c>
      <c r="N59" s="101"/>
      <c r="O59" s="113"/>
    </row>
    <row r="60" spans="1:15" x14ac:dyDescent="0.2">
      <c r="A60" s="106" t="s">
        <v>93</v>
      </c>
      <c r="B60" s="107" t="s">
        <v>53</v>
      </c>
      <c r="C60" s="107" t="s">
        <v>44</v>
      </c>
      <c r="D60" s="4">
        <v>27</v>
      </c>
      <c r="E60" s="4">
        <v>2</v>
      </c>
      <c r="F60" s="101" t="str">
        <f t="shared" si="107"/>
        <v>Alta</v>
      </c>
      <c r="G60" s="101" t="str">
        <f t="shared" si="108"/>
        <v>EEH</v>
      </c>
      <c r="H60" s="4">
        <f t="shared" si="109"/>
        <v>6</v>
      </c>
      <c r="I60" s="100" t="str">
        <f t="shared" si="110"/>
        <v>H</v>
      </c>
      <c r="J60" s="4" t="str">
        <f t="shared" si="111"/>
        <v>EEI</v>
      </c>
      <c r="K60" s="101">
        <f t="shared" si="112"/>
        <v>6</v>
      </c>
      <c r="L60" s="101">
        <f>IF(NOT(ISERROR(VLOOKUP(B60,Deflatores!G$42:H$64,2,FALSE))),VLOOKUP(B60,Deflatores!G$42:H$64,2,FALSE),IF(OR(ISBLANK(C60),ISBLANK(B60)),"",VLOOKUP(C60,Deflatores!G$4:H$38,2,FALSE)*H60+VLOOKUP(C60,Deflatores!G$4:I$38,3,FALSE)))</f>
        <v>6</v>
      </c>
      <c r="M60" s="101" t="s">
        <v>45</v>
      </c>
      <c r="N60" s="101"/>
      <c r="O60" s="113"/>
    </row>
    <row r="61" spans="1:15" x14ac:dyDescent="0.2">
      <c r="A61" s="109" t="s">
        <v>94</v>
      </c>
      <c r="B61" s="107" t="s">
        <v>49</v>
      </c>
      <c r="C61" s="107" t="s">
        <v>44</v>
      </c>
      <c r="D61" s="4">
        <v>25</v>
      </c>
      <c r="E61" s="4">
        <v>2</v>
      </c>
      <c r="F61" s="101" t="str">
        <f t="shared" si="107"/>
        <v>Alta</v>
      </c>
      <c r="G61" s="101" t="str">
        <f t="shared" si="108"/>
        <v>CEH</v>
      </c>
      <c r="H61" s="4">
        <f t="shared" si="109"/>
        <v>6</v>
      </c>
      <c r="I61" s="100" t="str">
        <f t="shared" si="110"/>
        <v>H</v>
      </c>
      <c r="J61" s="4" t="str">
        <f t="shared" si="111"/>
        <v>CEI</v>
      </c>
      <c r="K61" s="101">
        <f t="shared" si="112"/>
        <v>6</v>
      </c>
      <c r="L61" s="101">
        <f>IF(NOT(ISERROR(VLOOKUP(B61,Deflatores!G$42:H$64,2,FALSE))),VLOOKUP(B61,Deflatores!G$42:H$64,2,FALSE),IF(OR(ISBLANK(C61),ISBLANK(B61)),"",VLOOKUP(C61,Deflatores!G$4:H$38,2,FALSE)*H61+VLOOKUP(C61,Deflatores!G$4:I$38,3,FALSE)))</f>
        <v>6</v>
      </c>
      <c r="M61" s="101" t="s">
        <v>45</v>
      </c>
      <c r="N61" s="101"/>
      <c r="O61" s="113"/>
    </row>
    <row r="62" spans="1:15" x14ac:dyDescent="0.2">
      <c r="A62" s="106"/>
      <c r="B62" s="107"/>
      <c r="C62" s="107"/>
      <c r="D62" s="4"/>
      <c r="E62" s="4"/>
      <c r="F62" s="101" t="str">
        <f t="shared" ref="F62" si="113">IF(ISBLANK(B62),"",IF(I62="L","Baixa",IF(I62="A","Média",IF(I62="","","Alta"))))</f>
        <v/>
      </c>
      <c r="G62" s="101" t="str">
        <f t="shared" ref="G62" si="114">CONCATENATE(B62,I62)</f>
        <v/>
      </c>
      <c r="H62" s="4" t="str">
        <f t="shared" ref="H62" si="115">IF(ISBLANK(B62),"",IF(B62="ALI",IF(I62="L",7,IF(I62="A",10,15)),IF(B62="AIE",IF(I62="L",5,IF(I62="A",7,10)),IF(B62="SE",IF(I62="L",4,IF(I62="A",5,7)),IF(OR(B62="EE",B62="CE"),IF(I62="L",3,IF(I62="A",4,6)),0)))))</f>
        <v/>
      </c>
      <c r="I62" s="100" t="str">
        <f t="shared" ref="I62" si="116">IF(OR(ISBLANK(D62),ISBLANK(E62)),IF(OR(B62="ALI",B62="AIE"),"L",IF(OR(B62="EE",B62="SE",B62="CE"),"A","")),IF(B62="EE",IF(E62&gt;=3,IF(D62&gt;=5,"H","A"),IF(E62&gt;=2,IF(D62&gt;=16,"H",IF(D62&lt;=4,"L","A")),IF(D62&lt;=15,"L","A"))),IF(OR(B62="SE",B62="CE"),IF(E62&gt;=4,IF(D62&gt;=6,"H","A"),IF(E62&gt;=2,IF(D62&gt;=20,"H",IF(D62&lt;=5,"L","A")),IF(D62&lt;=19,"L","A"))),IF(OR(B62="ALI",B62="AIE"),IF(E62&gt;=6,IF(D62&gt;=20,"H","A"),IF(E62&gt;=2,IF(D62&gt;=51,"H",IF(D62&lt;=19,"L","A")),IF(D62&lt;=50,"L","A"))),""))))</f>
        <v/>
      </c>
      <c r="J62" s="4" t="str">
        <f t="shared" ref="J62" si="117">CONCATENATE(B62,C62)</f>
        <v/>
      </c>
      <c r="K62" s="101" t="str">
        <f t="shared" ref="K62" si="118">IF(OR(H62="",H62=0),L62,H62)</f>
        <v/>
      </c>
      <c r="L62" s="101" t="str">
        <f>IF(NOT(ISERROR(VLOOKUP(B62,Deflatores!G$42:H$64,2,FALSE))),VLOOKUP(B62,Deflatores!G$42:H$64,2,FALSE),IF(OR(ISBLANK(C62),ISBLANK(B62)),"",VLOOKUP(C62,Deflatores!G$4:H$38,2,FALSE)*H62+VLOOKUP(C62,Deflatores!G$4:I$38,3,FALSE)))</f>
        <v/>
      </c>
      <c r="M62" s="101"/>
      <c r="N62" s="101"/>
      <c r="O62" s="113"/>
    </row>
    <row r="63" spans="1:15" x14ac:dyDescent="0.2">
      <c r="A63" s="108" t="s">
        <v>295</v>
      </c>
      <c r="B63" s="107"/>
      <c r="C63" s="107"/>
      <c r="D63" s="4"/>
      <c r="E63" s="4"/>
      <c r="F63" s="101" t="str">
        <f t="shared" ref="F63:F73" si="119">IF(ISBLANK(B63),"",IF(I63="L","Baixa",IF(I63="A","Média",IF(I63="","","Alta"))))</f>
        <v/>
      </c>
      <c r="G63" s="101" t="str">
        <f t="shared" ref="G63:G73" si="120">CONCATENATE(B63,I63)</f>
        <v/>
      </c>
      <c r="H63" s="4" t="str">
        <f t="shared" ref="H63:H73" si="121">IF(ISBLANK(B63),"",IF(B63="ALI",IF(I63="L",7,IF(I63="A",10,15)),IF(B63="AIE",IF(I63="L",5,IF(I63="A",7,10)),IF(B63="SE",IF(I63="L",4,IF(I63="A",5,7)),IF(OR(B63="EE",B63="CE"),IF(I63="L",3,IF(I63="A",4,6)),0)))))</f>
        <v/>
      </c>
      <c r="I63" s="100" t="str">
        <f t="shared" ref="I63:I73" si="122">IF(OR(ISBLANK(D63),ISBLANK(E63)),IF(OR(B63="ALI",B63="AIE"),"L",IF(OR(B63="EE",B63="SE",B63="CE"),"A","")),IF(B63="EE",IF(E63&gt;=3,IF(D63&gt;=5,"H","A"),IF(E63&gt;=2,IF(D63&gt;=16,"H",IF(D63&lt;=4,"L","A")),IF(D63&lt;=15,"L","A"))),IF(OR(B63="SE",B63="CE"),IF(E63&gt;=4,IF(D63&gt;=6,"H","A"),IF(E63&gt;=2,IF(D63&gt;=20,"H",IF(D63&lt;=5,"L","A")),IF(D63&lt;=19,"L","A"))),IF(OR(B63="ALI",B63="AIE"),IF(E63&gt;=6,IF(D63&gt;=20,"H","A"),IF(E63&gt;=2,IF(D63&gt;=51,"H",IF(D63&lt;=19,"L","A")),IF(D63&lt;=50,"L","A"))),""))))</f>
        <v/>
      </c>
      <c r="J63" s="4" t="str">
        <f t="shared" ref="J63:J73" si="123">CONCATENATE(B63,C63)</f>
        <v/>
      </c>
      <c r="K63" s="101" t="str">
        <f t="shared" ref="K63:K73" si="124">IF(OR(H63="",H63=0),L63,H63)</f>
        <v/>
      </c>
      <c r="L63" s="101" t="str">
        <f>IF(NOT(ISERROR(VLOOKUP(B63,Deflatores!G$42:H$64,2,FALSE))),VLOOKUP(B63,Deflatores!G$42:H$64,2,FALSE),IF(OR(ISBLANK(C63),ISBLANK(B63)),"",VLOOKUP(C63,Deflatores!G$4:H$38,2,FALSE)*H63+VLOOKUP(C63,Deflatores!G$4:I$38,3,FALSE)))</f>
        <v/>
      </c>
      <c r="M63" s="101"/>
      <c r="N63" s="101"/>
      <c r="O63" s="113"/>
    </row>
    <row r="64" spans="1:15" x14ac:dyDescent="0.2">
      <c r="A64" s="106" t="s">
        <v>95</v>
      </c>
      <c r="B64" s="107" t="s">
        <v>49</v>
      </c>
      <c r="C64" s="107" t="s">
        <v>44</v>
      </c>
      <c r="D64" s="4">
        <v>15</v>
      </c>
      <c r="E64" s="4">
        <v>2</v>
      </c>
      <c r="F64" s="101" t="str">
        <f t="shared" si="119"/>
        <v>Média</v>
      </c>
      <c r="G64" s="101" t="str">
        <f t="shared" si="120"/>
        <v>CEA</v>
      </c>
      <c r="H64" s="4">
        <f t="shared" si="121"/>
        <v>4</v>
      </c>
      <c r="I64" s="100" t="str">
        <f t="shared" si="122"/>
        <v>A</v>
      </c>
      <c r="J64" s="4" t="str">
        <f t="shared" si="123"/>
        <v>CEI</v>
      </c>
      <c r="K64" s="101">
        <f t="shared" si="124"/>
        <v>4</v>
      </c>
      <c r="L64" s="101">
        <f>IF(NOT(ISERROR(VLOOKUP(B64,Deflatores!G$42:H$64,2,FALSE))),VLOOKUP(B64,Deflatores!G$42:H$64,2,FALSE),IF(OR(ISBLANK(C64),ISBLANK(B64)),"",VLOOKUP(C64,Deflatores!G$4:H$38,2,FALSE)*H64+VLOOKUP(C64,Deflatores!G$4:I$38,3,FALSE)))</f>
        <v>4</v>
      </c>
      <c r="M64" s="101" t="s">
        <v>45</v>
      </c>
      <c r="N64" s="101"/>
      <c r="O64" s="114"/>
    </row>
    <row r="65" spans="1:15" x14ac:dyDescent="0.2">
      <c r="A65" s="106"/>
      <c r="B65" s="107"/>
      <c r="C65" s="107"/>
      <c r="D65" s="4"/>
      <c r="E65" s="4"/>
      <c r="F65" s="101" t="str">
        <f t="shared" si="119"/>
        <v/>
      </c>
      <c r="G65" s="101" t="str">
        <f t="shared" si="120"/>
        <v/>
      </c>
      <c r="H65" s="4" t="str">
        <f t="shared" si="121"/>
        <v/>
      </c>
      <c r="I65" s="100" t="str">
        <f t="shared" si="122"/>
        <v/>
      </c>
      <c r="J65" s="4" t="str">
        <f t="shared" si="123"/>
        <v/>
      </c>
      <c r="K65" s="101" t="str">
        <f t="shared" si="124"/>
        <v/>
      </c>
      <c r="L65" s="101" t="str">
        <f>IF(NOT(ISERROR(VLOOKUP(B65,Deflatores!G$42:H$64,2,FALSE))),VLOOKUP(B65,Deflatores!G$42:H$64,2,FALSE),IF(OR(ISBLANK(C65),ISBLANK(B65)),"",VLOOKUP(C65,Deflatores!G$4:H$38,2,FALSE)*H65+VLOOKUP(C65,Deflatores!G$4:I$38,3,FALSE)))</f>
        <v/>
      </c>
      <c r="M65" s="101"/>
      <c r="N65" s="101"/>
      <c r="O65" s="113"/>
    </row>
    <row r="66" spans="1:15" x14ac:dyDescent="0.2">
      <c r="A66" s="108" t="s">
        <v>296</v>
      </c>
      <c r="B66" s="107"/>
      <c r="C66" s="107"/>
      <c r="D66" s="4"/>
      <c r="E66" s="4"/>
      <c r="F66" s="101" t="str">
        <f t="shared" si="119"/>
        <v/>
      </c>
      <c r="G66" s="101" t="str">
        <f t="shared" si="120"/>
        <v/>
      </c>
      <c r="H66" s="4" t="str">
        <f t="shared" si="121"/>
        <v/>
      </c>
      <c r="I66" s="100" t="str">
        <f t="shared" si="122"/>
        <v/>
      </c>
      <c r="J66" s="4" t="str">
        <f t="shared" si="123"/>
        <v/>
      </c>
      <c r="K66" s="101" t="str">
        <f t="shared" si="124"/>
        <v/>
      </c>
      <c r="L66" s="101" t="str">
        <f>IF(NOT(ISERROR(VLOOKUP(B66,Deflatores!G$42:H$64,2,FALSE))),VLOOKUP(B66,Deflatores!G$42:H$64,2,FALSE),IF(OR(ISBLANK(C66),ISBLANK(B66)),"",VLOOKUP(C66,Deflatores!G$4:H$38,2,FALSE)*H66+VLOOKUP(C66,Deflatores!G$4:I$38,3,FALSE)))</f>
        <v/>
      </c>
      <c r="M66" s="101"/>
      <c r="N66" s="101"/>
      <c r="O66" s="113"/>
    </row>
    <row r="67" spans="1:15" x14ac:dyDescent="0.2">
      <c r="A67" s="106" t="s">
        <v>96</v>
      </c>
      <c r="B67" s="107" t="s">
        <v>49</v>
      </c>
      <c r="C67" s="107" t="s">
        <v>44</v>
      </c>
      <c r="D67" s="4">
        <v>38</v>
      </c>
      <c r="E67" s="4">
        <v>4</v>
      </c>
      <c r="F67" s="101" t="str">
        <f t="shared" si="119"/>
        <v>Alta</v>
      </c>
      <c r="G67" s="101" t="str">
        <f t="shared" si="120"/>
        <v>CEH</v>
      </c>
      <c r="H67" s="4">
        <f t="shared" si="121"/>
        <v>6</v>
      </c>
      <c r="I67" s="100" t="str">
        <f t="shared" si="122"/>
        <v>H</v>
      </c>
      <c r="J67" s="4" t="str">
        <f t="shared" si="123"/>
        <v>CEI</v>
      </c>
      <c r="K67" s="101">
        <f t="shared" si="124"/>
        <v>6</v>
      </c>
      <c r="L67" s="101">
        <f>IF(NOT(ISERROR(VLOOKUP(B67,Deflatores!G$42:H$64,2,FALSE))),VLOOKUP(B67,Deflatores!G$42:H$64,2,FALSE),IF(OR(ISBLANK(C67),ISBLANK(B67)),"",VLOOKUP(C67,Deflatores!G$4:H$38,2,FALSE)*H67+VLOOKUP(C67,Deflatores!G$4:I$38,3,FALSE)))</f>
        <v>6</v>
      </c>
      <c r="M67" s="101" t="s">
        <v>45</v>
      </c>
      <c r="N67" s="101"/>
      <c r="O67" s="113"/>
    </row>
    <row r="68" spans="1:15" x14ac:dyDescent="0.2">
      <c r="A68" s="106"/>
      <c r="B68" s="107"/>
      <c r="C68" s="107"/>
      <c r="D68" s="4"/>
      <c r="E68" s="4"/>
      <c r="F68" s="101" t="str">
        <f t="shared" si="119"/>
        <v/>
      </c>
      <c r="G68" s="101" t="str">
        <f t="shared" si="120"/>
        <v/>
      </c>
      <c r="H68" s="4" t="str">
        <f t="shared" si="121"/>
        <v/>
      </c>
      <c r="I68" s="100" t="str">
        <f t="shared" si="122"/>
        <v/>
      </c>
      <c r="J68" s="4" t="str">
        <f t="shared" si="123"/>
        <v/>
      </c>
      <c r="K68" s="101" t="str">
        <f t="shared" si="124"/>
        <v/>
      </c>
      <c r="L68" s="101" t="str">
        <f>IF(NOT(ISERROR(VLOOKUP(B68,Deflatores!G$42:H$64,2,FALSE))),VLOOKUP(B68,Deflatores!G$42:H$64,2,FALSE),IF(OR(ISBLANK(C68),ISBLANK(B68)),"",VLOOKUP(C68,Deflatores!G$4:H$38,2,FALSE)*H68+VLOOKUP(C68,Deflatores!G$4:I$38,3,FALSE)))</f>
        <v/>
      </c>
      <c r="M68" s="101"/>
      <c r="N68" s="101"/>
      <c r="O68" s="113"/>
    </row>
    <row r="69" spans="1:15" x14ac:dyDescent="0.2">
      <c r="A69" s="108" t="s">
        <v>297</v>
      </c>
      <c r="B69" s="107"/>
      <c r="C69" s="107"/>
      <c r="D69" s="4"/>
      <c r="E69" s="4"/>
      <c r="F69" s="101" t="str">
        <f t="shared" si="119"/>
        <v/>
      </c>
      <c r="G69" s="101" t="str">
        <f t="shared" si="120"/>
        <v/>
      </c>
      <c r="H69" s="4" t="str">
        <f t="shared" si="121"/>
        <v/>
      </c>
      <c r="I69" s="100" t="str">
        <f t="shared" si="122"/>
        <v/>
      </c>
      <c r="J69" s="4" t="str">
        <f t="shared" si="123"/>
        <v/>
      </c>
      <c r="K69" s="101" t="str">
        <f t="shared" si="124"/>
        <v/>
      </c>
      <c r="L69" s="101" t="str">
        <f>IF(NOT(ISERROR(VLOOKUP(B69,Deflatores!G$42:H$64,2,FALSE))),VLOOKUP(B69,Deflatores!G$42:H$64,2,FALSE),IF(OR(ISBLANK(C69),ISBLANK(B69)),"",VLOOKUP(C69,Deflatores!G$4:H$38,2,FALSE)*H69+VLOOKUP(C69,Deflatores!G$4:I$38,3,FALSE)))</f>
        <v/>
      </c>
      <c r="M69" s="101"/>
      <c r="N69" s="101"/>
      <c r="O69" s="113"/>
    </row>
    <row r="70" spans="1:15" x14ac:dyDescent="0.2">
      <c r="A70" s="106" t="s">
        <v>97</v>
      </c>
      <c r="B70" s="107" t="s">
        <v>49</v>
      </c>
      <c r="C70" s="107" t="s">
        <v>44</v>
      </c>
      <c r="D70" s="4">
        <v>34</v>
      </c>
      <c r="E70" s="4">
        <v>4</v>
      </c>
      <c r="F70" s="101" t="str">
        <f t="shared" si="119"/>
        <v>Alta</v>
      </c>
      <c r="G70" s="101" t="str">
        <f t="shared" si="120"/>
        <v>CEH</v>
      </c>
      <c r="H70" s="4">
        <f t="shared" si="121"/>
        <v>6</v>
      </c>
      <c r="I70" s="100" t="str">
        <f t="shared" si="122"/>
        <v>H</v>
      </c>
      <c r="J70" s="4" t="str">
        <f t="shared" si="123"/>
        <v>CEI</v>
      </c>
      <c r="K70" s="101">
        <f t="shared" si="124"/>
        <v>6</v>
      </c>
      <c r="L70" s="101">
        <f>IF(NOT(ISERROR(VLOOKUP(B70,Deflatores!G$42:H$64,2,FALSE))),VLOOKUP(B70,Deflatores!G$42:H$64,2,FALSE),IF(OR(ISBLANK(C70),ISBLANK(B70)),"",VLOOKUP(C70,Deflatores!G$4:H$38,2,FALSE)*H70+VLOOKUP(C70,Deflatores!G$4:I$38,3,FALSE)))</f>
        <v>6</v>
      </c>
      <c r="M70" s="101" t="s">
        <v>45</v>
      </c>
      <c r="N70" s="101"/>
      <c r="O70" s="113"/>
    </row>
    <row r="71" spans="1:15" x14ac:dyDescent="0.2">
      <c r="A71" s="106"/>
      <c r="B71" s="107"/>
      <c r="C71" s="107"/>
      <c r="D71" s="4"/>
      <c r="E71" s="4"/>
      <c r="F71" s="101" t="str">
        <f t="shared" si="119"/>
        <v/>
      </c>
      <c r="G71" s="101" t="str">
        <f t="shared" si="120"/>
        <v/>
      </c>
      <c r="H71" s="4" t="str">
        <f t="shared" si="121"/>
        <v/>
      </c>
      <c r="I71" s="100" t="str">
        <f t="shared" si="122"/>
        <v/>
      </c>
      <c r="J71" s="4" t="str">
        <f t="shared" si="123"/>
        <v/>
      </c>
      <c r="K71" s="101" t="str">
        <f t="shared" si="124"/>
        <v/>
      </c>
      <c r="L71" s="101" t="str">
        <f>IF(NOT(ISERROR(VLOOKUP(B71,Deflatores!G$42:H$64,2,FALSE))),VLOOKUP(B71,Deflatores!G$42:H$64,2,FALSE),IF(OR(ISBLANK(C71),ISBLANK(B71)),"",VLOOKUP(C71,Deflatores!G$4:H$38,2,FALSE)*H71+VLOOKUP(C71,Deflatores!G$4:I$38,3,FALSE)))</f>
        <v/>
      </c>
      <c r="M71" s="101"/>
      <c r="N71" s="101"/>
      <c r="O71" s="113"/>
    </row>
    <row r="72" spans="1:15" x14ac:dyDescent="0.2">
      <c r="A72" s="108" t="s">
        <v>298</v>
      </c>
      <c r="B72" s="107"/>
      <c r="C72" s="107"/>
      <c r="D72" s="4"/>
      <c r="E72" s="4"/>
      <c r="F72" s="101" t="str">
        <f t="shared" si="119"/>
        <v/>
      </c>
      <c r="G72" s="101" t="str">
        <f t="shared" si="120"/>
        <v/>
      </c>
      <c r="H72" s="4" t="str">
        <f t="shared" si="121"/>
        <v/>
      </c>
      <c r="I72" s="100" t="str">
        <f t="shared" si="122"/>
        <v/>
      </c>
      <c r="J72" s="4" t="str">
        <f t="shared" si="123"/>
        <v/>
      </c>
      <c r="K72" s="101" t="str">
        <f t="shared" si="124"/>
        <v/>
      </c>
      <c r="L72" s="101" t="str">
        <f>IF(NOT(ISERROR(VLOOKUP(B72,Deflatores!G$42:H$64,2,FALSE))),VLOOKUP(B72,Deflatores!G$42:H$64,2,FALSE),IF(OR(ISBLANK(C72),ISBLANK(B72)),"",VLOOKUP(C72,Deflatores!G$4:H$38,2,FALSE)*H72+VLOOKUP(C72,Deflatores!G$4:I$38,3,FALSE)))</f>
        <v/>
      </c>
      <c r="M72" s="101"/>
      <c r="N72" s="101"/>
      <c r="O72" s="113"/>
    </row>
    <row r="73" spans="1:15" x14ac:dyDescent="0.2">
      <c r="A73" s="106" t="s">
        <v>98</v>
      </c>
      <c r="B73" s="107" t="s">
        <v>49</v>
      </c>
      <c r="C73" s="107" t="s">
        <v>44</v>
      </c>
      <c r="D73" s="4">
        <v>27</v>
      </c>
      <c r="E73" s="4">
        <v>4</v>
      </c>
      <c r="F73" s="101" t="str">
        <f t="shared" si="119"/>
        <v>Alta</v>
      </c>
      <c r="G73" s="101" t="str">
        <f t="shared" si="120"/>
        <v>CEH</v>
      </c>
      <c r="H73" s="4">
        <f t="shared" si="121"/>
        <v>6</v>
      </c>
      <c r="I73" s="100" t="str">
        <f t="shared" si="122"/>
        <v>H</v>
      </c>
      <c r="J73" s="4" t="str">
        <f t="shared" si="123"/>
        <v>CEI</v>
      </c>
      <c r="K73" s="101">
        <f t="shared" si="124"/>
        <v>6</v>
      </c>
      <c r="L73" s="101">
        <f>IF(NOT(ISERROR(VLOOKUP(B73,Deflatores!G$42:H$64,2,FALSE))),VLOOKUP(B73,Deflatores!G$42:H$64,2,FALSE),IF(OR(ISBLANK(C73),ISBLANK(B73)),"",VLOOKUP(C73,Deflatores!G$4:H$38,2,FALSE)*H73+VLOOKUP(C73,Deflatores!G$4:I$38,3,FALSE)))</f>
        <v>6</v>
      </c>
      <c r="M73" s="101" t="s">
        <v>45</v>
      </c>
      <c r="N73" s="101"/>
      <c r="O73" s="113"/>
    </row>
    <row r="74" spans="1:15" x14ac:dyDescent="0.2">
      <c r="A74" s="106"/>
      <c r="B74" s="107"/>
      <c r="C74" s="107"/>
      <c r="D74" s="4"/>
      <c r="E74" s="4"/>
      <c r="F74" s="101" t="str">
        <f t="shared" ref="F74:F76" si="125">IF(ISBLANK(B74),"",IF(I74="L","Baixa",IF(I74="A","Média",IF(I74="","","Alta"))))</f>
        <v/>
      </c>
      <c r="G74" s="101" t="str">
        <f t="shared" ref="G74:G76" si="126">CONCATENATE(B74,I74)</f>
        <v/>
      </c>
      <c r="H74" s="4" t="str">
        <f t="shared" ref="H74:H76" si="127">IF(ISBLANK(B74),"",IF(B74="ALI",IF(I74="L",7,IF(I74="A",10,15)),IF(B74="AIE",IF(I74="L",5,IF(I74="A",7,10)),IF(B74="SE",IF(I74="L",4,IF(I74="A",5,7)),IF(OR(B74="EE",B74="CE"),IF(I74="L",3,IF(I74="A",4,6)),0)))))</f>
        <v/>
      </c>
      <c r="I74" s="100" t="str">
        <f t="shared" ref="I74:I76" si="128">IF(OR(ISBLANK(D74),ISBLANK(E74)),IF(OR(B74="ALI",B74="AIE"),"L",IF(OR(B74="EE",B74="SE",B74="CE"),"A","")),IF(B74="EE",IF(E74&gt;=3,IF(D74&gt;=5,"H","A"),IF(E74&gt;=2,IF(D74&gt;=16,"H",IF(D74&lt;=4,"L","A")),IF(D74&lt;=15,"L","A"))),IF(OR(B74="SE",B74="CE"),IF(E74&gt;=4,IF(D74&gt;=6,"H","A"),IF(E74&gt;=2,IF(D74&gt;=20,"H",IF(D74&lt;=5,"L","A")),IF(D74&lt;=19,"L","A"))),IF(OR(B74="ALI",B74="AIE"),IF(E74&gt;=6,IF(D74&gt;=20,"H","A"),IF(E74&gt;=2,IF(D74&gt;=51,"H",IF(D74&lt;=19,"L","A")),IF(D74&lt;=50,"L","A"))),""))))</f>
        <v/>
      </c>
      <c r="J74" s="4" t="str">
        <f t="shared" ref="J74:J76" si="129">CONCATENATE(B74,C74)</f>
        <v/>
      </c>
      <c r="K74" s="101" t="str">
        <f t="shared" ref="K74:K76" si="130">IF(OR(H74="",H74=0),L74,H74)</f>
        <v/>
      </c>
      <c r="L74" s="101" t="str">
        <f>IF(NOT(ISERROR(VLOOKUP(B74,Deflatores!G$42:H$64,2,FALSE))),VLOOKUP(B74,Deflatores!G$42:H$64,2,FALSE),IF(OR(ISBLANK(C74),ISBLANK(B74)),"",VLOOKUP(C74,Deflatores!G$4:H$38,2,FALSE)*H74+VLOOKUP(C74,Deflatores!G$4:I$38,3,FALSE)))</f>
        <v/>
      </c>
      <c r="M74" s="101"/>
      <c r="N74" s="101"/>
      <c r="O74" s="113"/>
    </row>
    <row r="75" spans="1:15" x14ac:dyDescent="0.2">
      <c r="A75" s="108" t="s">
        <v>298</v>
      </c>
      <c r="B75" s="107"/>
      <c r="C75" s="107"/>
      <c r="D75" s="4"/>
      <c r="E75" s="4"/>
      <c r="F75" s="101" t="str">
        <f t="shared" si="125"/>
        <v/>
      </c>
      <c r="G75" s="101" t="str">
        <f t="shared" si="126"/>
        <v/>
      </c>
      <c r="H75" s="4" t="str">
        <f t="shared" si="127"/>
        <v/>
      </c>
      <c r="I75" s="100" t="str">
        <f t="shared" si="128"/>
        <v/>
      </c>
      <c r="J75" s="4" t="str">
        <f t="shared" si="129"/>
        <v/>
      </c>
      <c r="K75" s="101" t="str">
        <f t="shared" si="130"/>
        <v/>
      </c>
      <c r="L75" s="101" t="str">
        <f>IF(NOT(ISERROR(VLOOKUP(B75,Deflatores!G$42:H$64,2,FALSE))),VLOOKUP(B75,Deflatores!G$42:H$64,2,FALSE),IF(OR(ISBLANK(C75),ISBLANK(B75)),"",VLOOKUP(C75,Deflatores!G$4:H$38,2,FALSE)*H75+VLOOKUP(C75,Deflatores!G$4:I$38,3,FALSE)))</f>
        <v/>
      </c>
      <c r="M75" s="101"/>
      <c r="N75" s="101"/>
      <c r="O75" s="113"/>
    </row>
    <row r="76" spans="1:15" x14ac:dyDescent="0.2">
      <c r="A76" s="106" t="s">
        <v>98</v>
      </c>
      <c r="B76" s="107" t="s">
        <v>49</v>
      </c>
      <c r="C76" s="107" t="s">
        <v>44</v>
      </c>
      <c r="D76" s="4">
        <v>27</v>
      </c>
      <c r="E76" s="4">
        <v>4</v>
      </c>
      <c r="F76" s="101" t="str">
        <f t="shared" si="125"/>
        <v>Alta</v>
      </c>
      <c r="G76" s="101" t="str">
        <f t="shared" si="126"/>
        <v>CEH</v>
      </c>
      <c r="H76" s="4">
        <f t="shared" si="127"/>
        <v>6</v>
      </c>
      <c r="I76" s="100" t="str">
        <f t="shared" si="128"/>
        <v>H</v>
      </c>
      <c r="J76" s="4" t="str">
        <f t="shared" si="129"/>
        <v>CEI</v>
      </c>
      <c r="K76" s="101">
        <f t="shared" si="130"/>
        <v>6</v>
      </c>
      <c r="L76" s="101">
        <f>IF(NOT(ISERROR(VLOOKUP(B76,Deflatores!G$42:H$64,2,FALSE))),VLOOKUP(B76,Deflatores!G$42:H$64,2,FALSE),IF(OR(ISBLANK(C76),ISBLANK(B76)),"",VLOOKUP(C76,Deflatores!G$4:H$38,2,FALSE)*H76+VLOOKUP(C76,Deflatores!G$4:I$38,3,FALSE)))</f>
        <v>6</v>
      </c>
      <c r="M76" s="101"/>
      <c r="N76" s="101"/>
      <c r="O76" s="113"/>
    </row>
    <row r="77" spans="1:15" x14ac:dyDescent="0.2">
      <c r="A77" s="106"/>
      <c r="B77" s="107"/>
      <c r="C77" s="107"/>
      <c r="D77" s="4"/>
      <c r="E77" s="4"/>
      <c r="F77" s="101" t="str">
        <f t="shared" ref="F77:F140" si="131">IF(ISBLANK(B77),"",IF(I77="L","Baixa",IF(I77="A","Média",IF(I77="","","Alta"))))</f>
        <v/>
      </c>
      <c r="G77" s="101" t="str">
        <f t="shared" ref="G77:G140" si="132">CONCATENATE(B77,I77)</f>
        <v/>
      </c>
      <c r="H77" s="4" t="str">
        <f t="shared" ref="H77:H140" si="133">IF(ISBLANK(B77),"",IF(B77="ALI",IF(I77="L",7,IF(I77="A",10,15)),IF(B77="AIE",IF(I77="L",5,IF(I77="A",7,10)),IF(B77="SE",IF(I77="L",4,IF(I77="A",5,7)),IF(OR(B77="EE",B77="CE"),IF(I77="L",3,IF(I77="A",4,6)),0)))))</f>
        <v/>
      </c>
      <c r="I77" s="100" t="str">
        <f t="shared" ref="I77:I140" si="134">IF(OR(ISBLANK(D77),ISBLANK(E77)),IF(OR(B77="ALI",B77="AIE"),"L",IF(OR(B77="EE",B77="SE",B77="CE"),"A","")),IF(B77="EE",IF(E77&gt;=3,IF(D77&gt;=5,"H","A"),IF(E77&gt;=2,IF(D77&gt;=16,"H",IF(D77&lt;=4,"L","A")),IF(D77&lt;=15,"L","A"))),IF(OR(B77="SE",B77="CE"),IF(E77&gt;=4,IF(D77&gt;=6,"H","A"),IF(E77&gt;=2,IF(D77&gt;=20,"H",IF(D77&lt;=5,"L","A")),IF(D77&lt;=19,"L","A"))),IF(OR(B77="ALI",B77="AIE"),IF(E77&gt;=6,IF(D77&gt;=20,"H","A"),IF(E77&gt;=2,IF(D77&gt;=51,"H",IF(D77&lt;=19,"L","A")),IF(D77&lt;=50,"L","A"))),""))))</f>
        <v/>
      </c>
      <c r="J77" s="4" t="str">
        <f t="shared" ref="J77:J140" si="135">CONCATENATE(B77,C77)</f>
        <v/>
      </c>
      <c r="K77" s="101" t="str">
        <f t="shared" ref="K77:K140" si="136">IF(OR(H77="",H77=0),L77,H77)</f>
        <v/>
      </c>
      <c r="L77" s="101" t="str">
        <f>IF(NOT(ISERROR(VLOOKUP(B77,Deflatores!G$42:H$64,2,FALSE))),VLOOKUP(B77,Deflatores!G$42:H$64,2,FALSE),IF(OR(ISBLANK(C77),ISBLANK(B77)),"",VLOOKUP(C77,Deflatores!G$4:H$38,2,FALSE)*H77+VLOOKUP(C77,Deflatores!G$4:I$38,3,FALSE)))</f>
        <v/>
      </c>
      <c r="M77" s="101"/>
      <c r="N77" s="101"/>
      <c r="O77" s="113"/>
    </row>
    <row r="78" spans="1:15" x14ac:dyDescent="0.2">
      <c r="A78" s="108" t="s">
        <v>299</v>
      </c>
      <c r="B78" s="107"/>
      <c r="C78" s="107"/>
      <c r="D78" s="4"/>
      <c r="E78" s="4"/>
      <c r="F78" s="101" t="str">
        <f t="shared" si="131"/>
        <v/>
      </c>
      <c r="G78" s="101" t="str">
        <f t="shared" si="132"/>
        <v/>
      </c>
      <c r="H78" s="4" t="str">
        <f t="shared" si="133"/>
        <v/>
      </c>
      <c r="I78" s="100" t="str">
        <f t="shared" si="134"/>
        <v/>
      </c>
      <c r="J78" s="4" t="str">
        <f t="shared" si="135"/>
        <v/>
      </c>
      <c r="K78" s="101" t="str">
        <f t="shared" si="136"/>
        <v/>
      </c>
      <c r="L78" s="101" t="str">
        <f>IF(NOT(ISERROR(VLOOKUP(B78,Deflatores!G$42:H$64,2,FALSE))),VLOOKUP(B78,Deflatores!G$42:H$64,2,FALSE),IF(OR(ISBLANK(C78),ISBLANK(B78)),"",VLOOKUP(C78,Deflatores!G$4:H$38,2,FALSE)*H78+VLOOKUP(C78,Deflatores!G$4:I$38,3,FALSE)))</f>
        <v/>
      </c>
      <c r="M78" s="101"/>
      <c r="N78" s="101"/>
      <c r="O78" s="113"/>
    </row>
    <row r="79" spans="1:15" x14ac:dyDescent="0.2">
      <c r="A79" s="106" t="s">
        <v>99</v>
      </c>
      <c r="B79" s="107" t="s">
        <v>43</v>
      </c>
      <c r="C79" s="107" t="s">
        <v>44</v>
      </c>
      <c r="D79" s="4">
        <v>106</v>
      </c>
      <c r="E79" s="4">
        <v>4</v>
      </c>
      <c r="F79" s="101" t="str">
        <f t="shared" si="131"/>
        <v>Alta</v>
      </c>
      <c r="G79" s="101" t="str">
        <f t="shared" si="132"/>
        <v>ALIH</v>
      </c>
      <c r="H79" s="4">
        <f t="shared" si="133"/>
        <v>15</v>
      </c>
      <c r="I79" s="100" t="str">
        <f t="shared" si="134"/>
        <v>H</v>
      </c>
      <c r="J79" s="4" t="str">
        <f t="shared" si="135"/>
        <v>ALII</v>
      </c>
      <c r="K79" s="101">
        <f t="shared" si="136"/>
        <v>15</v>
      </c>
      <c r="L79" s="101">
        <f>IF(NOT(ISERROR(VLOOKUP(B79,Deflatores!G$42:H$64,2,FALSE))),VLOOKUP(B79,Deflatores!G$42:H$64,2,FALSE),IF(OR(ISBLANK(C79),ISBLANK(B79)),"",VLOOKUP(C79,Deflatores!G$4:H$38,2,FALSE)*H79+VLOOKUP(C79,Deflatores!G$4:I$38,3,FALSE)))</f>
        <v>15</v>
      </c>
      <c r="M79" s="101"/>
      <c r="N79" s="101"/>
      <c r="O79" s="113"/>
    </row>
    <row r="80" spans="1:15" x14ac:dyDescent="0.2">
      <c r="A80" s="106" t="s">
        <v>100</v>
      </c>
      <c r="B80" s="107" t="s">
        <v>49</v>
      </c>
      <c r="C80" s="107" t="s">
        <v>44</v>
      </c>
      <c r="D80" s="4">
        <v>12</v>
      </c>
      <c r="E80" s="4">
        <v>3</v>
      </c>
      <c r="F80" s="101" t="str">
        <f t="shared" si="131"/>
        <v>Média</v>
      </c>
      <c r="G80" s="101" t="str">
        <f t="shared" si="132"/>
        <v>CEA</v>
      </c>
      <c r="H80" s="4">
        <f t="shared" si="133"/>
        <v>4</v>
      </c>
      <c r="I80" s="100" t="str">
        <f t="shared" si="134"/>
        <v>A</v>
      </c>
      <c r="J80" s="4" t="str">
        <f t="shared" si="135"/>
        <v>CEI</v>
      </c>
      <c r="K80" s="101">
        <f t="shared" si="136"/>
        <v>4</v>
      </c>
      <c r="L80" s="101">
        <f>IF(NOT(ISERROR(VLOOKUP(B80,Deflatores!G$42:H$64,2,FALSE))),VLOOKUP(B80,Deflatores!G$42:H$64,2,FALSE),IF(OR(ISBLANK(C80),ISBLANK(B80)),"",VLOOKUP(C80,Deflatores!G$4:H$38,2,FALSE)*H80+VLOOKUP(C80,Deflatores!G$4:I$38,3,FALSE)))</f>
        <v>4</v>
      </c>
      <c r="M80" s="101"/>
      <c r="N80" s="101"/>
      <c r="O80" s="113"/>
    </row>
    <row r="81" spans="1:15" x14ac:dyDescent="0.2">
      <c r="A81" s="106" t="s">
        <v>101</v>
      </c>
      <c r="B81" s="107" t="s">
        <v>102</v>
      </c>
      <c r="C81" s="107" t="s">
        <v>44</v>
      </c>
      <c r="D81" s="4">
        <v>8</v>
      </c>
      <c r="E81" s="4">
        <v>4</v>
      </c>
      <c r="F81" s="101" t="str">
        <f t="shared" si="131"/>
        <v>Alta</v>
      </c>
      <c r="G81" s="101" t="str">
        <f t="shared" si="132"/>
        <v>SEH</v>
      </c>
      <c r="H81" s="4">
        <f t="shared" si="133"/>
        <v>7</v>
      </c>
      <c r="I81" s="100" t="str">
        <f t="shared" si="134"/>
        <v>H</v>
      </c>
      <c r="J81" s="4" t="str">
        <f t="shared" si="135"/>
        <v>SEI</v>
      </c>
      <c r="K81" s="101">
        <f t="shared" si="136"/>
        <v>7</v>
      </c>
      <c r="L81" s="101">
        <f>IF(NOT(ISERROR(VLOOKUP(B81,Deflatores!G$42:H$64,2,FALSE))),VLOOKUP(B81,Deflatores!G$42:H$64,2,FALSE),IF(OR(ISBLANK(C81),ISBLANK(B81)),"",VLOOKUP(C81,Deflatores!G$4:H$38,2,FALSE)*H81+VLOOKUP(C81,Deflatores!G$4:I$38,3,FALSE)))</f>
        <v>7</v>
      </c>
      <c r="M81" s="101"/>
      <c r="N81" s="101"/>
      <c r="O81" s="113"/>
    </row>
    <row r="82" spans="1:15" x14ac:dyDescent="0.2">
      <c r="A82" s="106" t="s">
        <v>103</v>
      </c>
      <c r="B82" s="107" t="s">
        <v>49</v>
      </c>
      <c r="C82" s="107" t="s">
        <v>44</v>
      </c>
      <c r="D82" s="4">
        <v>17</v>
      </c>
      <c r="E82" s="4">
        <v>4</v>
      </c>
      <c r="F82" s="101" t="str">
        <f t="shared" si="131"/>
        <v>Alta</v>
      </c>
      <c r="G82" s="101" t="str">
        <f t="shared" si="132"/>
        <v>CEH</v>
      </c>
      <c r="H82" s="4">
        <f t="shared" si="133"/>
        <v>6</v>
      </c>
      <c r="I82" s="100" t="str">
        <f t="shared" si="134"/>
        <v>H</v>
      </c>
      <c r="J82" s="4" t="str">
        <f t="shared" si="135"/>
        <v>CEI</v>
      </c>
      <c r="K82" s="101">
        <f t="shared" si="136"/>
        <v>6</v>
      </c>
      <c r="L82" s="101">
        <f>IF(NOT(ISERROR(VLOOKUP(B82,Deflatores!G$42:H$64,2,FALSE))),VLOOKUP(B82,Deflatores!G$42:H$64,2,FALSE),IF(OR(ISBLANK(C82),ISBLANK(B82)),"",VLOOKUP(C82,Deflatores!G$4:H$38,2,FALSE)*H82+VLOOKUP(C82,Deflatores!G$4:I$38,3,FALSE)))</f>
        <v>6</v>
      </c>
      <c r="M82" s="101"/>
      <c r="N82" s="101"/>
      <c r="O82" s="113"/>
    </row>
    <row r="83" spans="1:15" x14ac:dyDescent="0.2">
      <c r="A83" s="106" t="s">
        <v>104</v>
      </c>
      <c r="B83" s="107" t="s">
        <v>49</v>
      </c>
      <c r="C83" s="107" t="s">
        <v>44</v>
      </c>
      <c r="D83" s="4">
        <v>18</v>
      </c>
      <c r="E83" s="4">
        <v>3</v>
      </c>
      <c r="F83" s="101" t="str">
        <f t="shared" si="131"/>
        <v>Média</v>
      </c>
      <c r="G83" s="101" t="str">
        <f t="shared" si="132"/>
        <v>CEA</v>
      </c>
      <c r="H83" s="4">
        <f t="shared" si="133"/>
        <v>4</v>
      </c>
      <c r="I83" s="100" t="str">
        <f t="shared" si="134"/>
        <v>A</v>
      </c>
      <c r="J83" s="4" t="str">
        <f t="shared" si="135"/>
        <v>CEI</v>
      </c>
      <c r="K83" s="101">
        <f t="shared" si="136"/>
        <v>4</v>
      </c>
      <c r="L83" s="101">
        <f>IF(NOT(ISERROR(VLOOKUP(B83,Deflatores!G$42:H$64,2,FALSE))),VLOOKUP(B83,Deflatores!G$42:H$64,2,FALSE),IF(OR(ISBLANK(C83),ISBLANK(B83)),"",VLOOKUP(C83,Deflatores!G$4:H$38,2,FALSE)*H83+VLOOKUP(C83,Deflatores!G$4:I$38,3,FALSE)))</f>
        <v>4</v>
      </c>
      <c r="M83" s="101"/>
      <c r="N83" s="101"/>
      <c r="O83" s="113"/>
    </row>
    <row r="84" spans="1:15" x14ac:dyDescent="0.2">
      <c r="A84" s="106" t="s">
        <v>105</v>
      </c>
      <c r="B84" s="107" t="s">
        <v>49</v>
      </c>
      <c r="C84" s="107" t="s">
        <v>44</v>
      </c>
      <c r="D84" s="4">
        <v>7</v>
      </c>
      <c r="E84" s="4">
        <v>1</v>
      </c>
      <c r="F84" s="101" t="str">
        <f t="shared" si="131"/>
        <v>Baixa</v>
      </c>
      <c r="G84" s="101" t="str">
        <f t="shared" si="132"/>
        <v>CEL</v>
      </c>
      <c r="H84" s="4">
        <f t="shared" si="133"/>
        <v>3</v>
      </c>
      <c r="I84" s="100" t="str">
        <f t="shared" si="134"/>
        <v>L</v>
      </c>
      <c r="J84" s="4" t="str">
        <f t="shared" si="135"/>
        <v>CEI</v>
      </c>
      <c r="K84" s="101">
        <f t="shared" si="136"/>
        <v>3</v>
      </c>
      <c r="L84" s="101">
        <f>IF(NOT(ISERROR(VLOOKUP(B84,Deflatores!G$42:H$64,2,FALSE))),VLOOKUP(B84,Deflatores!G$42:H$64,2,FALSE),IF(OR(ISBLANK(C84),ISBLANK(B84)),"",VLOOKUP(C84,Deflatores!G$4:H$38,2,FALSE)*H84+VLOOKUP(C84,Deflatores!G$4:I$38,3,FALSE)))</f>
        <v>3</v>
      </c>
      <c r="M84" s="101"/>
      <c r="N84" s="101"/>
      <c r="O84" s="113"/>
    </row>
    <row r="85" spans="1:15" x14ac:dyDescent="0.2">
      <c r="A85" s="106" t="s">
        <v>106</v>
      </c>
      <c r="B85" s="107" t="s">
        <v>49</v>
      </c>
      <c r="C85" s="107" t="s">
        <v>44</v>
      </c>
      <c r="D85" s="4">
        <v>12</v>
      </c>
      <c r="E85" s="4">
        <v>4</v>
      </c>
      <c r="F85" s="101" t="str">
        <f t="shared" si="131"/>
        <v>Alta</v>
      </c>
      <c r="G85" s="101" t="str">
        <f t="shared" si="132"/>
        <v>CEH</v>
      </c>
      <c r="H85" s="4">
        <f t="shared" si="133"/>
        <v>6</v>
      </c>
      <c r="I85" s="100" t="str">
        <f t="shared" si="134"/>
        <v>H</v>
      </c>
      <c r="J85" s="4" t="str">
        <f t="shared" si="135"/>
        <v>CEI</v>
      </c>
      <c r="K85" s="101">
        <f t="shared" si="136"/>
        <v>6</v>
      </c>
      <c r="L85" s="101">
        <f>IF(NOT(ISERROR(VLOOKUP(B85,Deflatores!G$42:H$64,2,FALSE))),VLOOKUP(B85,Deflatores!G$42:H$64,2,FALSE),IF(OR(ISBLANK(C85),ISBLANK(B85)),"",VLOOKUP(C85,Deflatores!G$4:H$38,2,FALSE)*H85+VLOOKUP(C85,Deflatores!G$4:I$38,3,FALSE)))</f>
        <v>6</v>
      </c>
      <c r="M85" s="101"/>
      <c r="N85" s="101"/>
      <c r="O85" s="113"/>
    </row>
    <row r="86" spans="1:15" x14ac:dyDescent="0.2">
      <c r="A86" s="106" t="s">
        <v>107</v>
      </c>
      <c r="B86" s="107" t="s">
        <v>53</v>
      </c>
      <c r="C86" s="107" t="s">
        <v>44</v>
      </c>
      <c r="D86" s="4">
        <v>4</v>
      </c>
      <c r="E86" s="4">
        <v>1</v>
      </c>
      <c r="F86" s="101" t="str">
        <f t="shared" si="131"/>
        <v>Baixa</v>
      </c>
      <c r="G86" s="101" t="str">
        <f t="shared" si="132"/>
        <v>EEL</v>
      </c>
      <c r="H86" s="4">
        <f t="shared" si="133"/>
        <v>3</v>
      </c>
      <c r="I86" s="100" t="str">
        <f t="shared" si="134"/>
        <v>L</v>
      </c>
      <c r="J86" s="4" t="str">
        <f t="shared" si="135"/>
        <v>EEI</v>
      </c>
      <c r="K86" s="101">
        <f t="shared" si="136"/>
        <v>3</v>
      </c>
      <c r="L86" s="101">
        <f>IF(NOT(ISERROR(VLOOKUP(B86,Deflatores!G$42:H$64,2,FALSE))),VLOOKUP(B86,Deflatores!G$42:H$64,2,FALSE),IF(OR(ISBLANK(C86),ISBLANK(B86)),"",VLOOKUP(C86,Deflatores!G$4:H$38,2,FALSE)*H86+VLOOKUP(C86,Deflatores!G$4:I$38,3,FALSE)))</f>
        <v>3</v>
      </c>
      <c r="M86" s="101"/>
      <c r="N86" s="101"/>
      <c r="O86" s="113"/>
    </row>
    <row r="87" spans="1:15" x14ac:dyDescent="0.2">
      <c r="A87" s="106" t="s">
        <v>108</v>
      </c>
      <c r="B87" s="107" t="s">
        <v>53</v>
      </c>
      <c r="C87" s="107" t="s">
        <v>44</v>
      </c>
      <c r="D87" s="4">
        <v>5</v>
      </c>
      <c r="E87" s="4">
        <v>1</v>
      </c>
      <c r="F87" s="101" t="str">
        <f t="shared" si="131"/>
        <v>Baixa</v>
      </c>
      <c r="G87" s="101" t="str">
        <f t="shared" si="132"/>
        <v>EEL</v>
      </c>
      <c r="H87" s="4">
        <f t="shared" si="133"/>
        <v>3</v>
      </c>
      <c r="I87" s="100" t="str">
        <f t="shared" si="134"/>
        <v>L</v>
      </c>
      <c r="J87" s="4" t="str">
        <f t="shared" si="135"/>
        <v>EEI</v>
      </c>
      <c r="K87" s="101">
        <f t="shared" si="136"/>
        <v>3</v>
      </c>
      <c r="L87" s="101">
        <f>IF(NOT(ISERROR(VLOOKUP(B87,Deflatores!G$42:H$64,2,FALSE))),VLOOKUP(B87,Deflatores!G$42:H$64,2,FALSE),IF(OR(ISBLANK(C87),ISBLANK(B87)),"",VLOOKUP(C87,Deflatores!G$4:H$38,2,FALSE)*H87+VLOOKUP(C87,Deflatores!G$4:I$38,3,FALSE)))</f>
        <v>3</v>
      </c>
      <c r="M87" s="101"/>
      <c r="N87" s="101"/>
      <c r="O87" s="113"/>
    </row>
    <row r="88" spans="1:15" x14ac:dyDescent="0.2">
      <c r="A88" s="106"/>
      <c r="B88" s="107"/>
      <c r="C88" s="107"/>
      <c r="D88" s="4"/>
      <c r="E88" s="4"/>
      <c r="F88" s="101" t="str">
        <f t="shared" si="131"/>
        <v/>
      </c>
      <c r="G88" s="101" t="str">
        <f t="shared" si="132"/>
        <v/>
      </c>
      <c r="H88" s="4" t="str">
        <f t="shared" si="133"/>
        <v/>
      </c>
      <c r="I88" s="100" t="str">
        <f t="shared" si="134"/>
        <v/>
      </c>
      <c r="J88" s="4" t="str">
        <f t="shared" si="135"/>
        <v/>
      </c>
      <c r="K88" s="101" t="str">
        <f t="shared" si="136"/>
        <v/>
      </c>
      <c r="L88" s="101" t="str">
        <f>IF(NOT(ISERROR(VLOOKUP(B88,Deflatores!G$42:H$64,2,FALSE))),VLOOKUP(B88,Deflatores!G$42:H$64,2,FALSE),IF(OR(ISBLANK(C88),ISBLANK(B88)),"",VLOOKUP(C88,Deflatores!G$4:H$38,2,FALSE)*H88+VLOOKUP(C88,Deflatores!G$4:I$38,3,FALSE)))</f>
        <v/>
      </c>
      <c r="M88" s="101"/>
      <c r="N88" s="101"/>
      <c r="O88" s="113"/>
    </row>
    <row r="89" spans="1:15" x14ac:dyDescent="0.2">
      <c r="A89" s="108" t="s">
        <v>109</v>
      </c>
      <c r="B89" s="107"/>
      <c r="C89" s="107"/>
      <c r="D89" s="4"/>
      <c r="E89" s="4"/>
      <c r="F89" s="101" t="str">
        <f t="shared" si="131"/>
        <v/>
      </c>
      <c r="G89" s="101" t="str">
        <f t="shared" si="132"/>
        <v/>
      </c>
      <c r="H89" s="4" t="str">
        <f t="shared" si="133"/>
        <v/>
      </c>
      <c r="I89" s="100" t="str">
        <f t="shared" si="134"/>
        <v/>
      </c>
      <c r="J89" s="4" t="str">
        <f t="shared" si="135"/>
        <v/>
      </c>
      <c r="K89" s="101" t="str">
        <f t="shared" si="136"/>
        <v/>
      </c>
      <c r="L89" s="101" t="str">
        <f>IF(NOT(ISERROR(VLOOKUP(B89,Deflatores!G$42:H$64,2,FALSE))),VLOOKUP(B89,Deflatores!G$42:H$64,2,FALSE),IF(OR(ISBLANK(C89),ISBLANK(B89)),"",VLOOKUP(C89,Deflatores!G$4:H$38,2,FALSE)*H89+VLOOKUP(C89,Deflatores!G$4:I$38,3,FALSE)))</f>
        <v/>
      </c>
      <c r="M89" s="101"/>
      <c r="N89" s="101"/>
      <c r="O89" s="113"/>
    </row>
    <row r="90" spans="1:15" x14ac:dyDescent="0.2">
      <c r="A90" s="106" t="s">
        <v>300</v>
      </c>
      <c r="B90" s="107" t="s">
        <v>49</v>
      </c>
      <c r="C90" s="107" t="s">
        <v>44</v>
      </c>
      <c r="D90" s="4">
        <v>9</v>
      </c>
      <c r="E90" s="4">
        <v>1</v>
      </c>
      <c r="F90" s="101" t="str">
        <f t="shared" si="131"/>
        <v>Baixa</v>
      </c>
      <c r="G90" s="101" t="str">
        <f t="shared" si="132"/>
        <v>CEL</v>
      </c>
      <c r="H90" s="4">
        <f t="shared" si="133"/>
        <v>3</v>
      </c>
      <c r="I90" s="100" t="str">
        <f t="shared" si="134"/>
        <v>L</v>
      </c>
      <c r="J90" s="4" t="str">
        <f t="shared" si="135"/>
        <v>CEI</v>
      </c>
      <c r="K90" s="101">
        <f t="shared" si="136"/>
        <v>3</v>
      </c>
      <c r="L90" s="101">
        <f>IF(NOT(ISERROR(VLOOKUP(B90,Deflatores!G$42:H$64,2,FALSE))),VLOOKUP(B90,Deflatores!G$42:H$64,2,FALSE),IF(OR(ISBLANK(C90),ISBLANK(B90)),"",VLOOKUP(C90,Deflatores!G$4:H$38,2,FALSE)*H90+VLOOKUP(C90,Deflatores!G$4:I$38,3,FALSE)))</f>
        <v>3</v>
      </c>
      <c r="M90" s="101"/>
      <c r="N90" s="101"/>
      <c r="O90" s="113"/>
    </row>
    <row r="91" spans="1:15" x14ac:dyDescent="0.2">
      <c r="A91" s="106" t="s">
        <v>110</v>
      </c>
      <c r="B91" s="107" t="s">
        <v>53</v>
      </c>
      <c r="C91" s="107" t="s">
        <v>44</v>
      </c>
      <c r="D91" s="4">
        <v>15</v>
      </c>
      <c r="E91" s="4">
        <v>4</v>
      </c>
      <c r="F91" s="101" t="str">
        <f t="shared" si="131"/>
        <v>Alta</v>
      </c>
      <c r="G91" s="101" t="str">
        <f t="shared" si="132"/>
        <v>EEH</v>
      </c>
      <c r="H91" s="4">
        <f t="shared" si="133"/>
        <v>6</v>
      </c>
      <c r="I91" s="100" t="str">
        <f t="shared" si="134"/>
        <v>H</v>
      </c>
      <c r="J91" s="4" t="str">
        <f t="shared" si="135"/>
        <v>EEI</v>
      </c>
      <c r="K91" s="101">
        <f t="shared" si="136"/>
        <v>6</v>
      </c>
      <c r="L91" s="101">
        <f>IF(NOT(ISERROR(VLOOKUP(B91,Deflatores!G$42:H$64,2,FALSE))),VLOOKUP(B91,Deflatores!G$42:H$64,2,FALSE),IF(OR(ISBLANK(C91),ISBLANK(B91)),"",VLOOKUP(C91,Deflatores!G$4:H$38,2,FALSE)*H91+VLOOKUP(C91,Deflatores!G$4:I$38,3,FALSE)))</f>
        <v>6</v>
      </c>
      <c r="M91" s="101"/>
      <c r="N91" s="101"/>
      <c r="O91" s="113"/>
    </row>
    <row r="92" spans="1:15" x14ac:dyDescent="0.2">
      <c r="A92" s="109" t="s">
        <v>301</v>
      </c>
      <c r="B92" s="107" t="s">
        <v>53</v>
      </c>
      <c r="C92" s="107" t="s">
        <v>44</v>
      </c>
      <c r="D92" s="4">
        <v>13</v>
      </c>
      <c r="E92" s="4">
        <v>2</v>
      </c>
      <c r="F92" s="101" t="str">
        <f t="shared" si="131"/>
        <v>Média</v>
      </c>
      <c r="G92" s="101" t="str">
        <f t="shared" si="132"/>
        <v>EEA</v>
      </c>
      <c r="H92" s="4">
        <f t="shared" si="133"/>
        <v>4</v>
      </c>
      <c r="I92" s="100" t="str">
        <f t="shared" si="134"/>
        <v>A</v>
      </c>
      <c r="J92" s="4" t="str">
        <f t="shared" si="135"/>
        <v>EEI</v>
      </c>
      <c r="K92" s="101">
        <f t="shared" si="136"/>
        <v>4</v>
      </c>
      <c r="L92" s="101">
        <f>IF(NOT(ISERROR(VLOOKUP(B92,Deflatores!G$42:H$64,2,FALSE))),VLOOKUP(B92,Deflatores!G$42:H$64,2,FALSE),IF(OR(ISBLANK(C92),ISBLANK(B92)),"",VLOOKUP(C92,Deflatores!G$4:H$38,2,FALSE)*H92+VLOOKUP(C92,Deflatores!G$4:I$38,3,FALSE)))</f>
        <v>4</v>
      </c>
      <c r="M92" s="101"/>
      <c r="N92" s="101"/>
      <c r="O92" s="113"/>
    </row>
    <row r="93" spans="1:15" x14ac:dyDescent="0.2">
      <c r="A93" s="106" t="s">
        <v>302</v>
      </c>
      <c r="B93" s="107" t="s">
        <v>53</v>
      </c>
      <c r="C93" s="107" t="s">
        <v>44</v>
      </c>
      <c r="D93" s="107">
        <v>19</v>
      </c>
      <c r="E93" s="4">
        <v>1</v>
      </c>
      <c r="F93" s="101" t="str">
        <f t="shared" si="131"/>
        <v>Média</v>
      </c>
      <c r="G93" s="101" t="str">
        <f t="shared" si="132"/>
        <v>EEA</v>
      </c>
      <c r="H93" s="4">
        <f t="shared" si="133"/>
        <v>4</v>
      </c>
      <c r="I93" s="100" t="str">
        <f t="shared" si="134"/>
        <v>A</v>
      </c>
      <c r="J93" s="4" t="str">
        <f t="shared" si="135"/>
        <v>EEI</v>
      </c>
      <c r="K93" s="101">
        <f t="shared" si="136"/>
        <v>4</v>
      </c>
      <c r="L93" s="101">
        <f>IF(NOT(ISERROR(VLOOKUP(B93,Deflatores!G$42:H$64,2,FALSE))),VLOOKUP(B93,Deflatores!G$42:H$64,2,FALSE),IF(OR(ISBLANK(C93),ISBLANK(B93)),"",VLOOKUP(C93,Deflatores!G$4:H$38,2,FALSE)*H93+VLOOKUP(C93,Deflatores!G$4:I$38,3,FALSE)))</f>
        <v>4</v>
      </c>
      <c r="M93" s="101"/>
      <c r="N93" s="101"/>
      <c r="O93" s="113"/>
    </row>
    <row r="94" spans="1:15" x14ac:dyDescent="0.2">
      <c r="A94" s="109" t="s">
        <v>303</v>
      </c>
      <c r="B94" s="107" t="s">
        <v>49</v>
      </c>
      <c r="C94" s="107" t="s">
        <v>44</v>
      </c>
      <c r="D94" s="107">
        <v>16</v>
      </c>
      <c r="E94" s="4">
        <v>1</v>
      </c>
      <c r="F94" s="101" t="str">
        <f t="shared" si="131"/>
        <v>Baixa</v>
      </c>
      <c r="G94" s="101" t="str">
        <f t="shared" si="132"/>
        <v>CEL</v>
      </c>
      <c r="H94" s="4">
        <f t="shared" si="133"/>
        <v>3</v>
      </c>
      <c r="I94" s="100" t="str">
        <f t="shared" si="134"/>
        <v>L</v>
      </c>
      <c r="J94" s="4" t="str">
        <f t="shared" si="135"/>
        <v>CEI</v>
      </c>
      <c r="K94" s="101">
        <f t="shared" si="136"/>
        <v>3</v>
      </c>
      <c r="L94" s="101">
        <f>IF(NOT(ISERROR(VLOOKUP(B94,Deflatores!G$42:H$64,2,FALSE))),VLOOKUP(B94,Deflatores!G$42:H$64,2,FALSE),IF(OR(ISBLANK(C94),ISBLANK(B94)),"",VLOOKUP(C94,Deflatores!G$4:H$38,2,FALSE)*H94+VLOOKUP(C94,Deflatores!G$4:I$38,3,FALSE)))</f>
        <v>3</v>
      </c>
      <c r="M94" s="101"/>
      <c r="N94" s="101"/>
      <c r="O94" s="113"/>
    </row>
    <row r="95" spans="1:15" x14ac:dyDescent="0.2">
      <c r="A95" s="106" t="s">
        <v>304</v>
      </c>
      <c r="B95" s="107" t="s">
        <v>53</v>
      </c>
      <c r="C95" s="107" t="s">
        <v>44</v>
      </c>
      <c r="D95" s="107">
        <v>8</v>
      </c>
      <c r="E95" s="4">
        <v>1</v>
      </c>
      <c r="F95" s="101" t="str">
        <f t="shared" si="131"/>
        <v>Baixa</v>
      </c>
      <c r="G95" s="101" t="str">
        <f t="shared" si="132"/>
        <v>EEL</v>
      </c>
      <c r="H95" s="4">
        <f t="shared" si="133"/>
        <v>3</v>
      </c>
      <c r="I95" s="100" t="str">
        <f t="shared" si="134"/>
        <v>L</v>
      </c>
      <c r="J95" s="4" t="str">
        <f t="shared" si="135"/>
        <v>EEI</v>
      </c>
      <c r="K95" s="101">
        <f t="shared" si="136"/>
        <v>3</v>
      </c>
      <c r="L95" s="101">
        <f>IF(NOT(ISERROR(VLOOKUP(B95,Deflatores!G$42:H$64,2,FALSE))),VLOOKUP(B95,Deflatores!G$42:H$64,2,FALSE),IF(OR(ISBLANK(C95),ISBLANK(B95)),"",VLOOKUP(C95,Deflatores!G$4:H$38,2,FALSE)*H95+VLOOKUP(C95,Deflatores!G$4:I$38,3,FALSE)))</f>
        <v>3</v>
      </c>
      <c r="M95" s="101"/>
      <c r="N95" s="101"/>
      <c r="O95" s="113"/>
    </row>
    <row r="96" spans="1:15" x14ac:dyDescent="0.2">
      <c r="A96" s="109" t="s">
        <v>305</v>
      </c>
      <c r="B96" s="107" t="s">
        <v>49</v>
      </c>
      <c r="C96" s="107" t="s">
        <v>44</v>
      </c>
      <c r="D96" s="107">
        <v>6</v>
      </c>
      <c r="E96" s="4">
        <v>1</v>
      </c>
      <c r="F96" s="101" t="str">
        <f t="shared" si="131"/>
        <v>Baixa</v>
      </c>
      <c r="G96" s="101" t="str">
        <f t="shared" si="132"/>
        <v>CEL</v>
      </c>
      <c r="H96" s="4">
        <f t="shared" si="133"/>
        <v>3</v>
      </c>
      <c r="I96" s="100" t="str">
        <f t="shared" si="134"/>
        <v>L</v>
      </c>
      <c r="J96" s="4" t="str">
        <f t="shared" si="135"/>
        <v>CEI</v>
      </c>
      <c r="K96" s="101">
        <f t="shared" si="136"/>
        <v>3</v>
      </c>
      <c r="L96" s="101">
        <f>IF(NOT(ISERROR(VLOOKUP(B96,Deflatores!G$42:H$64,2,FALSE))),VLOOKUP(B96,Deflatores!G$42:H$64,2,FALSE),IF(OR(ISBLANK(C96),ISBLANK(B96)),"",VLOOKUP(C96,Deflatores!G$4:H$38,2,FALSE)*H96+VLOOKUP(C96,Deflatores!G$4:I$38,3,FALSE)))</f>
        <v>3</v>
      </c>
      <c r="M96" s="101"/>
      <c r="N96" s="101"/>
      <c r="O96" s="113"/>
    </row>
    <row r="97" spans="1:15" x14ac:dyDescent="0.2">
      <c r="A97" s="106"/>
      <c r="B97" s="107"/>
      <c r="C97" s="107"/>
      <c r="D97" s="4"/>
      <c r="E97" s="4"/>
      <c r="F97" s="101" t="str">
        <f t="shared" si="131"/>
        <v/>
      </c>
      <c r="G97" s="101" t="str">
        <f t="shared" si="132"/>
        <v/>
      </c>
      <c r="H97" s="4" t="str">
        <f t="shared" si="133"/>
        <v/>
      </c>
      <c r="I97" s="100" t="str">
        <f t="shared" si="134"/>
        <v/>
      </c>
      <c r="J97" s="4" t="str">
        <f t="shared" si="135"/>
        <v/>
      </c>
      <c r="K97" s="101" t="str">
        <f t="shared" si="136"/>
        <v/>
      </c>
      <c r="L97" s="101" t="str">
        <f>IF(NOT(ISERROR(VLOOKUP(B97,Deflatores!G$42:H$64,2,FALSE))),VLOOKUP(B97,Deflatores!G$42:H$64,2,FALSE),IF(OR(ISBLANK(C97),ISBLANK(B97)),"",VLOOKUP(C97,Deflatores!G$4:H$38,2,FALSE)*H97+VLOOKUP(C97,Deflatores!G$4:I$38,3,FALSE)))</f>
        <v/>
      </c>
      <c r="M97" s="101"/>
      <c r="N97" s="101"/>
      <c r="O97" s="113"/>
    </row>
    <row r="98" spans="1:15" x14ac:dyDescent="0.2">
      <c r="A98" s="108" t="s">
        <v>111</v>
      </c>
      <c r="B98" s="107"/>
      <c r="C98" s="107"/>
      <c r="D98" s="107"/>
      <c r="E98" s="4"/>
      <c r="F98" s="101" t="str">
        <f t="shared" si="131"/>
        <v/>
      </c>
      <c r="G98" s="101" t="str">
        <f t="shared" si="132"/>
        <v/>
      </c>
      <c r="H98" s="4" t="str">
        <f t="shared" si="133"/>
        <v/>
      </c>
      <c r="I98" s="100" t="str">
        <f t="shared" si="134"/>
        <v/>
      </c>
      <c r="J98" s="4" t="str">
        <f t="shared" si="135"/>
        <v/>
      </c>
      <c r="K98" s="101" t="str">
        <f t="shared" si="136"/>
        <v/>
      </c>
      <c r="L98" s="101" t="str">
        <f>IF(NOT(ISERROR(VLOOKUP(B98,Deflatores!G$42:H$64,2,FALSE))),VLOOKUP(B98,Deflatores!G$42:H$64,2,FALSE),IF(OR(ISBLANK(C98),ISBLANK(B98)),"",VLOOKUP(C98,Deflatores!G$4:H$38,2,FALSE)*H98+VLOOKUP(C98,Deflatores!G$4:I$38,3,FALSE)))</f>
        <v/>
      </c>
      <c r="M98" s="101"/>
      <c r="N98" s="101"/>
      <c r="O98" s="113"/>
    </row>
    <row r="99" spans="1:15" x14ac:dyDescent="0.2">
      <c r="A99" s="106" t="s">
        <v>112</v>
      </c>
      <c r="B99" s="107" t="s">
        <v>49</v>
      </c>
      <c r="C99" s="107" t="s">
        <v>44</v>
      </c>
      <c r="D99" s="4">
        <v>78</v>
      </c>
      <c r="E99" s="4">
        <v>3</v>
      </c>
      <c r="F99" s="101" t="str">
        <f t="shared" si="131"/>
        <v>Alta</v>
      </c>
      <c r="G99" s="101" t="str">
        <f t="shared" si="132"/>
        <v>CEH</v>
      </c>
      <c r="H99" s="4">
        <f t="shared" si="133"/>
        <v>6</v>
      </c>
      <c r="I99" s="100" t="str">
        <f t="shared" si="134"/>
        <v>H</v>
      </c>
      <c r="J99" s="4" t="str">
        <f t="shared" si="135"/>
        <v>CEI</v>
      </c>
      <c r="K99" s="101">
        <f t="shared" si="136"/>
        <v>6</v>
      </c>
      <c r="L99" s="101">
        <f>IF(NOT(ISERROR(VLOOKUP(B99,Deflatores!G$42:H$64,2,FALSE))),VLOOKUP(B99,Deflatores!G$42:H$64,2,FALSE),IF(OR(ISBLANK(C99),ISBLANK(B99)),"",VLOOKUP(C99,Deflatores!G$4:H$38,2,FALSE)*H99+VLOOKUP(C99,Deflatores!G$4:I$38,3,FALSE)))</f>
        <v>6</v>
      </c>
      <c r="M99" s="101"/>
      <c r="N99" s="101"/>
      <c r="O99" s="113"/>
    </row>
    <row r="100" spans="1:15" x14ac:dyDescent="0.2">
      <c r="A100" s="106"/>
      <c r="B100" s="107"/>
      <c r="C100" s="107"/>
      <c r="D100" s="4"/>
      <c r="E100" s="4"/>
      <c r="F100" s="101" t="str">
        <f t="shared" si="131"/>
        <v/>
      </c>
      <c r="G100" s="101" t="str">
        <f t="shared" si="132"/>
        <v/>
      </c>
      <c r="H100" s="4" t="str">
        <f t="shared" si="133"/>
        <v/>
      </c>
      <c r="I100" s="100" t="str">
        <f t="shared" si="134"/>
        <v/>
      </c>
      <c r="J100" s="4" t="str">
        <f t="shared" si="135"/>
        <v/>
      </c>
      <c r="K100" s="101" t="str">
        <f t="shared" si="136"/>
        <v/>
      </c>
      <c r="L100" s="101" t="str">
        <f>IF(NOT(ISERROR(VLOOKUP(B100,Deflatores!G$42:H$64,2,FALSE))),VLOOKUP(B100,Deflatores!G$42:H$64,2,FALSE),IF(OR(ISBLANK(C100),ISBLANK(B100)),"",VLOOKUP(C100,Deflatores!G$4:H$38,2,FALSE)*H100+VLOOKUP(C100,Deflatores!G$4:I$38,3,FALSE)))</f>
        <v/>
      </c>
      <c r="M100" s="101"/>
      <c r="N100" s="101"/>
      <c r="O100" s="113"/>
    </row>
    <row r="101" spans="1:15" x14ac:dyDescent="0.2">
      <c r="A101" s="108" t="s">
        <v>113</v>
      </c>
      <c r="B101" s="107"/>
      <c r="C101" s="107"/>
      <c r="D101" s="4"/>
      <c r="E101" s="4"/>
      <c r="F101" s="101" t="str">
        <f t="shared" si="131"/>
        <v/>
      </c>
      <c r="G101" s="101" t="str">
        <f t="shared" si="132"/>
        <v/>
      </c>
      <c r="H101" s="4" t="str">
        <f t="shared" si="133"/>
        <v/>
      </c>
      <c r="I101" s="100" t="str">
        <f t="shared" si="134"/>
        <v/>
      </c>
      <c r="J101" s="4" t="str">
        <f t="shared" si="135"/>
        <v/>
      </c>
      <c r="K101" s="101" t="str">
        <f t="shared" si="136"/>
        <v/>
      </c>
      <c r="L101" s="101" t="str">
        <f>IF(NOT(ISERROR(VLOOKUP(B101,Deflatores!G$42:H$64,2,FALSE))),VLOOKUP(B101,Deflatores!G$42:H$64,2,FALSE),IF(OR(ISBLANK(C101),ISBLANK(B101)),"",VLOOKUP(C101,Deflatores!G$4:H$38,2,FALSE)*H101+VLOOKUP(C101,Deflatores!G$4:I$38,3,FALSE)))</f>
        <v/>
      </c>
      <c r="M101" s="101"/>
      <c r="N101" s="101"/>
      <c r="O101" s="113"/>
    </row>
    <row r="102" spans="1:15" x14ac:dyDescent="0.2">
      <c r="A102" s="106" t="s">
        <v>103</v>
      </c>
      <c r="B102" s="107" t="s">
        <v>49</v>
      </c>
      <c r="C102" s="107" t="s">
        <v>44</v>
      </c>
      <c r="D102" s="4">
        <v>43</v>
      </c>
      <c r="E102" s="4">
        <v>3</v>
      </c>
      <c r="F102" s="101" t="str">
        <f t="shared" si="131"/>
        <v>Alta</v>
      </c>
      <c r="G102" s="101" t="str">
        <f t="shared" si="132"/>
        <v>CEH</v>
      </c>
      <c r="H102" s="4">
        <f t="shared" si="133"/>
        <v>6</v>
      </c>
      <c r="I102" s="100" t="str">
        <f t="shared" si="134"/>
        <v>H</v>
      </c>
      <c r="J102" s="4" t="str">
        <f t="shared" si="135"/>
        <v>CEI</v>
      </c>
      <c r="K102" s="101">
        <f t="shared" si="136"/>
        <v>6</v>
      </c>
      <c r="L102" s="101">
        <f>IF(NOT(ISERROR(VLOOKUP(B102,Deflatores!G$42:H$64,2,FALSE))),VLOOKUP(B102,Deflatores!G$42:H$64,2,FALSE),IF(OR(ISBLANK(C102),ISBLANK(B102)),"",VLOOKUP(C102,Deflatores!G$4:H$38,2,FALSE)*H102+VLOOKUP(C102,Deflatores!G$4:I$38,3,FALSE)))</f>
        <v>6</v>
      </c>
      <c r="M102" s="101"/>
      <c r="N102" s="101"/>
      <c r="O102" s="113"/>
    </row>
    <row r="103" spans="1:15" x14ac:dyDescent="0.2">
      <c r="A103" s="106"/>
      <c r="B103" s="107"/>
      <c r="C103" s="107"/>
      <c r="D103" s="4"/>
      <c r="E103" s="4"/>
      <c r="F103" s="101" t="str">
        <f t="shared" si="131"/>
        <v/>
      </c>
      <c r="G103" s="101" t="str">
        <f t="shared" si="132"/>
        <v/>
      </c>
      <c r="H103" s="4" t="str">
        <f t="shared" si="133"/>
        <v/>
      </c>
      <c r="I103" s="100" t="str">
        <f t="shared" si="134"/>
        <v/>
      </c>
      <c r="J103" s="4" t="str">
        <f t="shared" si="135"/>
        <v/>
      </c>
      <c r="K103" s="101" t="str">
        <f t="shared" si="136"/>
        <v/>
      </c>
      <c r="L103" s="101" t="str">
        <f>IF(NOT(ISERROR(VLOOKUP(B103,Deflatores!G$42:H$64,2,FALSE))),VLOOKUP(B103,Deflatores!G$42:H$64,2,FALSE),IF(OR(ISBLANK(C103),ISBLANK(B103)),"",VLOOKUP(C103,Deflatores!G$4:H$38,2,FALSE)*H103+VLOOKUP(C103,Deflatores!G$4:I$38,3,FALSE)))</f>
        <v/>
      </c>
      <c r="M103" s="101"/>
      <c r="N103" s="101"/>
      <c r="O103" s="113"/>
    </row>
    <row r="104" spans="1:15" x14ac:dyDescent="0.2">
      <c r="A104" s="108" t="s">
        <v>114</v>
      </c>
      <c r="B104" s="107"/>
      <c r="C104" s="107"/>
      <c r="D104" s="4"/>
      <c r="E104" s="4"/>
      <c r="F104" s="101" t="str">
        <f t="shared" si="131"/>
        <v/>
      </c>
      <c r="G104" s="101" t="str">
        <f t="shared" si="132"/>
        <v/>
      </c>
      <c r="H104" s="4" t="str">
        <f t="shared" si="133"/>
        <v/>
      </c>
      <c r="I104" s="100" t="str">
        <f t="shared" si="134"/>
        <v/>
      </c>
      <c r="J104" s="4" t="str">
        <f t="shared" si="135"/>
        <v/>
      </c>
      <c r="K104" s="101" t="str">
        <f t="shared" si="136"/>
        <v/>
      </c>
      <c r="L104" s="101" t="str">
        <f>IF(NOT(ISERROR(VLOOKUP(B104,Deflatores!G$42:H$64,2,FALSE))),VLOOKUP(B104,Deflatores!G$42:H$64,2,FALSE),IF(OR(ISBLANK(C104),ISBLANK(B104)),"",VLOOKUP(C104,Deflatores!G$4:H$38,2,FALSE)*H104+VLOOKUP(C104,Deflatores!G$4:I$38,3,FALSE)))</f>
        <v/>
      </c>
      <c r="M104" s="101"/>
      <c r="N104" s="101"/>
      <c r="O104" s="113"/>
    </row>
    <row r="105" spans="1:15" x14ac:dyDescent="0.2">
      <c r="A105" s="106" t="s">
        <v>115</v>
      </c>
      <c r="B105" s="107" t="s">
        <v>43</v>
      </c>
      <c r="C105" s="107" t="s">
        <v>44</v>
      </c>
      <c r="D105" s="4">
        <v>8</v>
      </c>
      <c r="E105" s="4">
        <v>1</v>
      </c>
      <c r="F105" s="101" t="str">
        <f t="shared" si="131"/>
        <v>Baixa</v>
      </c>
      <c r="G105" s="101" t="str">
        <f t="shared" si="132"/>
        <v>ALIL</v>
      </c>
      <c r="H105" s="4">
        <f t="shared" si="133"/>
        <v>7</v>
      </c>
      <c r="I105" s="100" t="str">
        <f t="shared" si="134"/>
        <v>L</v>
      </c>
      <c r="J105" s="4" t="str">
        <f t="shared" si="135"/>
        <v>ALII</v>
      </c>
      <c r="K105" s="101">
        <f t="shared" si="136"/>
        <v>7</v>
      </c>
      <c r="L105" s="101">
        <f>IF(NOT(ISERROR(VLOOKUP(B105,Deflatores!G$42:H$64,2,FALSE))),VLOOKUP(B105,Deflatores!G$42:H$64,2,FALSE),IF(OR(ISBLANK(C105),ISBLANK(B105)),"",VLOOKUP(C105,Deflatores!G$4:H$38,2,FALSE)*H105+VLOOKUP(C105,Deflatores!G$4:I$38,3,FALSE)))</f>
        <v>7</v>
      </c>
      <c r="M105" s="101"/>
      <c r="N105" s="101"/>
      <c r="O105" s="113"/>
    </row>
    <row r="106" spans="1:15" x14ac:dyDescent="0.2">
      <c r="A106" s="106" t="s">
        <v>306</v>
      </c>
      <c r="B106" s="107" t="s">
        <v>49</v>
      </c>
      <c r="C106" s="107" t="s">
        <v>44</v>
      </c>
      <c r="D106" s="4">
        <v>11</v>
      </c>
      <c r="E106" s="4">
        <v>3</v>
      </c>
      <c r="F106" s="101" t="str">
        <f t="shared" si="131"/>
        <v>Média</v>
      </c>
      <c r="G106" s="101" t="str">
        <f t="shared" si="132"/>
        <v>CEA</v>
      </c>
      <c r="H106" s="4">
        <f t="shared" si="133"/>
        <v>4</v>
      </c>
      <c r="I106" s="100" t="str">
        <f t="shared" si="134"/>
        <v>A</v>
      </c>
      <c r="J106" s="4" t="str">
        <f t="shared" si="135"/>
        <v>CEI</v>
      </c>
      <c r="K106" s="101">
        <f t="shared" si="136"/>
        <v>4</v>
      </c>
      <c r="L106" s="101">
        <f>IF(NOT(ISERROR(VLOOKUP(B106,Deflatores!G$42:H$64,2,FALSE))),VLOOKUP(B106,Deflatores!G$42:H$64,2,FALSE),IF(OR(ISBLANK(C106),ISBLANK(B106)),"",VLOOKUP(C106,Deflatores!G$4:H$38,2,FALSE)*H106+VLOOKUP(C106,Deflatores!G$4:I$38,3,FALSE)))</f>
        <v>4</v>
      </c>
      <c r="M106" s="101"/>
      <c r="N106" s="101"/>
      <c r="O106" s="113"/>
    </row>
    <row r="107" spans="1:15" x14ac:dyDescent="0.2">
      <c r="A107" s="106" t="s">
        <v>116</v>
      </c>
      <c r="B107" s="107" t="s">
        <v>49</v>
      </c>
      <c r="C107" s="107" t="s">
        <v>44</v>
      </c>
      <c r="D107" s="4">
        <v>11</v>
      </c>
      <c r="E107" s="4">
        <v>3</v>
      </c>
      <c r="F107" s="101" t="str">
        <f t="shared" si="131"/>
        <v>Média</v>
      </c>
      <c r="G107" s="101" t="str">
        <f t="shared" si="132"/>
        <v>CEA</v>
      </c>
      <c r="H107" s="4">
        <f t="shared" si="133"/>
        <v>4</v>
      </c>
      <c r="I107" s="100" t="str">
        <f t="shared" si="134"/>
        <v>A</v>
      </c>
      <c r="J107" s="4" t="str">
        <f t="shared" si="135"/>
        <v>CEI</v>
      </c>
      <c r="K107" s="101">
        <f t="shared" si="136"/>
        <v>4</v>
      </c>
      <c r="L107" s="101">
        <f>IF(NOT(ISERROR(VLOOKUP(B107,Deflatores!G$42:H$64,2,FALSE))),VLOOKUP(B107,Deflatores!G$42:H$64,2,FALSE),IF(OR(ISBLANK(C107),ISBLANK(B107)),"",VLOOKUP(C107,Deflatores!G$4:H$38,2,FALSE)*H107+VLOOKUP(C107,Deflatores!G$4:I$38,3,FALSE)))</f>
        <v>4</v>
      </c>
      <c r="M107" s="101"/>
      <c r="N107" s="101"/>
      <c r="O107" s="113"/>
    </row>
    <row r="108" spans="1:15" x14ac:dyDescent="0.2">
      <c r="A108" s="106" t="s">
        <v>117</v>
      </c>
      <c r="B108" s="107" t="s">
        <v>53</v>
      </c>
      <c r="C108" s="107" t="s">
        <v>44</v>
      </c>
      <c r="D108" s="4">
        <v>8</v>
      </c>
      <c r="E108" s="4">
        <v>3</v>
      </c>
      <c r="F108" s="101" t="str">
        <f t="shared" si="131"/>
        <v>Alta</v>
      </c>
      <c r="G108" s="101" t="str">
        <f t="shared" si="132"/>
        <v>EEH</v>
      </c>
      <c r="H108" s="4">
        <f t="shared" si="133"/>
        <v>6</v>
      </c>
      <c r="I108" s="100" t="str">
        <f t="shared" si="134"/>
        <v>H</v>
      </c>
      <c r="J108" s="4" t="str">
        <f t="shared" si="135"/>
        <v>EEI</v>
      </c>
      <c r="K108" s="101">
        <f t="shared" si="136"/>
        <v>6</v>
      </c>
      <c r="L108" s="101">
        <f>IF(NOT(ISERROR(VLOOKUP(B108,Deflatores!G$42:H$64,2,FALSE))),VLOOKUP(B108,Deflatores!G$42:H$64,2,FALSE),IF(OR(ISBLANK(C108),ISBLANK(B108)),"",VLOOKUP(C108,Deflatores!G$4:H$38,2,FALSE)*H108+VLOOKUP(C108,Deflatores!G$4:I$38,3,FALSE)))</f>
        <v>6</v>
      </c>
      <c r="M108" s="101"/>
      <c r="N108" s="101"/>
      <c r="O108" s="113"/>
    </row>
    <row r="109" spans="1:15" x14ac:dyDescent="0.2">
      <c r="A109" s="106" t="s">
        <v>118</v>
      </c>
      <c r="B109" s="107" t="s">
        <v>53</v>
      </c>
      <c r="C109" s="107" t="s">
        <v>44</v>
      </c>
      <c r="D109" s="4">
        <v>6</v>
      </c>
      <c r="E109" s="4">
        <v>3</v>
      </c>
      <c r="F109" s="101" t="str">
        <f t="shared" si="131"/>
        <v>Alta</v>
      </c>
      <c r="G109" s="101" t="str">
        <f t="shared" si="132"/>
        <v>EEH</v>
      </c>
      <c r="H109" s="4">
        <f t="shared" si="133"/>
        <v>6</v>
      </c>
      <c r="I109" s="100" t="str">
        <f t="shared" si="134"/>
        <v>H</v>
      </c>
      <c r="J109" s="4" t="str">
        <f t="shared" si="135"/>
        <v>EEI</v>
      </c>
      <c r="K109" s="101">
        <f t="shared" si="136"/>
        <v>6</v>
      </c>
      <c r="L109" s="101">
        <f>IF(NOT(ISERROR(VLOOKUP(B109,Deflatores!G$42:H$64,2,FALSE))),VLOOKUP(B109,Deflatores!G$42:H$64,2,FALSE),IF(OR(ISBLANK(C109),ISBLANK(B109)),"",VLOOKUP(C109,Deflatores!G$4:H$38,2,FALSE)*H109+VLOOKUP(C109,Deflatores!G$4:I$38,3,FALSE)))</f>
        <v>6</v>
      </c>
      <c r="M109" s="101"/>
      <c r="N109" s="101"/>
      <c r="O109" s="113"/>
    </row>
    <row r="110" spans="1:15" x14ac:dyDescent="0.2">
      <c r="A110" s="109" t="s">
        <v>119</v>
      </c>
      <c r="B110" s="107" t="s">
        <v>49</v>
      </c>
      <c r="C110" s="107" t="s">
        <v>44</v>
      </c>
      <c r="D110" s="4">
        <v>6</v>
      </c>
      <c r="E110" s="4">
        <v>3</v>
      </c>
      <c r="F110" s="101" t="str">
        <f t="shared" si="131"/>
        <v>Média</v>
      </c>
      <c r="G110" s="101" t="str">
        <f t="shared" si="132"/>
        <v>CEA</v>
      </c>
      <c r="H110" s="4">
        <f t="shared" si="133"/>
        <v>4</v>
      </c>
      <c r="I110" s="100" t="str">
        <f t="shared" si="134"/>
        <v>A</v>
      </c>
      <c r="J110" s="4" t="str">
        <f t="shared" si="135"/>
        <v>CEI</v>
      </c>
      <c r="K110" s="101">
        <f t="shared" si="136"/>
        <v>4</v>
      </c>
      <c r="L110" s="101">
        <f>IF(NOT(ISERROR(VLOOKUP(B110,Deflatores!G$42:H$64,2,FALSE))),VLOOKUP(B110,Deflatores!G$42:H$64,2,FALSE),IF(OR(ISBLANK(C110),ISBLANK(B110)),"",VLOOKUP(C110,Deflatores!G$4:H$38,2,FALSE)*H110+VLOOKUP(C110,Deflatores!G$4:I$38,3,FALSE)))</f>
        <v>4</v>
      </c>
      <c r="M110" s="101"/>
      <c r="N110" s="101"/>
      <c r="O110" s="116"/>
    </row>
    <row r="111" spans="1:15" x14ac:dyDescent="0.2">
      <c r="A111" s="106" t="s">
        <v>120</v>
      </c>
      <c r="B111" s="107" t="s">
        <v>53</v>
      </c>
      <c r="C111" s="107" t="s">
        <v>44</v>
      </c>
      <c r="D111" s="4">
        <v>4</v>
      </c>
      <c r="E111" s="4">
        <v>3</v>
      </c>
      <c r="F111" s="101" t="str">
        <f t="shared" si="131"/>
        <v>Média</v>
      </c>
      <c r="G111" s="101" t="str">
        <f t="shared" si="132"/>
        <v>EEA</v>
      </c>
      <c r="H111" s="4">
        <f t="shared" si="133"/>
        <v>4</v>
      </c>
      <c r="I111" s="100" t="str">
        <f t="shared" si="134"/>
        <v>A</v>
      </c>
      <c r="J111" s="4" t="str">
        <f t="shared" si="135"/>
        <v>EEI</v>
      </c>
      <c r="K111" s="101">
        <f t="shared" si="136"/>
        <v>4</v>
      </c>
      <c r="L111" s="101">
        <f>IF(NOT(ISERROR(VLOOKUP(B111,Deflatores!G$42:H$64,2,FALSE))),VLOOKUP(B111,Deflatores!G$42:H$64,2,FALSE),IF(OR(ISBLANK(C111),ISBLANK(B111)),"",VLOOKUP(C111,Deflatores!G$4:H$38,2,FALSE)*H111+VLOOKUP(C111,Deflatores!G$4:I$38,3,FALSE)))</f>
        <v>4</v>
      </c>
      <c r="M111" s="101"/>
      <c r="N111" s="101"/>
      <c r="O111" s="101"/>
    </row>
    <row r="112" spans="1:15" x14ac:dyDescent="0.2">
      <c r="A112" s="106" t="s">
        <v>121</v>
      </c>
      <c r="B112" s="107" t="s">
        <v>53</v>
      </c>
      <c r="C112" s="107" t="s">
        <v>44</v>
      </c>
      <c r="D112" s="4">
        <v>3</v>
      </c>
      <c r="E112" s="4">
        <v>1</v>
      </c>
      <c r="F112" s="101" t="str">
        <f t="shared" si="131"/>
        <v>Baixa</v>
      </c>
      <c r="G112" s="101" t="str">
        <f t="shared" si="132"/>
        <v>EEL</v>
      </c>
      <c r="H112" s="4">
        <f t="shared" si="133"/>
        <v>3</v>
      </c>
      <c r="I112" s="100" t="str">
        <f t="shared" si="134"/>
        <v>L</v>
      </c>
      <c r="J112" s="4" t="str">
        <f t="shared" si="135"/>
        <v>EEI</v>
      </c>
      <c r="K112" s="101">
        <f t="shared" si="136"/>
        <v>3</v>
      </c>
      <c r="L112" s="101">
        <f>IF(NOT(ISERROR(VLOOKUP(B112,Deflatores!G$42:H$64,2,FALSE))),VLOOKUP(B112,Deflatores!G$42:H$64,2,FALSE),IF(OR(ISBLANK(C112),ISBLANK(B112)),"",VLOOKUP(C112,Deflatores!G$4:H$38,2,FALSE)*H112+VLOOKUP(C112,Deflatores!G$4:I$38,3,FALSE)))</f>
        <v>3</v>
      </c>
      <c r="M112" s="101"/>
      <c r="N112" s="101"/>
      <c r="O112" s="101"/>
    </row>
    <row r="113" spans="1:15" x14ac:dyDescent="0.2">
      <c r="A113" s="106" t="s">
        <v>122</v>
      </c>
      <c r="B113" s="107" t="s">
        <v>53</v>
      </c>
      <c r="C113" s="107" t="s">
        <v>44</v>
      </c>
      <c r="D113" s="4">
        <v>6</v>
      </c>
      <c r="E113" s="4">
        <v>2</v>
      </c>
      <c r="F113" s="101" t="str">
        <f t="shared" si="131"/>
        <v>Média</v>
      </c>
      <c r="G113" s="101" t="str">
        <f t="shared" si="132"/>
        <v>EEA</v>
      </c>
      <c r="H113" s="4">
        <f t="shared" si="133"/>
        <v>4</v>
      </c>
      <c r="I113" s="100" t="str">
        <f t="shared" si="134"/>
        <v>A</v>
      </c>
      <c r="J113" s="4" t="str">
        <f t="shared" si="135"/>
        <v>EEI</v>
      </c>
      <c r="K113" s="101">
        <f t="shared" si="136"/>
        <v>4</v>
      </c>
      <c r="L113" s="101">
        <f>IF(NOT(ISERROR(VLOOKUP(B113,Deflatores!G$42:H$64,2,FALSE))),VLOOKUP(B113,Deflatores!G$42:H$64,2,FALSE),IF(OR(ISBLANK(C113),ISBLANK(B113)),"",VLOOKUP(C113,Deflatores!G$4:H$38,2,FALSE)*H113+VLOOKUP(C113,Deflatores!G$4:I$38,3,FALSE)))</f>
        <v>4</v>
      </c>
      <c r="M113" s="101"/>
      <c r="N113" s="101"/>
      <c r="O113" s="101"/>
    </row>
    <row r="114" spans="1:15" x14ac:dyDescent="0.2">
      <c r="A114" s="109" t="s">
        <v>123</v>
      </c>
      <c r="B114" s="107" t="s">
        <v>53</v>
      </c>
      <c r="C114" s="107" t="s">
        <v>44</v>
      </c>
      <c r="D114" s="4">
        <v>6</v>
      </c>
      <c r="E114" s="4">
        <v>2</v>
      </c>
      <c r="F114" s="101" t="str">
        <f t="shared" si="131"/>
        <v>Média</v>
      </c>
      <c r="G114" s="101" t="str">
        <f t="shared" si="132"/>
        <v>EEA</v>
      </c>
      <c r="H114" s="4">
        <f t="shared" si="133"/>
        <v>4</v>
      </c>
      <c r="I114" s="100" t="str">
        <f t="shared" si="134"/>
        <v>A</v>
      </c>
      <c r="J114" s="4" t="str">
        <f t="shared" si="135"/>
        <v>EEI</v>
      </c>
      <c r="K114" s="101">
        <f t="shared" si="136"/>
        <v>4</v>
      </c>
      <c r="L114" s="101">
        <f>IF(NOT(ISERROR(VLOOKUP(B114,Deflatores!G$42:H$64,2,FALSE))),VLOOKUP(B114,Deflatores!G$42:H$64,2,FALSE),IF(OR(ISBLANK(C114),ISBLANK(B114)),"",VLOOKUP(C114,Deflatores!G$4:H$38,2,FALSE)*H114+VLOOKUP(C114,Deflatores!G$4:I$38,3,FALSE)))</f>
        <v>4</v>
      </c>
      <c r="M114" s="101"/>
      <c r="N114" s="101"/>
      <c r="O114" s="101"/>
    </row>
    <row r="115" spans="1:15" x14ac:dyDescent="0.2">
      <c r="A115" s="106"/>
      <c r="B115" s="107"/>
      <c r="C115" s="107"/>
      <c r="D115" s="4"/>
      <c r="E115" s="4"/>
      <c r="F115" s="101" t="str">
        <f t="shared" si="131"/>
        <v/>
      </c>
      <c r="G115" s="101" t="str">
        <f t="shared" si="132"/>
        <v/>
      </c>
      <c r="H115" s="4" t="str">
        <f t="shared" si="133"/>
        <v/>
      </c>
      <c r="I115" s="100" t="str">
        <f t="shared" si="134"/>
        <v/>
      </c>
      <c r="J115" s="4" t="str">
        <f t="shared" si="135"/>
        <v/>
      </c>
      <c r="K115" s="101" t="str">
        <f t="shared" si="136"/>
        <v/>
      </c>
      <c r="L115" s="101" t="str">
        <f>IF(NOT(ISERROR(VLOOKUP(B115,Deflatores!G$42:H$64,2,FALSE))),VLOOKUP(B115,Deflatores!G$42:H$64,2,FALSE),IF(OR(ISBLANK(C115),ISBLANK(B115)),"",VLOOKUP(C115,Deflatores!G$4:H$38,2,FALSE)*H115+VLOOKUP(C115,Deflatores!G$4:I$38,3,FALSE)))</f>
        <v/>
      </c>
      <c r="M115" s="101"/>
      <c r="N115" s="101"/>
      <c r="O115" s="101"/>
    </row>
    <row r="116" spans="1:15" x14ac:dyDescent="0.2">
      <c r="A116" s="108" t="s">
        <v>124</v>
      </c>
      <c r="B116" s="107"/>
      <c r="C116" s="107"/>
      <c r="D116" s="4"/>
      <c r="E116" s="4"/>
      <c r="F116" s="101" t="str">
        <f t="shared" si="131"/>
        <v/>
      </c>
      <c r="G116" s="101" t="str">
        <f t="shared" si="132"/>
        <v/>
      </c>
      <c r="H116" s="4" t="str">
        <f t="shared" si="133"/>
        <v/>
      </c>
      <c r="I116" s="100" t="str">
        <f t="shared" si="134"/>
        <v/>
      </c>
      <c r="J116" s="4" t="str">
        <f t="shared" si="135"/>
        <v/>
      </c>
      <c r="K116" s="101" t="str">
        <f t="shared" si="136"/>
        <v/>
      </c>
      <c r="L116" s="101" t="str">
        <f>IF(NOT(ISERROR(VLOOKUP(B116,Deflatores!G$42:H$64,2,FALSE))),VLOOKUP(B116,Deflatores!G$42:H$64,2,FALSE),IF(OR(ISBLANK(C116),ISBLANK(B116)),"",VLOOKUP(C116,Deflatores!G$4:H$38,2,FALSE)*H116+VLOOKUP(C116,Deflatores!G$4:I$38,3,FALSE)))</f>
        <v/>
      </c>
      <c r="M116" s="101"/>
      <c r="N116" s="101"/>
      <c r="O116" s="101"/>
    </row>
    <row r="117" spans="1:15" x14ac:dyDescent="0.2">
      <c r="A117" s="106" t="s">
        <v>125</v>
      </c>
      <c r="B117" s="107" t="s">
        <v>49</v>
      </c>
      <c r="C117" s="107" t="s">
        <v>44</v>
      </c>
      <c r="D117" s="4">
        <v>12</v>
      </c>
      <c r="E117" s="4">
        <v>5</v>
      </c>
      <c r="F117" s="101" t="str">
        <f t="shared" si="131"/>
        <v>Alta</v>
      </c>
      <c r="G117" s="101" t="str">
        <f t="shared" si="132"/>
        <v>CEH</v>
      </c>
      <c r="H117" s="4">
        <f t="shared" si="133"/>
        <v>6</v>
      </c>
      <c r="I117" s="100" t="str">
        <f t="shared" si="134"/>
        <v>H</v>
      </c>
      <c r="J117" s="4" t="str">
        <f t="shared" si="135"/>
        <v>CEI</v>
      </c>
      <c r="K117" s="101">
        <f t="shared" si="136"/>
        <v>6</v>
      </c>
      <c r="L117" s="101">
        <f>IF(NOT(ISERROR(VLOOKUP(B117,Deflatores!G$42:H$64,2,FALSE))),VLOOKUP(B117,Deflatores!G$42:H$64,2,FALSE),IF(OR(ISBLANK(C117),ISBLANK(B117)),"",VLOOKUP(C117,Deflatores!G$4:H$38,2,FALSE)*H117+VLOOKUP(C117,Deflatores!G$4:I$38,3,FALSE)))</f>
        <v>6</v>
      </c>
      <c r="M117" s="101"/>
      <c r="N117" s="101"/>
      <c r="O117" s="101"/>
    </row>
    <row r="118" spans="1:15" x14ac:dyDescent="0.2">
      <c r="A118" s="109" t="s">
        <v>126</v>
      </c>
      <c r="B118" s="107" t="s">
        <v>49</v>
      </c>
      <c r="C118" s="107" t="s">
        <v>44</v>
      </c>
      <c r="D118" s="4">
        <v>15</v>
      </c>
      <c r="E118" s="4">
        <v>1</v>
      </c>
      <c r="F118" s="101" t="str">
        <f t="shared" si="131"/>
        <v>Baixa</v>
      </c>
      <c r="G118" s="101" t="str">
        <f t="shared" si="132"/>
        <v>CEL</v>
      </c>
      <c r="H118" s="4">
        <f t="shared" si="133"/>
        <v>3</v>
      </c>
      <c r="I118" s="100" t="str">
        <f t="shared" si="134"/>
        <v>L</v>
      </c>
      <c r="J118" s="4" t="str">
        <f t="shared" si="135"/>
        <v>CEI</v>
      </c>
      <c r="K118" s="101">
        <f t="shared" si="136"/>
        <v>3</v>
      </c>
      <c r="L118" s="101">
        <f>IF(NOT(ISERROR(VLOOKUP(B118,Deflatores!G$42:H$64,2,FALSE))),VLOOKUP(B118,Deflatores!G$42:H$64,2,FALSE),IF(OR(ISBLANK(C118),ISBLANK(B118)),"",VLOOKUP(C118,Deflatores!G$4:H$38,2,FALSE)*H118+VLOOKUP(C118,Deflatores!G$4:I$38,3,FALSE)))</f>
        <v>3</v>
      </c>
      <c r="M118" s="101"/>
      <c r="N118" s="101"/>
      <c r="O118" s="101"/>
    </row>
    <row r="119" spans="1:15" x14ac:dyDescent="0.2">
      <c r="A119" s="109" t="s">
        <v>127</v>
      </c>
      <c r="B119" s="107" t="s">
        <v>49</v>
      </c>
      <c r="C119" s="107" t="s">
        <v>44</v>
      </c>
      <c r="D119" s="107">
        <v>20</v>
      </c>
      <c r="E119" s="4">
        <v>1</v>
      </c>
      <c r="F119" s="101" t="str">
        <f t="shared" si="131"/>
        <v>Média</v>
      </c>
      <c r="G119" s="101" t="str">
        <f t="shared" si="132"/>
        <v>CEA</v>
      </c>
      <c r="H119" s="4">
        <f t="shared" si="133"/>
        <v>4</v>
      </c>
      <c r="I119" s="100" t="str">
        <f t="shared" si="134"/>
        <v>A</v>
      </c>
      <c r="J119" s="4" t="str">
        <f t="shared" si="135"/>
        <v>CEI</v>
      </c>
      <c r="K119" s="101">
        <f t="shared" si="136"/>
        <v>4</v>
      </c>
      <c r="L119" s="101">
        <f>IF(NOT(ISERROR(VLOOKUP(B119,Deflatores!G$42:H$64,2,FALSE))),VLOOKUP(B119,Deflatores!G$42:H$64,2,FALSE),IF(OR(ISBLANK(C119),ISBLANK(B119)),"",VLOOKUP(C119,Deflatores!G$4:H$38,2,FALSE)*H119+VLOOKUP(C119,Deflatores!G$4:I$38,3,FALSE)))</f>
        <v>4</v>
      </c>
      <c r="M119" s="101"/>
      <c r="N119" s="101"/>
      <c r="O119" s="101"/>
    </row>
    <row r="120" spans="1:15" x14ac:dyDescent="0.2">
      <c r="A120" s="109" t="s">
        <v>128</v>
      </c>
      <c r="B120" s="107" t="s">
        <v>49</v>
      </c>
      <c r="C120" s="107" t="s">
        <v>44</v>
      </c>
      <c r="D120" s="107">
        <v>8</v>
      </c>
      <c r="E120" s="4">
        <v>1</v>
      </c>
      <c r="F120" s="101" t="str">
        <f t="shared" si="131"/>
        <v>Baixa</v>
      </c>
      <c r="G120" s="101" t="str">
        <f t="shared" si="132"/>
        <v>CEL</v>
      </c>
      <c r="H120" s="4">
        <f t="shared" si="133"/>
        <v>3</v>
      </c>
      <c r="I120" s="100" t="str">
        <f t="shared" si="134"/>
        <v>L</v>
      </c>
      <c r="J120" s="4" t="str">
        <f t="shared" si="135"/>
        <v>CEI</v>
      </c>
      <c r="K120" s="101">
        <f t="shared" si="136"/>
        <v>3</v>
      </c>
      <c r="L120" s="101">
        <f>IF(NOT(ISERROR(VLOOKUP(B120,Deflatores!G$42:H$64,2,FALSE))),VLOOKUP(B120,Deflatores!G$42:H$64,2,FALSE),IF(OR(ISBLANK(C120),ISBLANK(B120)),"",VLOOKUP(C120,Deflatores!G$4:H$38,2,FALSE)*H120+VLOOKUP(C120,Deflatores!G$4:I$38,3,FALSE)))</f>
        <v>3</v>
      </c>
      <c r="M120" s="101"/>
      <c r="N120" s="101"/>
      <c r="O120" s="101"/>
    </row>
    <row r="121" spans="1:15" x14ac:dyDescent="0.2">
      <c r="A121" s="106" t="s">
        <v>129</v>
      </c>
      <c r="B121" s="107" t="s">
        <v>49</v>
      </c>
      <c r="C121" s="107" t="s">
        <v>44</v>
      </c>
      <c r="D121" s="4">
        <v>12</v>
      </c>
      <c r="E121" s="4">
        <v>5</v>
      </c>
      <c r="F121" s="101" t="str">
        <f t="shared" si="131"/>
        <v>Alta</v>
      </c>
      <c r="G121" s="101" t="str">
        <f t="shared" si="132"/>
        <v>CEH</v>
      </c>
      <c r="H121" s="4">
        <f t="shared" si="133"/>
        <v>6</v>
      </c>
      <c r="I121" s="100" t="str">
        <f t="shared" si="134"/>
        <v>H</v>
      </c>
      <c r="J121" s="4" t="str">
        <f t="shared" si="135"/>
        <v>CEI</v>
      </c>
      <c r="K121" s="101">
        <f t="shared" si="136"/>
        <v>6</v>
      </c>
      <c r="L121" s="101">
        <f>IF(NOT(ISERROR(VLOOKUP(B121,Deflatores!G$42:H$64,2,FALSE))),VLOOKUP(B121,Deflatores!G$42:H$64,2,FALSE),IF(OR(ISBLANK(C121),ISBLANK(B121)),"",VLOOKUP(C121,Deflatores!G$4:H$38,2,FALSE)*H121+VLOOKUP(C121,Deflatores!G$4:I$38,3,FALSE)))</f>
        <v>6</v>
      </c>
      <c r="M121" s="101"/>
      <c r="N121" s="101"/>
      <c r="O121" s="101"/>
    </row>
    <row r="122" spans="1:15" x14ac:dyDescent="0.2">
      <c r="A122" s="106" t="s">
        <v>130</v>
      </c>
      <c r="B122" s="107" t="s">
        <v>49</v>
      </c>
      <c r="C122" s="107" t="s">
        <v>44</v>
      </c>
      <c r="D122" s="4">
        <v>9</v>
      </c>
      <c r="E122" s="4">
        <v>2</v>
      </c>
      <c r="F122" s="101" t="str">
        <f t="shared" si="131"/>
        <v>Média</v>
      </c>
      <c r="G122" s="101" t="str">
        <f t="shared" si="132"/>
        <v>CEA</v>
      </c>
      <c r="H122" s="4">
        <f t="shared" si="133"/>
        <v>4</v>
      </c>
      <c r="I122" s="100" t="str">
        <f t="shared" si="134"/>
        <v>A</v>
      </c>
      <c r="J122" s="4" t="str">
        <f t="shared" si="135"/>
        <v>CEI</v>
      </c>
      <c r="K122" s="101">
        <f t="shared" si="136"/>
        <v>4</v>
      </c>
      <c r="L122" s="101">
        <f>IF(NOT(ISERROR(VLOOKUP(B122,Deflatores!G$42:H$64,2,FALSE))),VLOOKUP(B122,Deflatores!G$42:H$64,2,FALSE),IF(OR(ISBLANK(C122),ISBLANK(B122)),"",VLOOKUP(C122,Deflatores!G$4:H$38,2,FALSE)*H122+VLOOKUP(C122,Deflatores!G$4:I$38,3,FALSE)))</f>
        <v>4</v>
      </c>
      <c r="M122" s="101"/>
      <c r="N122" s="101"/>
      <c r="O122" s="101"/>
    </row>
    <row r="123" spans="1:15" x14ac:dyDescent="0.2">
      <c r="A123" s="106" t="s">
        <v>131</v>
      </c>
      <c r="B123" s="107" t="s">
        <v>49</v>
      </c>
      <c r="C123" s="107" t="s">
        <v>44</v>
      </c>
      <c r="D123" s="4">
        <v>9</v>
      </c>
      <c r="E123" s="4">
        <v>2</v>
      </c>
      <c r="F123" s="101" t="str">
        <f t="shared" si="131"/>
        <v>Média</v>
      </c>
      <c r="G123" s="101" t="str">
        <f t="shared" si="132"/>
        <v>CEA</v>
      </c>
      <c r="H123" s="4">
        <f t="shared" si="133"/>
        <v>4</v>
      </c>
      <c r="I123" s="100" t="str">
        <f t="shared" si="134"/>
        <v>A</v>
      </c>
      <c r="J123" s="4" t="str">
        <f t="shared" si="135"/>
        <v>CEI</v>
      </c>
      <c r="K123" s="101">
        <f t="shared" si="136"/>
        <v>4</v>
      </c>
      <c r="L123" s="101">
        <f>IF(NOT(ISERROR(VLOOKUP(B123,Deflatores!G$42:H$64,2,FALSE))),VLOOKUP(B123,Deflatores!G$42:H$64,2,FALSE),IF(OR(ISBLANK(C123),ISBLANK(B123)),"",VLOOKUP(C123,Deflatores!G$4:H$38,2,FALSE)*H123+VLOOKUP(C123,Deflatores!G$4:I$38,3,FALSE)))</f>
        <v>4</v>
      </c>
      <c r="M123" s="101"/>
      <c r="N123" s="101"/>
      <c r="O123" s="101"/>
    </row>
    <row r="124" spans="1:15" x14ac:dyDescent="0.2">
      <c r="A124" s="106"/>
      <c r="B124" s="107"/>
      <c r="C124" s="107"/>
      <c r="D124" s="4"/>
      <c r="E124" s="4"/>
      <c r="F124" s="101" t="str">
        <f t="shared" si="131"/>
        <v/>
      </c>
      <c r="G124" s="101" t="str">
        <f t="shared" si="132"/>
        <v/>
      </c>
      <c r="H124" s="4" t="str">
        <f t="shared" si="133"/>
        <v/>
      </c>
      <c r="I124" s="100" t="str">
        <f t="shared" si="134"/>
        <v/>
      </c>
      <c r="J124" s="4" t="str">
        <f t="shared" si="135"/>
        <v/>
      </c>
      <c r="K124" s="101" t="str">
        <f t="shared" si="136"/>
        <v/>
      </c>
      <c r="L124" s="101" t="str">
        <f>IF(NOT(ISERROR(VLOOKUP(B124,Deflatores!G$42:H$64,2,FALSE))),VLOOKUP(B124,Deflatores!G$42:H$64,2,FALSE),IF(OR(ISBLANK(C124),ISBLANK(B124)),"",VLOOKUP(C124,Deflatores!G$4:H$38,2,FALSE)*H124+VLOOKUP(C124,Deflatores!G$4:I$38,3,FALSE)))</f>
        <v/>
      </c>
      <c r="M124" s="101"/>
      <c r="N124" s="101"/>
      <c r="O124" s="101"/>
    </row>
    <row r="125" spans="1:15" x14ac:dyDescent="0.2">
      <c r="A125" s="108" t="s">
        <v>132</v>
      </c>
      <c r="B125" s="107"/>
      <c r="C125" s="107"/>
      <c r="D125" s="4"/>
      <c r="E125" s="4"/>
      <c r="F125" s="101" t="str">
        <f t="shared" si="131"/>
        <v/>
      </c>
      <c r="G125" s="101" t="str">
        <f t="shared" si="132"/>
        <v/>
      </c>
      <c r="H125" s="4" t="str">
        <f t="shared" si="133"/>
        <v/>
      </c>
      <c r="I125" s="100" t="str">
        <f t="shared" si="134"/>
        <v/>
      </c>
      <c r="J125" s="4" t="str">
        <f t="shared" si="135"/>
        <v/>
      </c>
      <c r="K125" s="101" t="str">
        <f t="shared" si="136"/>
        <v/>
      </c>
      <c r="L125" s="101" t="str">
        <f>IF(NOT(ISERROR(VLOOKUP(B125,Deflatores!G$42:H$64,2,FALSE))),VLOOKUP(B125,Deflatores!G$42:H$64,2,FALSE),IF(OR(ISBLANK(C125),ISBLANK(B125)),"",VLOOKUP(C125,Deflatores!G$4:H$38,2,FALSE)*H125+VLOOKUP(C125,Deflatores!G$4:I$38,3,FALSE)))</f>
        <v/>
      </c>
      <c r="M125" s="101"/>
      <c r="N125" s="101"/>
      <c r="O125" s="101"/>
    </row>
    <row r="126" spans="1:15" x14ac:dyDescent="0.2">
      <c r="A126" s="106" t="s">
        <v>133</v>
      </c>
      <c r="B126" s="107" t="s">
        <v>43</v>
      </c>
      <c r="C126" s="107" t="s">
        <v>44</v>
      </c>
      <c r="D126" s="4">
        <v>13</v>
      </c>
      <c r="E126" s="4">
        <v>1</v>
      </c>
      <c r="F126" s="101" t="str">
        <f t="shared" si="131"/>
        <v>Baixa</v>
      </c>
      <c r="G126" s="101" t="str">
        <f t="shared" si="132"/>
        <v>ALIL</v>
      </c>
      <c r="H126" s="4">
        <f t="shared" si="133"/>
        <v>7</v>
      </c>
      <c r="I126" s="100" t="str">
        <f t="shared" si="134"/>
        <v>L</v>
      </c>
      <c r="J126" s="4" t="str">
        <f t="shared" si="135"/>
        <v>ALII</v>
      </c>
      <c r="K126" s="101">
        <f t="shared" si="136"/>
        <v>7</v>
      </c>
      <c r="L126" s="101">
        <f>IF(NOT(ISERROR(VLOOKUP(B126,Deflatores!G$42:H$64,2,FALSE))),VLOOKUP(B126,Deflatores!G$42:H$64,2,FALSE),IF(OR(ISBLANK(C126),ISBLANK(B126)),"",VLOOKUP(C126,Deflatores!G$4:H$38,2,FALSE)*H126+VLOOKUP(C126,Deflatores!G$4:I$38,3,FALSE)))</f>
        <v>7</v>
      </c>
      <c r="M126" s="101"/>
      <c r="N126" s="101"/>
      <c r="O126" s="101"/>
    </row>
    <row r="127" spans="1:15" x14ac:dyDescent="0.2">
      <c r="A127" s="106" t="s">
        <v>307</v>
      </c>
      <c r="B127" s="107" t="s">
        <v>49</v>
      </c>
      <c r="C127" s="107" t="s">
        <v>44</v>
      </c>
      <c r="D127" s="4">
        <v>11</v>
      </c>
      <c r="E127" s="4">
        <v>3</v>
      </c>
      <c r="F127" s="101" t="str">
        <f t="shared" si="131"/>
        <v>Média</v>
      </c>
      <c r="G127" s="101" t="str">
        <f t="shared" si="132"/>
        <v>CEA</v>
      </c>
      <c r="H127" s="4">
        <f t="shared" si="133"/>
        <v>4</v>
      </c>
      <c r="I127" s="100" t="str">
        <f t="shared" si="134"/>
        <v>A</v>
      </c>
      <c r="J127" s="4" t="str">
        <f t="shared" si="135"/>
        <v>CEI</v>
      </c>
      <c r="K127" s="101">
        <f t="shared" si="136"/>
        <v>4</v>
      </c>
      <c r="L127" s="101">
        <f>IF(NOT(ISERROR(VLOOKUP(B127,Deflatores!G$42:H$64,2,FALSE))),VLOOKUP(B127,Deflatores!G$42:H$64,2,FALSE),IF(OR(ISBLANK(C127),ISBLANK(B127)),"",VLOOKUP(C127,Deflatores!G$4:H$38,2,FALSE)*H127+VLOOKUP(C127,Deflatores!G$4:I$38,3,FALSE)))</f>
        <v>4</v>
      </c>
      <c r="M127" s="101"/>
      <c r="N127" s="101"/>
      <c r="O127" s="101"/>
    </row>
    <row r="128" spans="1:15" x14ac:dyDescent="0.2">
      <c r="A128" s="106" t="s">
        <v>134</v>
      </c>
      <c r="B128" s="107" t="s">
        <v>49</v>
      </c>
      <c r="C128" s="107" t="s">
        <v>44</v>
      </c>
      <c r="D128" s="4">
        <v>11</v>
      </c>
      <c r="E128" s="4">
        <v>3</v>
      </c>
      <c r="F128" s="101" t="str">
        <f t="shared" si="131"/>
        <v>Média</v>
      </c>
      <c r="G128" s="101" t="str">
        <f t="shared" si="132"/>
        <v>CEA</v>
      </c>
      <c r="H128" s="4">
        <f t="shared" si="133"/>
        <v>4</v>
      </c>
      <c r="I128" s="100" t="str">
        <f t="shared" si="134"/>
        <v>A</v>
      </c>
      <c r="J128" s="4" t="str">
        <f t="shared" si="135"/>
        <v>CEI</v>
      </c>
      <c r="K128" s="101">
        <f t="shared" si="136"/>
        <v>4</v>
      </c>
      <c r="L128" s="101">
        <f>IF(NOT(ISERROR(VLOOKUP(B128,Deflatores!G$42:H$64,2,FALSE))),VLOOKUP(B128,Deflatores!G$42:H$64,2,FALSE),IF(OR(ISBLANK(C128),ISBLANK(B128)),"",VLOOKUP(C128,Deflatores!G$4:H$38,2,FALSE)*H128+VLOOKUP(C128,Deflatores!G$4:I$38,3,FALSE)))</f>
        <v>4</v>
      </c>
      <c r="M128" s="101"/>
      <c r="N128" s="101"/>
      <c r="O128" s="101"/>
    </row>
    <row r="129" spans="1:15" x14ac:dyDescent="0.2">
      <c r="A129" s="106" t="s">
        <v>135</v>
      </c>
      <c r="B129" s="107" t="s">
        <v>53</v>
      </c>
      <c r="C129" s="107" t="s">
        <v>44</v>
      </c>
      <c r="D129" s="4">
        <v>7</v>
      </c>
      <c r="E129" s="4">
        <v>2</v>
      </c>
      <c r="F129" s="101" t="str">
        <f t="shared" si="131"/>
        <v>Média</v>
      </c>
      <c r="G129" s="101" t="str">
        <f t="shared" si="132"/>
        <v>EEA</v>
      </c>
      <c r="H129" s="4">
        <f t="shared" si="133"/>
        <v>4</v>
      </c>
      <c r="I129" s="100" t="str">
        <f t="shared" si="134"/>
        <v>A</v>
      </c>
      <c r="J129" s="4" t="str">
        <f t="shared" si="135"/>
        <v>EEI</v>
      </c>
      <c r="K129" s="101">
        <f t="shared" si="136"/>
        <v>4</v>
      </c>
      <c r="L129" s="101">
        <f>IF(NOT(ISERROR(VLOOKUP(B129,Deflatores!G$42:H$64,2,FALSE))),VLOOKUP(B129,Deflatores!G$42:H$64,2,FALSE),IF(OR(ISBLANK(C129),ISBLANK(B129)),"",VLOOKUP(C129,Deflatores!G$4:H$38,2,FALSE)*H129+VLOOKUP(C129,Deflatores!G$4:I$38,3,FALSE)))</f>
        <v>4</v>
      </c>
      <c r="M129" s="101"/>
      <c r="N129" s="101"/>
      <c r="O129" s="101"/>
    </row>
    <row r="130" spans="1:15" x14ac:dyDescent="0.2">
      <c r="A130" s="109" t="s">
        <v>136</v>
      </c>
      <c r="B130" s="107" t="s">
        <v>49</v>
      </c>
      <c r="C130" s="107" t="s">
        <v>44</v>
      </c>
      <c r="D130" s="4">
        <v>8</v>
      </c>
      <c r="E130" s="4">
        <v>3</v>
      </c>
      <c r="F130" s="101" t="str">
        <f t="shared" si="131"/>
        <v>Média</v>
      </c>
      <c r="G130" s="101" t="str">
        <f t="shared" si="132"/>
        <v>CEA</v>
      </c>
      <c r="H130" s="4">
        <f t="shared" si="133"/>
        <v>4</v>
      </c>
      <c r="I130" s="100" t="str">
        <f t="shared" si="134"/>
        <v>A</v>
      </c>
      <c r="J130" s="4" t="str">
        <f t="shared" si="135"/>
        <v>CEI</v>
      </c>
      <c r="K130" s="101">
        <f t="shared" si="136"/>
        <v>4</v>
      </c>
      <c r="L130" s="101">
        <f>IF(NOT(ISERROR(VLOOKUP(B130,Deflatores!G$42:H$64,2,FALSE))),VLOOKUP(B130,Deflatores!G$42:H$64,2,FALSE),IF(OR(ISBLANK(C130),ISBLANK(B130)),"",VLOOKUP(C130,Deflatores!G$4:H$38,2,FALSE)*H130+VLOOKUP(C130,Deflatores!G$4:I$38,3,FALSE)))</f>
        <v>4</v>
      </c>
      <c r="M130" s="101"/>
      <c r="N130" s="101"/>
      <c r="O130" s="101"/>
    </row>
    <row r="131" spans="1:15" x14ac:dyDescent="0.2">
      <c r="A131" s="106" t="s">
        <v>137</v>
      </c>
      <c r="B131" s="107" t="s">
        <v>49</v>
      </c>
      <c r="C131" s="107" t="s">
        <v>44</v>
      </c>
      <c r="D131" s="4">
        <v>10</v>
      </c>
      <c r="E131" s="4">
        <v>3</v>
      </c>
      <c r="F131" s="101" t="str">
        <f t="shared" si="131"/>
        <v>Média</v>
      </c>
      <c r="G131" s="101" t="str">
        <f t="shared" si="132"/>
        <v>CEA</v>
      </c>
      <c r="H131" s="4">
        <f t="shared" si="133"/>
        <v>4</v>
      </c>
      <c r="I131" s="100" t="str">
        <f t="shared" si="134"/>
        <v>A</v>
      </c>
      <c r="J131" s="4" t="str">
        <f t="shared" si="135"/>
        <v>CEI</v>
      </c>
      <c r="K131" s="101">
        <f t="shared" si="136"/>
        <v>4</v>
      </c>
      <c r="L131" s="101">
        <f>IF(NOT(ISERROR(VLOOKUP(B131,Deflatores!G$42:H$64,2,FALSE))),VLOOKUP(B131,Deflatores!G$42:H$64,2,FALSE),IF(OR(ISBLANK(C131),ISBLANK(B131)),"",VLOOKUP(C131,Deflatores!G$4:H$38,2,FALSE)*H131+VLOOKUP(C131,Deflatores!G$4:I$38,3,FALSE)))</f>
        <v>4</v>
      </c>
      <c r="M131" s="101"/>
      <c r="N131" s="101"/>
      <c r="O131" s="101"/>
    </row>
    <row r="132" spans="1:15" x14ac:dyDescent="0.2">
      <c r="A132" s="106"/>
      <c r="B132" s="107"/>
      <c r="C132" s="107"/>
      <c r="D132" s="4"/>
      <c r="E132" s="4"/>
      <c r="F132" s="101" t="str">
        <f t="shared" si="131"/>
        <v/>
      </c>
      <c r="G132" s="101" t="str">
        <f t="shared" si="132"/>
        <v/>
      </c>
      <c r="H132" s="4" t="str">
        <f t="shared" si="133"/>
        <v/>
      </c>
      <c r="I132" s="100" t="str">
        <f t="shared" si="134"/>
        <v/>
      </c>
      <c r="J132" s="4" t="str">
        <f t="shared" si="135"/>
        <v/>
      </c>
      <c r="K132" s="101" t="str">
        <f t="shared" si="136"/>
        <v/>
      </c>
      <c r="L132" s="101" t="str">
        <f>IF(NOT(ISERROR(VLOOKUP(B132,Deflatores!G$42:H$64,2,FALSE))),VLOOKUP(B132,Deflatores!G$42:H$64,2,FALSE),IF(OR(ISBLANK(C132),ISBLANK(B132)),"",VLOOKUP(C132,Deflatores!G$4:H$38,2,FALSE)*H132+VLOOKUP(C132,Deflatores!G$4:I$38,3,FALSE)))</f>
        <v/>
      </c>
      <c r="M132" s="101"/>
      <c r="N132" s="101"/>
      <c r="O132" s="101"/>
    </row>
    <row r="133" spans="1:15" x14ac:dyDescent="0.2">
      <c r="A133" s="108" t="s">
        <v>138</v>
      </c>
      <c r="B133" s="107"/>
      <c r="C133" s="107"/>
      <c r="D133" s="4"/>
      <c r="E133" s="4"/>
      <c r="F133" s="101" t="str">
        <f t="shared" si="131"/>
        <v/>
      </c>
      <c r="G133" s="101" t="str">
        <f t="shared" si="132"/>
        <v/>
      </c>
      <c r="H133" s="4" t="str">
        <f t="shared" si="133"/>
        <v/>
      </c>
      <c r="I133" s="100" t="str">
        <f t="shared" si="134"/>
        <v/>
      </c>
      <c r="J133" s="4" t="str">
        <f t="shared" si="135"/>
        <v/>
      </c>
      <c r="K133" s="101" t="str">
        <f t="shared" si="136"/>
        <v/>
      </c>
      <c r="L133" s="101" t="str">
        <f>IF(NOT(ISERROR(VLOOKUP(B133,Deflatores!G$42:H$64,2,FALSE))),VLOOKUP(B133,Deflatores!G$42:H$64,2,FALSE),IF(OR(ISBLANK(C133),ISBLANK(B133)),"",VLOOKUP(C133,Deflatores!G$4:H$38,2,FALSE)*H133+VLOOKUP(C133,Deflatores!G$4:I$38,3,FALSE)))</f>
        <v/>
      </c>
      <c r="M133" s="101"/>
      <c r="N133" s="101"/>
      <c r="O133" s="101"/>
    </row>
    <row r="134" spans="1:15" x14ac:dyDescent="0.2">
      <c r="A134" s="106" t="s">
        <v>139</v>
      </c>
      <c r="B134" s="107" t="s">
        <v>49</v>
      </c>
      <c r="C134" s="107" t="s">
        <v>44</v>
      </c>
      <c r="D134" s="4">
        <v>8</v>
      </c>
      <c r="E134" s="4">
        <v>1</v>
      </c>
      <c r="F134" s="101" t="str">
        <f t="shared" si="131"/>
        <v>Baixa</v>
      </c>
      <c r="G134" s="101" t="str">
        <f t="shared" si="132"/>
        <v>CEL</v>
      </c>
      <c r="H134" s="4">
        <f t="shared" si="133"/>
        <v>3</v>
      </c>
      <c r="I134" s="100" t="str">
        <f t="shared" si="134"/>
        <v>L</v>
      </c>
      <c r="J134" s="4" t="str">
        <f t="shared" si="135"/>
        <v>CEI</v>
      </c>
      <c r="K134" s="101">
        <f t="shared" si="136"/>
        <v>3</v>
      </c>
      <c r="L134" s="101">
        <f>IF(NOT(ISERROR(VLOOKUP(B134,Deflatores!G$42:H$64,2,FALSE))),VLOOKUP(B134,Deflatores!G$42:H$64,2,FALSE),IF(OR(ISBLANK(C134),ISBLANK(B134)),"",VLOOKUP(C134,Deflatores!G$4:H$38,2,FALSE)*H134+VLOOKUP(C134,Deflatores!G$4:I$38,3,FALSE)))</f>
        <v>3</v>
      </c>
      <c r="M134" s="101"/>
      <c r="N134" s="101"/>
      <c r="O134" s="101"/>
    </row>
    <row r="135" spans="1:15" x14ac:dyDescent="0.2">
      <c r="A135" s="106"/>
      <c r="B135" s="107"/>
      <c r="C135" s="107"/>
      <c r="D135" s="4"/>
      <c r="E135" s="4"/>
      <c r="F135" s="101" t="str">
        <f t="shared" si="131"/>
        <v/>
      </c>
      <c r="G135" s="101" t="str">
        <f t="shared" si="132"/>
        <v/>
      </c>
      <c r="H135" s="4" t="str">
        <f t="shared" si="133"/>
        <v/>
      </c>
      <c r="I135" s="100" t="str">
        <f t="shared" si="134"/>
        <v/>
      </c>
      <c r="J135" s="4" t="str">
        <f t="shared" si="135"/>
        <v/>
      </c>
      <c r="K135" s="101" t="str">
        <f t="shared" si="136"/>
        <v/>
      </c>
      <c r="L135" s="101" t="str">
        <f>IF(NOT(ISERROR(VLOOKUP(B135,Deflatores!G$42:H$64,2,FALSE))),VLOOKUP(B135,Deflatores!G$42:H$64,2,FALSE),IF(OR(ISBLANK(C135),ISBLANK(B135)),"",VLOOKUP(C135,Deflatores!G$4:H$38,2,FALSE)*H135+VLOOKUP(C135,Deflatores!G$4:I$38,3,FALSE)))</f>
        <v/>
      </c>
      <c r="M135" s="101"/>
      <c r="N135" s="101"/>
      <c r="O135" s="101"/>
    </row>
    <row r="136" spans="1:15" x14ac:dyDescent="0.2">
      <c r="A136" s="108" t="s">
        <v>140</v>
      </c>
      <c r="B136" s="107"/>
      <c r="C136" s="107"/>
      <c r="D136" s="4"/>
      <c r="E136" s="4"/>
      <c r="F136" s="101" t="str">
        <f t="shared" si="131"/>
        <v/>
      </c>
      <c r="G136" s="101" t="str">
        <f t="shared" si="132"/>
        <v/>
      </c>
      <c r="H136" s="4" t="str">
        <f t="shared" si="133"/>
        <v/>
      </c>
      <c r="I136" s="100" t="str">
        <f t="shared" si="134"/>
        <v/>
      </c>
      <c r="J136" s="4" t="str">
        <f t="shared" si="135"/>
        <v/>
      </c>
      <c r="K136" s="101" t="str">
        <f t="shared" si="136"/>
        <v/>
      </c>
      <c r="L136" s="101" t="str">
        <f>IF(NOT(ISERROR(VLOOKUP(B136,Deflatores!G$42:H$64,2,FALSE))),VLOOKUP(B136,Deflatores!G$42:H$64,2,FALSE),IF(OR(ISBLANK(C136),ISBLANK(B136)),"",VLOOKUP(C136,Deflatores!G$4:H$38,2,FALSE)*H136+VLOOKUP(C136,Deflatores!G$4:I$38,3,FALSE)))</f>
        <v/>
      </c>
      <c r="M136" s="101"/>
      <c r="N136" s="101"/>
      <c r="O136" s="101"/>
    </row>
    <row r="137" spans="1:15" x14ac:dyDescent="0.2">
      <c r="A137" s="106" t="s">
        <v>141</v>
      </c>
      <c r="B137" s="107" t="s">
        <v>43</v>
      </c>
      <c r="C137" s="107" t="s">
        <v>44</v>
      </c>
      <c r="D137" s="4">
        <v>15</v>
      </c>
      <c r="E137" s="4">
        <v>1</v>
      </c>
      <c r="F137" s="101" t="str">
        <f t="shared" si="131"/>
        <v>Baixa</v>
      </c>
      <c r="G137" s="101" t="str">
        <f t="shared" si="132"/>
        <v>ALIL</v>
      </c>
      <c r="H137" s="4">
        <f t="shared" si="133"/>
        <v>7</v>
      </c>
      <c r="I137" s="100" t="str">
        <f t="shared" si="134"/>
        <v>L</v>
      </c>
      <c r="J137" s="4" t="str">
        <f t="shared" si="135"/>
        <v>ALII</v>
      </c>
      <c r="K137" s="101">
        <f t="shared" si="136"/>
        <v>7</v>
      </c>
      <c r="L137" s="101">
        <f>IF(NOT(ISERROR(VLOOKUP(B137,Deflatores!G$42:H$64,2,FALSE))),VLOOKUP(B137,Deflatores!G$42:H$64,2,FALSE),IF(OR(ISBLANK(C137),ISBLANK(B137)),"",VLOOKUP(C137,Deflatores!G$4:H$38,2,FALSE)*H137+VLOOKUP(C137,Deflatores!G$4:I$38,3,FALSE)))</f>
        <v>7</v>
      </c>
      <c r="M137" s="101"/>
      <c r="N137" s="101"/>
      <c r="O137" s="101"/>
    </row>
    <row r="138" spans="1:15" x14ac:dyDescent="0.2">
      <c r="A138" s="106" t="s">
        <v>308</v>
      </c>
      <c r="B138" s="107" t="s">
        <v>49</v>
      </c>
      <c r="C138" s="107" t="s">
        <v>44</v>
      </c>
      <c r="D138" s="4">
        <v>12</v>
      </c>
      <c r="E138" s="4">
        <v>4</v>
      </c>
      <c r="F138" s="101" t="str">
        <f t="shared" si="131"/>
        <v>Alta</v>
      </c>
      <c r="G138" s="101" t="str">
        <f t="shared" si="132"/>
        <v>CEH</v>
      </c>
      <c r="H138" s="4">
        <f t="shared" si="133"/>
        <v>6</v>
      </c>
      <c r="I138" s="100" t="str">
        <f t="shared" si="134"/>
        <v>H</v>
      </c>
      <c r="J138" s="4" t="str">
        <f t="shared" si="135"/>
        <v>CEI</v>
      </c>
      <c r="K138" s="101">
        <f t="shared" si="136"/>
        <v>6</v>
      </c>
      <c r="L138" s="101">
        <f>IF(NOT(ISERROR(VLOOKUP(B138,Deflatores!G$42:H$64,2,FALSE))),VLOOKUP(B138,Deflatores!G$42:H$64,2,FALSE),IF(OR(ISBLANK(C138),ISBLANK(B138)),"",VLOOKUP(C138,Deflatores!G$4:H$38,2,FALSE)*H138+VLOOKUP(C138,Deflatores!G$4:I$38,3,FALSE)))</f>
        <v>6</v>
      </c>
      <c r="M138" s="101"/>
      <c r="N138" s="101"/>
      <c r="O138" s="101"/>
    </row>
    <row r="139" spans="1:15" x14ac:dyDescent="0.2">
      <c r="A139" s="106" t="s">
        <v>142</v>
      </c>
      <c r="B139" s="107" t="s">
        <v>49</v>
      </c>
      <c r="C139" s="107" t="s">
        <v>44</v>
      </c>
      <c r="D139" s="4">
        <v>12</v>
      </c>
      <c r="E139" s="4">
        <v>4</v>
      </c>
      <c r="F139" s="101" t="str">
        <f t="shared" si="131"/>
        <v>Alta</v>
      </c>
      <c r="G139" s="101" t="str">
        <f t="shared" si="132"/>
        <v>CEH</v>
      </c>
      <c r="H139" s="4">
        <f t="shared" si="133"/>
        <v>6</v>
      </c>
      <c r="I139" s="100" t="str">
        <f t="shared" si="134"/>
        <v>H</v>
      </c>
      <c r="J139" s="4" t="str">
        <f t="shared" si="135"/>
        <v>CEI</v>
      </c>
      <c r="K139" s="101">
        <f t="shared" si="136"/>
        <v>6</v>
      </c>
      <c r="L139" s="101">
        <f>IF(NOT(ISERROR(VLOOKUP(B139,Deflatores!G$42:H$64,2,FALSE))),VLOOKUP(B139,Deflatores!G$42:H$64,2,FALSE),IF(OR(ISBLANK(C139),ISBLANK(B139)),"",VLOOKUP(C139,Deflatores!G$4:H$38,2,FALSE)*H139+VLOOKUP(C139,Deflatores!G$4:I$38,3,FALSE)))</f>
        <v>6</v>
      </c>
      <c r="M139" s="101"/>
      <c r="N139" s="101"/>
      <c r="O139" s="101"/>
    </row>
    <row r="140" spans="1:15" x14ac:dyDescent="0.2">
      <c r="A140" s="106" t="s">
        <v>143</v>
      </c>
      <c r="B140" s="107" t="s">
        <v>53</v>
      </c>
      <c r="C140" s="107" t="s">
        <v>44</v>
      </c>
      <c r="D140" s="4">
        <v>7</v>
      </c>
      <c r="E140" s="4">
        <v>2</v>
      </c>
      <c r="F140" s="101" t="str">
        <f t="shared" si="131"/>
        <v>Média</v>
      </c>
      <c r="G140" s="101" t="str">
        <f t="shared" si="132"/>
        <v>EEA</v>
      </c>
      <c r="H140" s="4">
        <f t="shared" si="133"/>
        <v>4</v>
      </c>
      <c r="I140" s="100" t="str">
        <f t="shared" si="134"/>
        <v>A</v>
      </c>
      <c r="J140" s="4" t="str">
        <f t="shared" si="135"/>
        <v>EEI</v>
      </c>
      <c r="K140" s="101">
        <f t="shared" si="136"/>
        <v>4</v>
      </c>
      <c r="L140" s="101">
        <f>IF(NOT(ISERROR(VLOOKUP(B140,Deflatores!G$42:H$64,2,FALSE))),VLOOKUP(B140,Deflatores!G$42:H$64,2,FALSE),IF(OR(ISBLANK(C140),ISBLANK(B140)),"",VLOOKUP(C140,Deflatores!G$4:H$38,2,FALSE)*H140+VLOOKUP(C140,Deflatores!G$4:I$38,3,FALSE)))</f>
        <v>4</v>
      </c>
      <c r="M140" s="101"/>
      <c r="N140" s="101"/>
      <c r="O140" s="101"/>
    </row>
    <row r="141" spans="1:15" x14ac:dyDescent="0.2">
      <c r="A141" s="109" t="s">
        <v>144</v>
      </c>
      <c r="B141" s="107" t="s">
        <v>49</v>
      </c>
      <c r="C141" s="107" t="s">
        <v>44</v>
      </c>
      <c r="D141" s="4">
        <v>11</v>
      </c>
      <c r="E141" s="4">
        <v>4</v>
      </c>
      <c r="F141" s="101" t="str">
        <f t="shared" ref="F141:F160" si="137">IF(ISBLANK(B141),"",IF(I141="L","Baixa",IF(I141="A","Média",IF(I141="","","Alta"))))</f>
        <v>Alta</v>
      </c>
      <c r="G141" s="101" t="str">
        <f t="shared" ref="G141:G160" si="138">CONCATENATE(B141,I141)</f>
        <v>CEH</v>
      </c>
      <c r="H141" s="4">
        <f t="shared" ref="H141:H160" si="139">IF(ISBLANK(B141),"",IF(B141="ALI",IF(I141="L",7,IF(I141="A",10,15)),IF(B141="AIE",IF(I141="L",5,IF(I141="A",7,10)),IF(B141="SE",IF(I141="L",4,IF(I141="A",5,7)),IF(OR(B141="EE",B141="CE"),IF(I141="L",3,IF(I141="A",4,6)),0)))))</f>
        <v>6</v>
      </c>
      <c r="I141" s="100" t="str">
        <f t="shared" ref="I141:I160" si="140">IF(OR(ISBLANK(D141),ISBLANK(E141)),IF(OR(B141="ALI",B141="AIE"),"L",IF(OR(B141="EE",B141="SE",B141="CE"),"A","")),IF(B141="EE",IF(E141&gt;=3,IF(D141&gt;=5,"H","A"),IF(E141&gt;=2,IF(D141&gt;=16,"H",IF(D141&lt;=4,"L","A")),IF(D141&lt;=15,"L","A"))),IF(OR(B141="SE",B141="CE"),IF(E141&gt;=4,IF(D141&gt;=6,"H","A"),IF(E141&gt;=2,IF(D141&gt;=20,"H",IF(D141&lt;=5,"L","A")),IF(D141&lt;=19,"L","A"))),IF(OR(B141="ALI",B141="AIE"),IF(E141&gt;=6,IF(D141&gt;=20,"H","A"),IF(E141&gt;=2,IF(D141&gt;=51,"H",IF(D141&lt;=19,"L","A")),IF(D141&lt;=50,"L","A"))),""))))</f>
        <v>H</v>
      </c>
      <c r="J141" s="4" t="str">
        <f t="shared" ref="J141:J160" si="141">CONCATENATE(B141,C141)</f>
        <v>CEI</v>
      </c>
      <c r="K141" s="101">
        <f t="shared" ref="K141:K160" si="142">IF(OR(H141="",H141=0),L141,H141)</f>
        <v>6</v>
      </c>
      <c r="L141" s="101">
        <f>IF(NOT(ISERROR(VLOOKUP(B141,Deflatores!G$42:H$64,2,FALSE))),VLOOKUP(B141,Deflatores!G$42:H$64,2,FALSE),IF(OR(ISBLANK(C141),ISBLANK(B141)),"",VLOOKUP(C141,Deflatores!G$4:H$38,2,FALSE)*H141+VLOOKUP(C141,Deflatores!G$4:I$38,3,FALSE)))</f>
        <v>6</v>
      </c>
      <c r="M141" s="101"/>
      <c r="N141" s="101"/>
      <c r="O141" s="101"/>
    </row>
    <row r="142" spans="1:15" x14ac:dyDescent="0.2">
      <c r="A142" s="106" t="s">
        <v>145</v>
      </c>
      <c r="B142" s="107" t="s">
        <v>49</v>
      </c>
      <c r="C142" s="107" t="s">
        <v>44</v>
      </c>
      <c r="D142" s="4">
        <v>13</v>
      </c>
      <c r="E142" s="4">
        <v>4</v>
      </c>
      <c r="F142" s="101" t="str">
        <f t="shared" si="137"/>
        <v>Alta</v>
      </c>
      <c r="G142" s="101" t="str">
        <f t="shared" si="138"/>
        <v>CEH</v>
      </c>
      <c r="H142" s="4">
        <f t="shared" si="139"/>
        <v>6</v>
      </c>
      <c r="I142" s="100" t="str">
        <f t="shared" si="140"/>
        <v>H</v>
      </c>
      <c r="J142" s="4" t="str">
        <f t="shared" si="141"/>
        <v>CEI</v>
      </c>
      <c r="K142" s="101">
        <f t="shared" si="142"/>
        <v>6</v>
      </c>
      <c r="L142" s="101">
        <f>IF(NOT(ISERROR(VLOOKUP(B142,Deflatores!G$42:H$64,2,FALSE))),VLOOKUP(B142,Deflatores!G$42:H$64,2,FALSE),IF(OR(ISBLANK(C142),ISBLANK(B142)),"",VLOOKUP(C142,Deflatores!G$4:H$38,2,FALSE)*H142+VLOOKUP(C142,Deflatores!G$4:I$38,3,FALSE)))</f>
        <v>6</v>
      </c>
      <c r="M142" s="101"/>
      <c r="N142" s="101"/>
      <c r="O142" s="101"/>
    </row>
    <row r="143" spans="1:15" x14ac:dyDescent="0.2">
      <c r="A143" s="106"/>
      <c r="B143" s="107"/>
      <c r="C143" s="107"/>
      <c r="D143" s="4"/>
      <c r="E143" s="4"/>
      <c r="F143" s="101" t="str">
        <f t="shared" si="137"/>
        <v/>
      </c>
      <c r="G143" s="101" t="str">
        <f t="shared" si="138"/>
        <v/>
      </c>
      <c r="H143" s="4" t="str">
        <f t="shared" si="139"/>
        <v/>
      </c>
      <c r="I143" s="100" t="str">
        <f t="shared" si="140"/>
        <v/>
      </c>
      <c r="J143" s="4" t="str">
        <f t="shared" si="141"/>
        <v/>
      </c>
      <c r="K143" s="101" t="str">
        <f t="shared" si="142"/>
        <v/>
      </c>
      <c r="L143" s="101" t="str">
        <f>IF(NOT(ISERROR(VLOOKUP(B143,Deflatores!G$42:H$64,2,FALSE))),VLOOKUP(B143,Deflatores!G$42:H$64,2,FALSE),IF(OR(ISBLANK(C143),ISBLANK(B143)),"",VLOOKUP(C143,Deflatores!G$4:H$38,2,FALSE)*H143+VLOOKUP(C143,Deflatores!G$4:I$38,3,FALSE)))</f>
        <v/>
      </c>
      <c r="M143" s="101"/>
      <c r="N143" s="101"/>
      <c r="O143" s="101"/>
    </row>
    <row r="144" spans="1:15" x14ac:dyDescent="0.2">
      <c r="A144" s="108" t="s">
        <v>146</v>
      </c>
      <c r="B144" s="107"/>
      <c r="C144" s="107"/>
      <c r="D144" s="4"/>
      <c r="E144" s="4"/>
      <c r="F144" s="101" t="str">
        <f t="shared" si="137"/>
        <v/>
      </c>
      <c r="G144" s="101" t="str">
        <f t="shared" si="138"/>
        <v/>
      </c>
      <c r="H144" s="4" t="str">
        <f t="shared" si="139"/>
        <v/>
      </c>
      <c r="I144" s="100" t="str">
        <f t="shared" si="140"/>
        <v/>
      </c>
      <c r="J144" s="4" t="str">
        <f t="shared" si="141"/>
        <v/>
      </c>
      <c r="K144" s="101" t="str">
        <f t="shared" si="142"/>
        <v/>
      </c>
      <c r="L144" s="101" t="str">
        <f>IF(NOT(ISERROR(VLOOKUP(B144,Deflatores!G$42:H$64,2,FALSE))),VLOOKUP(B144,Deflatores!G$42:H$64,2,FALSE),IF(OR(ISBLANK(C144),ISBLANK(B144)),"",VLOOKUP(C144,Deflatores!G$4:H$38,2,FALSE)*H144+VLOOKUP(C144,Deflatores!G$4:I$38,3,FALSE)))</f>
        <v/>
      </c>
      <c r="M144" s="101"/>
      <c r="N144" s="101"/>
      <c r="O144" s="101"/>
    </row>
    <row r="145" spans="1:15" x14ac:dyDescent="0.2">
      <c r="A145" s="106" t="s">
        <v>309</v>
      </c>
      <c r="B145" s="107" t="s">
        <v>43</v>
      </c>
      <c r="C145" s="107" t="s">
        <v>44</v>
      </c>
      <c r="D145" s="4">
        <v>6</v>
      </c>
      <c r="E145" s="4">
        <v>1</v>
      </c>
      <c r="F145" s="101" t="str">
        <f t="shared" si="137"/>
        <v>Baixa</v>
      </c>
      <c r="G145" s="101" t="str">
        <f t="shared" si="138"/>
        <v>ALIL</v>
      </c>
      <c r="H145" s="4">
        <f t="shared" si="139"/>
        <v>7</v>
      </c>
      <c r="I145" s="100" t="str">
        <f t="shared" si="140"/>
        <v>L</v>
      </c>
      <c r="J145" s="4" t="str">
        <f t="shared" si="141"/>
        <v>ALII</v>
      </c>
      <c r="K145" s="101">
        <f t="shared" si="142"/>
        <v>7</v>
      </c>
      <c r="L145" s="101">
        <f>IF(NOT(ISERROR(VLOOKUP(B145,Deflatores!G$42:H$64,2,FALSE))),VLOOKUP(B145,Deflatores!G$42:H$64,2,FALSE),IF(OR(ISBLANK(C145),ISBLANK(B145)),"",VLOOKUP(C145,Deflatores!G$4:H$38,2,FALSE)*H145+VLOOKUP(C145,Deflatores!G$4:I$38,3,FALSE)))</f>
        <v>7</v>
      </c>
      <c r="M145" s="101"/>
      <c r="N145" s="101"/>
      <c r="O145" s="101"/>
    </row>
    <row r="146" spans="1:15" x14ac:dyDescent="0.2">
      <c r="A146" s="106" t="s">
        <v>147</v>
      </c>
      <c r="B146" s="107" t="s">
        <v>49</v>
      </c>
      <c r="C146" s="107" t="s">
        <v>44</v>
      </c>
      <c r="D146" s="4">
        <v>12</v>
      </c>
      <c r="E146" s="4">
        <v>1</v>
      </c>
      <c r="F146" s="101" t="str">
        <f t="shared" si="137"/>
        <v>Baixa</v>
      </c>
      <c r="G146" s="101" t="str">
        <f t="shared" si="138"/>
        <v>CEL</v>
      </c>
      <c r="H146" s="4">
        <f t="shared" si="139"/>
        <v>3</v>
      </c>
      <c r="I146" s="100" t="str">
        <f t="shared" si="140"/>
        <v>L</v>
      </c>
      <c r="J146" s="4" t="str">
        <f t="shared" si="141"/>
        <v>CEI</v>
      </c>
      <c r="K146" s="101">
        <f t="shared" si="142"/>
        <v>3</v>
      </c>
      <c r="L146" s="101">
        <f>IF(NOT(ISERROR(VLOOKUP(B146,Deflatores!G$42:H$64,2,FALSE))),VLOOKUP(B146,Deflatores!G$42:H$64,2,FALSE),IF(OR(ISBLANK(C146),ISBLANK(B146)),"",VLOOKUP(C146,Deflatores!G$4:H$38,2,FALSE)*H146+VLOOKUP(C146,Deflatores!G$4:I$38,3,FALSE)))</f>
        <v>3</v>
      </c>
      <c r="M146" s="101"/>
      <c r="N146" s="101"/>
      <c r="O146" s="101"/>
    </row>
    <row r="147" spans="1:15" x14ac:dyDescent="0.2">
      <c r="A147" s="109" t="s">
        <v>148</v>
      </c>
      <c r="B147" s="107" t="s">
        <v>49</v>
      </c>
      <c r="C147" s="107" t="s">
        <v>44</v>
      </c>
      <c r="D147" s="4">
        <v>7</v>
      </c>
      <c r="E147" s="4">
        <v>2</v>
      </c>
      <c r="F147" s="101" t="str">
        <f t="shared" si="137"/>
        <v>Média</v>
      </c>
      <c r="G147" s="101" t="str">
        <f t="shared" si="138"/>
        <v>CEA</v>
      </c>
      <c r="H147" s="4">
        <f t="shared" si="139"/>
        <v>4</v>
      </c>
      <c r="I147" s="100" t="str">
        <f t="shared" si="140"/>
        <v>A</v>
      </c>
      <c r="J147" s="4" t="str">
        <f t="shared" si="141"/>
        <v>CEI</v>
      </c>
      <c r="K147" s="101">
        <f t="shared" si="142"/>
        <v>4</v>
      </c>
      <c r="L147" s="101">
        <f>IF(NOT(ISERROR(VLOOKUP(B147,Deflatores!G$42:H$64,2,FALSE))),VLOOKUP(B147,Deflatores!G$42:H$64,2,FALSE),IF(OR(ISBLANK(C147),ISBLANK(B147)),"",VLOOKUP(C147,Deflatores!G$4:H$38,2,FALSE)*H147+VLOOKUP(C147,Deflatores!G$4:I$38,3,FALSE)))</f>
        <v>4</v>
      </c>
      <c r="M147" s="101"/>
      <c r="N147" s="101"/>
      <c r="O147" s="101"/>
    </row>
    <row r="148" spans="1:15" x14ac:dyDescent="0.2">
      <c r="A148" s="106" t="s">
        <v>149</v>
      </c>
      <c r="B148" s="107" t="s">
        <v>53</v>
      </c>
      <c r="C148" s="107" t="s">
        <v>44</v>
      </c>
      <c r="D148" s="4">
        <v>7</v>
      </c>
      <c r="E148" s="4">
        <v>5</v>
      </c>
      <c r="F148" s="101" t="str">
        <f t="shared" si="137"/>
        <v>Alta</v>
      </c>
      <c r="G148" s="101" t="str">
        <f t="shared" si="138"/>
        <v>EEH</v>
      </c>
      <c r="H148" s="4">
        <f t="shared" si="139"/>
        <v>6</v>
      </c>
      <c r="I148" s="100" t="str">
        <f t="shared" si="140"/>
        <v>H</v>
      </c>
      <c r="J148" s="4" t="str">
        <f t="shared" si="141"/>
        <v>EEI</v>
      </c>
      <c r="K148" s="101">
        <f t="shared" si="142"/>
        <v>6</v>
      </c>
      <c r="L148" s="101">
        <f>IF(NOT(ISERROR(VLOOKUP(B148,Deflatores!G$42:H$64,2,FALSE))),VLOOKUP(B148,Deflatores!G$42:H$64,2,FALSE),IF(OR(ISBLANK(C148),ISBLANK(B148)),"",VLOOKUP(C148,Deflatores!G$4:H$38,2,FALSE)*H148+VLOOKUP(C148,Deflatores!G$4:I$38,3,FALSE)))</f>
        <v>6</v>
      </c>
      <c r="M148" s="101"/>
      <c r="N148" s="101"/>
      <c r="O148" s="101"/>
    </row>
    <row r="149" spans="1:15" x14ac:dyDescent="0.2">
      <c r="A149" s="106" t="s">
        <v>150</v>
      </c>
      <c r="B149" s="107" t="s">
        <v>53</v>
      </c>
      <c r="C149" s="107" t="s">
        <v>44</v>
      </c>
      <c r="D149" s="4">
        <v>7</v>
      </c>
      <c r="E149" s="4">
        <v>5</v>
      </c>
      <c r="F149" s="101" t="str">
        <f t="shared" si="137"/>
        <v>Alta</v>
      </c>
      <c r="G149" s="101" t="str">
        <f t="shared" si="138"/>
        <v>EEH</v>
      </c>
      <c r="H149" s="4">
        <f t="shared" si="139"/>
        <v>6</v>
      </c>
      <c r="I149" s="100" t="str">
        <f t="shared" si="140"/>
        <v>H</v>
      </c>
      <c r="J149" s="4" t="str">
        <f t="shared" si="141"/>
        <v>EEI</v>
      </c>
      <c r="K149" s="101">
        <f t="shared" si="142"/>
        <v>6</v>
      </c>
      <c r="L149" s="101">
        <f>IF(NOT(ISERROR(VLOOKUP(B149,Deflatores!G$42:H$64,2,FALSE))),VLOOKUP(B149,Deflatores!G$42:H$64,2,FALSE),IF(OR(ISBLANK(C149),ISBLANK(B149)),"",VLOOKUP(C149,Deflatores!G$4:H$38,2,FALSE)*H149+VLOOKUP(C149,Deflatores!G$4:I$38,3,FALSE)))</f>
        <v>6</v>
      </c>
      <c r="M149" s="101"/>
      <c r="N149" s="101"/>
      <c r="O149" s="101"/>
    </row>
    <row r="150" spans="1:15" x14ac:dyDescent="0.2">
      <c r="A150" s="109" t="s">
        <v>151</v>
      </c>
      <c r="B150" s="107" t="s">
        <v>49</v>
      </c>
      <c r="C150" s="107" t="s">
        <v>44</v>
      </c>
      <c r="D150" s="4">
        <v>5</v>
      </c>
      <c r="E150" s="4">
        <v>5</v>
      </c>
      <c r="F150" s="101" t="str">
        <f t="shared" si="137"/>
        <v>Média</v>
      </c>
      <c r="G150" s="101" t="str">
        <f t="shared" si="138"/>
        <v>CEA</v>
      </c>
      <c r="H150" s="4">
        <f t="shared" si="139"/>
        <v>4</v>
      </c>
      <c r="I150" s="100" t="str">
        <f t="shared" si="140"/>
        <v>A</v>
      </c>
      <c r="J150" s="4" t="str">
        <f t="shared" si="141"/>
        <v>CEI</v>
      </c>
      <c r="K150" s="101">
        <f t="shared" si="142"/>
        <v>4</v>
      </c>
      <c r="L150" s="101">
        <f>IF(NOT(ISERROR(VLOOKUP(B150,Deflatores!G$42:H$64,2,FALSE))),VLOOKUP(B150,Deflatores!G$42:H$64,2,FALSE),IF(OR(ISBLANK(C150),ISBLANK(B150)),"",VLOOKUP(C150,Deflatores!G$4:H$38,2,FALSE)*H150+VLOOKUP(C150,Deflatores!G$4:I$38,3,FALSE)))</f>
        <v>4</v>
      </c>
      <c r="M150" s="101"/>
      <c r="N150" s="101"/>
      <c r="O150" s="101"/>
    </row>
    <row r="151" spans="1:15" x14ac:dyDescent="0.2">
      <c r="A151" s="106" t="s">
        <v>152</v>
      </c>
      <c r="B151" s="107" t="s">
        <v>49</v>
      </c>
      <c r="C151" s="107" t="s">
        <v>44</v>
      </c>
      <c r="D151" s="4">
        <v>7</v>
      </c>
      <c r="E151" s="4">
        <v>5</v>
      </c>
      <c r="F151" s="101" t="str">
        <f t="shared" si="137"/>
        <v>Alta</v>
      </c>
      <c r="G151" s="101" t="str">
        <f t="shared" si="138"/>
        <v>CEH</v>
      </c>
      <c r="H151" s="4">
        <f t="shared" si="139"/>
        <v>6</v>
      </c>
      <c r="I151" s="100" t="str">
        <f t="shared" si="140"/>
        <v>H</v>
      </c>
      <c r="J151" s="4" t="str">
        <f t="shared" si="141"/>
        <v>CEI</v>
      </c>
      <c r="K151" s="101">
        <f t="shared" si="142"/>
        <v>6</v>
      </c>
      <c r="L151" s="101">
        <f>IF(NOT(ISERROR(VLOOKUP(B151,Deflatores!G$42:H$64,2,FALSE))),VLOOKUP(B151,Deflatores!G$42:H$64,2,FALSE),IF(OR(ISBLANK(C151),ISBLANK(B151)),"",VLOOKUP(C151,Deflatores!G$4:H$38,2,FALSE)*H151+VLOOKUP(C151,Deflatores!G$4:I$38,3,FALSE)))</f>
        <v>6</v>
      </c>
      <c r="M151" s="101"/>
      <c r="N151" s="101"/>
      <c r="O151" s="101"/>
    </row>
    <row r="152" spans="1:15" x14ac:dyDescent="0.2">
      <c r="A152" s="106" t="s">
        <v>153</v>
      </c>
      <c r="B152" s="107" t="s">
        <v>53</v>
      </c>
      <c r="C152" s="107" t="s">
        <v>44</v>
      </c>
      <c r="D152" s="4">
        <v>3</v>
      </c>
      <c r="E152" s="4">
        <v>1</v>
      </c>
      <c r="F152" s="101" t="str">
        <f t="shared" si="137"/>
        <v>Baixa</v>
      </c>
      <c r="G152" s="101" t="str">
        <f t="shared" si="138"/>
        <v>EEL</v>
      </c>
      <c r="H152" s="4">
        <f t="shared" si="139"/>
        <v>3</v>
      </c>
      <c r="I152" s="100" t="str">
        <f t="shared" si="140"/>
        <v>L</v>
      </c>
      <c r="J152" s="4" t="str">
        <f t="shared" si="141"/>
        <v>EEI</v>
      </c>
      <c r="K152" s="101">
        <f t="shared" si="142"/>
        <v>3</v>
      </c>
      <c r="L152" s="101">
        <f>IF(NOT(ISERROR(VLOOKUP(B152,Deflatores!G$42:H$64,2,FALSE))),VLOOKUP(B152,Deflatores!G$42:H$64,2,FALSE),IF(OR(ISBLANK(C152),ISBLANK(B152)),"",VLOOKUP(C152,Deflatores!G$4:H$38,2,FALSE)*H152+VLOOKUP(C152,Deflatores!G$4:I$38,3,FALSE)))</f>
        <v>3</v>
      </c>
      <c r="M152" s="101"/>
      <c r="N152" s="101"/>
      <c r="O152" s="101"/>
    </row>
    <row r="153" spans="1:15" x14ac:dyDescent="0.2">
      <c r="A153" s="106"/>
      <c r="B153" s="107"/>
      <c r="C153" s="107"/>
      <c r="D153" s="4"/>
      <c r="E153" s="4"/>
      <c r="F153" s="101" t="str">
        <f t="shared" si="137"/>
        <v/>
      </c>
      <c r="G153" s="101" t="str">
        <f t="shared" si="138"/>
        <v/>
      </c>
      <c r="H153" s="4" t="str">
        <f t="shared" si="139"/>
        <v/>
      </c>
      <c r="I153" s="100" t="str">
        <f t="shared" si="140"/>
        <v/>
      </c>
      <c r="J153" s="4" t="str">
        <f t="shared" si="141"/>
        <v/>
      </c>
      <c r="K153" s="101" t="str">
        <f t="shared" si="142"/>
        <v/>
      </c>
      <c r="L153" s="101" t="str">
        <f>IF(NOT(ISERROR(VLOOKUP(B153,Deflatores!G$42:H$64,2,FALSE))),VLOOKUP(B153,Deflatores!G$42:H$64,2,FALSE),IF(OR(ISBLANK(C153),ISBLANK(B153)),"",VLOOKUP(C153,Deflatores!G$4:H$38,2,FALSE)*H153+VLOOKUP(C153,Deflatores!G$4:I$38,3,FALSE)))</f>
        <v/>
      </c>
      <c r="M153" s="101"/>
      <c r="N153" s="101"/>
      <c r="O153" s="101"/>
    </row>
    <row r="154" spans="1:15" x14ac:dyDescent="0.2">
      <c r="A154" s="108" t="s">
        <v>154</v>
      </c>
      <c r="B154" s="107"/>
      <c r="C154" s="107"/>
      <c r="D154" s="4"/>
      <c r="E154" s="4"/>
      <c r="F154" s="101" t="str">
        <f t="shared" si="137"/>
        <v/>
      </c>
      <c r="G154" s="101" t="str">
        <f t="shared" si="138"/>
        <v/>
      </c>
      <c r="H154" s="4" t="str">
        <f t="shared" si="139"/>
        <v/>
      </c>
      <c r="I154" s="100" t="str">
        <f t="shared" si="140"/>
        <v/>
      </c>
      <c r="J154" s="4" t="str">
        <f t="shared" si="141"/>
        <v/>
      </c>
      <c r="K154" s="101" t="str">
        <f t="shared" si="142"/>
        <v/>
      </c>
      <c r="L154" s="101" t="str">
        <f>IF(NOT(ISERROR(VLOOKUP(B154,Deflatores!G$42:H$64,2,FALSE))),VLOOKUP(B154,Deflatores!G$42:H$64,2,FALSE),IF(OR(ISBLANK(C154),ISBLANK(B154)),"",VLOOKUP(C154,Deflatores!G$4:H$38,2,FALSE)*H154+VLOOKUP(C154,Deflatores!G$4:I$38,3,FALSE)))</f>
        <v/>
      </c>
      <c r="M154" s="101"/>
      <c r="N154" s="101"/>
      <c r="O154" s="101"/>
    </row>
    <row r="155" spans="1:15" x14ac:dyDescent="0.2">
      <c r="A155" s="106" t="s">
        <v>155</v>
      </c>
      <c r="B155" s="107" t="s">
        <v>43</v>
      </c>
      <c r="C155" s="107" t="s">
        <v>44</v>
      </c>
      <c r="D155" s="4">
        <v>5</v>
      </c>
      <c r="E155" s="4">
        <v>1</v>
      </c>
      <c r="F155" s="101" t="str">
        <f t="shared" si="137"/>
        <v>Baixa</v>
      </c>
      <c r="G155" s="101" t="str">
        <f t="shared" si="138"/>
        <v>ALIL</v>
      </c>
      <c r="H155" s="4">
        <f t="shared" si="139"/>
        <v>7</v>
      </c>
      <c r="I155" s="100" t="str">
        <f t="shared" si="140"/>
        <v>L</v>
      </c>
      <c r="J155" s="4" t="str">
        <f t="shared" si="141"/>
        <v>ALII</v>
      </c>
      <c r="K155" s="101">
        <f t="shared" si="142"/>
        <v>7</v>
      </c>
      <c r="L155" s="101">
        <f>IF(NOT(ISERROR(VLOOKUP(B155,Deflatores!G$42:H$64,2,FALSE))),VLOOKUP(B155,Deflatores!G$42:H$64,2,FALSE),IF(OR(ISBLANK(C155),ISBLANK(B155)),"",VLOOKUP(C155,Deflatores!G$4:H$38,2,FALSE)*H155+VLOOKUP(C155,Deflatores!G$4:I$38,3,FALSE)))</f>
        <v>7</v>
      </c>
      <c r="M155" s="101"/>
      <c r="N155" s="101"/>
      <c r="O155" s="101"/>
    </row>
    <row r="156" spans="1:15" x14ac:dyDescent="0.2">
      <c r="A156" s="106" t="s">
        <v>156</v>
      </c>
      <c r="B156" s="107" t="s">
        <v>49</v>
      </c>
      <c r="C156" s="107" t="s">
        <v>44</v>
      </c>
      <c r="D156" s="4">
        <v>8</v>
      </c>
      <c r="E156" s="4">
        <v>3</v>
      </c>
      <c r="F156" s="101" t="str">
        <f t="shared" si="137"/>
        <v>Média</v>
      </c>
      <c r="G156" s="101" t="str">
        <f t="shared" si="138"/>
        <v>CEA</v>
      </c>
      <c r="H156" s="4">
        <f t="shared" si="139"/>
        <v>4</v>
      </c>
      <c r="I156" s="100" t="str">
        <f t="shared" si="140"/>
        <v>A</v>
      </c>
      <c r="J156" s="4" t="str">
        <f t="shared" si="141"/>
        <v>CEI</v>
      </c>
      <c r="K156" s="101">
        <f t="shared" si="142"/>
        <v>4</v>
      </c>
      <c r="L156" s="101">
        <f>IF(NOT(ISERROR(VLOOKUP(B156,Deflatores!G$42:H$64,2,FALSE))),VLOOKUP(B156,Deflatores!G$42:H$64,2,FALSE),IF(OR(ISBLANK(C156),ISBLANK(B156)),"",VLOOKUP(C156,Deflatores!G$4:H$38,2,FALSE)*H156+VLOOKUP(C156,Deflatores!G$4:I$38,3,FALSE)))</f>
        <v>4</v>
      </c>
      <c r="M156" s="101"/>
      <c r="N156" s="101"/>
      <c r="O156" s="101"/>
    </row>
    <row r="157" spans="1:15" x14ac:dyDescent="0.2">
      <c r="A157" s="109" t="s">
        <v>157</v>
      </c>
      <c r="B157" s="107" t="s">
        <v>49</v>
      </c>
      <c r="C157" s="107" t="s">
        <v>44</v>
      </c>
      <c r="D157" s="4">
        <v>16</v>
      </c>
      <c r="E157" s="4">
        <v>4</v>
      </c>
      <c r="F157" s="101" t="str">
        <f t="shared" si="137"/>
        <v>Alta</v>
      </c>
      <c r="G157" s="101" t="str">
        <f t="shared" si="138"/>
        <v>CEH</v>
      </c>
      <c r="H157" s="4">
        <f t="shared" si="139"/>
        <v>6</v>
      </c>
      <c r="I157" s="100" t="str">
        <f t="shared" si="140"/>
        <v>H</v>
      </c>
      <c r="J157" s="4" t="str">
        <f t="shared" si="141"/>
        <v>CEI</v>
      </c>
      <c r="K157" s="101">
        <f t="shared" si="142"/>
        <v>6</v>
      </c>
      <c r="L157" s="101">
        <f>IF(NOT(ISERROR(VLOOKUP(B157,Deflatores!G$42:H$64,2,FALSE))),VLOOKUP(B157,Deflatores!G$42:H$64,2,FALSE),IF(OR(ISBLANK(C157),ISBLANK(B157)),"",VLOOKUP(C157,Deflatores!G$4:H$38,2,FALSE)*H157+VLOOKUP(C157,Deflatores!G$4:I$38,3,FALSE)))</f>
        <v>6</v>
      </c>
      <c r="M157" s="101"/>
      <c r="N157" s="101"/>
      <c r="O157" s="101"/>
    </row>
    <row r="158" spans="1:15" x14ac:dyDescent="0.2">
      <c r="A158" s="106" t="s">
        <v>310</v>
      </c>
      <c r="B158" s="107" t="s">
        <v>53</v>
      </c>
      <c r="C158" s="107" t="s">
        <v>44</v>
      </c>
      <c r="D158" s="4">
        <v>6</v>
      </c>
      <c r="E158" s="4">
        <v>2</v>
      </c>
      <c r="F158" s="101" t="str">
        <f t="shared" si="137"/>
        <v>Média</v>
      </c>
      <c r="G158" s="101" t="str">
        <f t="shared" si="138"/>
        <v>EEA</v>
      </c>
      <c r="H158" s="4">
        <f t="shared" si="139"/>
        <v>4</v>
      </c>
      <c r="I158" s="100" t="str">
        <f t="shared" si="140"/>
        <v>A</v>
      </c>
      <c r="J158" s="4" t="str">
        <f t="shared" si="141"/>
        <v>EEI</v>
      </c>
      <c r="K158" s="101">
        <f t="shared" si="142"/>
        <v>4</v>
      </c>
      <c r="L158" s="101">
        <f>IF(NOT(ISERROR(VLOOKUP(B158,Deflatores!G$42:H$64,2,FALSE))),VLOOKUP(B158,Deflatores!G$42:H$64,2,FALSE),IF(OR(ISBLANK(C158),ISBLANK(B158)),"",VLOOKUP(C158,Deflatores!G$4:H$38,2,FALSE)*H158+VLOOKUP(C158,Deflatores!G$4:I$38,3,FALSE)))</f>
        <v>4</v>
      </c>
      <c r="M158" s="101"/>
      <c r="N158" s="101"/>
      <c r="O158" s="101"/>
    </row>
    <row r="159" spans="1:15" x14ac:dyDescent="0.2">
      <c r="A159" s="109" t="s">
        <v>311</v>
      </c>
      <c r="B159" s="107" t="s">
        <v>53</v>
      </c>
      <c r="C159" s="107" t="s">
        <v>44</v>
      </c>
      <c r="D159" s="4">
        <v>4</v>
      </c>
      <c r="E159" s="4">
        <v>2</v>
      </c>
      <c r="F159" s="101" t="str">
        <f t="shared" si="137"/>
        <v>Baixa</v>
      </c>
      <c r="G159" s="101" t="str">
        <f t="shared" si="138"/>
        <v>EEL</v>
      </c>
      <c r="H159" s="4">
        <f t="shared" si="139"/>
        <v>3</v>
      </c>
      <c r="I159" s="100" t="str">
        <f t="shared" si="140"/>
        <v>L</v>
      </c>
      <c r="J159" s="4" t="str">
        <f t="shared" si="141"/>
        <v>EEI</v>
      </c>
      <c r="K159" s="101">
        <f t="shared" si="142"/>
        <v>3</v>
      </c>
      <c r="L159" s="101">
        <f>IF(NOT(ISERROR(VLOOKUP(B159,Deflatores!G$42:H$64,2,FALSE))),VLOOKUP(B159,Deflatores!G$42:H$64,2,FALSE),IF(OR(ISBLANK(C159),ISBLANK(B159)),"",VLOOKUP(C159,Deflatores!G$4:H$38,2,FALSE)*H159+VLOOKUP(C159,Deflatores!G$4:I$38,3,FALSE)))</f>
        <v>3</v>
      </c>
      <c r="M159" s="101"/>
      <c r="N159" s="101"/>
      <c r="O159" s="101"/>
    </row>
    <row r="160" spans="1:15" x14ac:dyDescent="0.2">
      <c r="A160" s="106" t="s">
        <v>158</v>
      </c>
      <c r="B160" s="117" t="s">
        <v>53</v>
      </c>
      <c r="C160" s="107" t="s">
        <v>44</v>
      </c>
      <c r="D160" s="4">
        <v>7</v>
      </c>
      <c r="E160" s="4">
        <v>2</v>
      </c>
      <c r="F160" s="101" t="str">
        <f t="shared" si="137"/>
        <v>Média</v>
      </c>
      <c r="G160" s="101" t="str">
        <f t="shared" si="138"/>
        <v>EEA</v>
      </c>
      <c r="H160" s="4">
        <f t="shared" si="139"/>
        <v>4</v>
      </c>
      <c r="I160" s="100" t="str">
        <f t="shared" si="140"/>
        <v>A</v>
      </c>
      <c r="J160" s="4" t="str">
        <f t="shared" si="141"/>
        <v>EEI</v>
      </c>
      <c r="K160" s="101">
        <f t="shared" si="142"/>
        <v>4</v>
      </c>
      <c r="L160" s="101">
        <f>IF(NOT(ISERROR(VLOOKUP(B160,Deflatores!G$42:H$64,2,FALSE))),VLOOKUP(B160,Deflatores!G$42:H$64,2,FALSE),IF(OR(ISBLANK(C160),ISBLANK(B160)),"",VLOOKUP(C160,Deflatores!G$4:H$38,2,FALSE)*H160+VLOOKUP(C160,Deflatores!G$4:I$38,3,FALSE)))</f>
        <v>4</v>
      </c>
      <c r="M160" s="101"/>
      <c r="N160" s="101"/>
      <c r="O160" s="101"/>
    </row>
  </sheetData>
  <sheetProtection selectLockedCells="1" selectUnlockedCells="1"/>
  <autoFilter ref="A7:O160" xr:uid="{00000000-0001-0000-0100-000000000000}"/>
  <mergeCells count="7">
    <mergeCell ref="B6:J6"/>
    <mergeCell ref="M6:O6"/>
    <mergeCell ref="A1:O3"/>
    <mergeCell ref="M4:O4"/>
    <mergeCell ref="M5:O5"/>
    <mergeCell ref="B4:J4"/>
    <mergeCell ref="B5:J5"/>
  </mergeCells>
  <conditionalFormatting sqref="C8:C96">
    <cfRule type="cellIs" dxfId="11" priority="1" stopIfTrue="1" operator="equal">
      <formula>"I"</formula>
    </cfRule>
    <cfRule type="cellIs" dxfId="10" priority="2" stopIfTrue="1" operator="equal">
      <formula>"A"</formula>
    </cfRule>
    <cfRule type="cellIs" dxfId="9" priority="3" stopIfTrue="1" operator="equal">
      <formula>"E"</formula>
    </cfRule>
  </conditionalFormatting>
  <conditionalFormatting sqref="C97:C141">
    <cfRule type="cellIs" dxfId="8" priority="7" stopIfTrue="1" operator="equal">
      <formula>"I"</formula>
    </cfRule>
    <cfRule type="cellIs" dxfId="7" priority="8" stopIfTrue="1" operator="equal">
      <formula>"A"</formula>
    </cfRule>
    <cfRule type="cellIs" dxfId="6" priority="9" stopIfTrue="1" operator="equal">
      <formula>"E"</formula>
    </cfRule>
  </conditionalFormatting>
  <conditionalFormatting sqref="C130">
    <cfRule type="cellIs" dxfId="5" priority="10" stopIfTrue="1" operator="equal">
      <formula>"I"</formula>
    </cfRule>
    <cfRule type="cellIs" dxfId="4" priority="11" stopIfTrue="1" operator="equal">
      <formula>"A"</formula>
    </cfRule>
    <cfRule type="cellIs" dxfId="3" priority="12" stopIfTrue="1" operator="equal">
      <formula>"E"</formula>
    </cfRule>
  </conditionalFormatting>
  <conditionalFormatting sqref="C141:C160">
    <cfRule type="cellIs" dxfId="2" priority="4" stopIfTrue="1" operator="equal">
      <formula>"I"</formula>
    </cfRule>
    <cfRule type="cellIs" dxfId="1" priority="5" stopIfTrue="1" operator="equal">
      <formula>"A"</formula>
    </cfRule>
    <cfRule type="cellIs" dxfId="0" priority="6" stopIfTrue="1" operator="equal">
      <formula>"E"</formula>
    </cfRule>
  </conditionalFormatting>
  <dataValidations xWindow="635" yWindow="500" count="2">
    <dataValidation type="list" operator="equal" allowBlank="1" showInputMessage="1" showErrorMessage="1" promptTitle="Tipo da Função" prompt="ALI, AIE, EE, SE, CE_x000a_ou_x000a_Itens não mensuráveis" sqref="B8:B159" xr:uid="{00000000-0002-0000-0100-000000000000}">
      <formula1>TiposDeFuncao</formula1>
      <formula2>0</formula2>
    </dataValidation>
    <dataValidation type="list" operator="equal" allowBlank="1" showInputMessage="1" showErrorMessage="1" promptTitle="Tipo de Manutenção na Função" prompt="I, A, E _x000a_ou_x000a_Itens não mensuráveis" sqref="C8:C160" xr:uid="{00000000-0002-0000-0100-000001000000}">
      <formula1>TiposDeManutencao</formula1>
      <formula2>0</formula2>
    </dataValidation>
  </dataValidations>
  <pageMargins left="0.70833333333333337" right="0.70833333333333337" top="0.74791666666666667" bottom="0.74861111111111112" header="0.51180555555555551" footer="0.31527777777777777"/>
  <pageSetup paperSize="9" scale="76" firstPageNumber="0" fitToHeight="0" orientation="landscape" horizontalDpi="300" verticalDpi="300" r:id="rId1"/>
  <headerFooter alignWithMargins="0">
    <oddFooter>&amp;CPágina &amp;P de &amp;N</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3"/>
  <dimension ref="A1:L64"/>
  <sheetViews>
    <sheetView showGridLines="0" zoomScaleNormal="100" zoomScaleSheetLayoutView="100" workbookViewId="0">
      <pane ySplit="1" topLeftCell="A2" activePane="bottomLeft" state="frozen"/>
      <selection activeCell="B11" sqref="B11"/>
      <selection pane="bottomLeft" activeCell="F45" sqref="F45"/>
    </sheetView>
  </sheetViews>
  <sheetFormatPr defaultColWidth="11.5703125" defaultRowHeight="12.75" x14ac:dyDescent="0.2"/>
  <cols>
    <col min="4" max="4" width="10.5703125" customWidth="1"/>
    <col min="5" max="5" width="23.42578125" customWidth="1"/>
    <col min="6" max="6" width="53.42578125" customWidth="1"/>
    <col min="7" max="7" width="7.5703125" style="5" customWidth="1"/>
    <col min="8" max="8" width="13.42578125" style="6" customWidth="1"/>
    <col min="9" max="9" width="9.7109375" style="6" customWidth="1"/>
    <col min="10" max="11" width="10.5703125" customWidth="1"/>
    <col min="12" max="12" width="0" style="5" hidden="1" customWidth="1"/>
  </cols>
  <sheetData>
    <row r="1" spans="1:12" ht="36.6" customHeight="1" x14ac:dyDescent="0.25">
      <c r="A1" s="122" t="s">
        <v>159</v>
      </c>
      <c r="B1" s="122"/>
      <c r="C1" s="122"/>
      <c r="D1" s="122"/>
      <c r="E1" s="122"/>
      <c r="F1" s="122"/>
      <c r="G1" s="122"/>
      <c r="H1" s="122"/>
      <c r="I1" s="122"/>
      <c r="J1" s="122"/>
      <c r="K1" s="122"/>
      <c r="L1" s="7"/>
    </row>
    <row r="2" spans="1:12" ht="14.85" customHeight="1" x14ac:dyDescent="0.2">
      <c r="A2" s="149" t="s">
        <v>160</v>
      </c>
      <c r="B2" s="149"/>
      <c r="C2" s="149"/>
      <c r="D2" s="149"/>
      <c r="E2" s="149"/>
      <c r="F2" s="149"/>
      <c r="G2" s="150" t="s">
        <v>161</v>
      </c>
      <c r="H2" s="150" t="s">
        <v>162</v>
      </c>
      <c r="I2" s="150"/>
      <c r="J2" s="150" t="s">
        <v>3</v>
      </c>
      <c r="K2" s="151" t="s">
        <v>163</v>
      </c>
    </row>
    <row r="3" spans="1:12" ht="14.85" customHeight="1" x14ac:dyDescent="0.2">
      <c r="A3" s="8" t="s">
        <v>164</v>
      </c>
      <c r="B3" s="150" t="s">
        <v>165</v>
      </c>
      <c r="C3" s="150"/>
      <c r="D3" s="150"/>
      <c r="E3" s="150"/>
      <c r="F3" s="9" t="s">
        <v>166</v>
      </c>
      <c r="G3" s="150"/>
      <c r="H3" s="9" t="s">
        <v>167</v>
      </c>
      <c r="I3" s="9" t="s">
        <v>168</v>
      </c>
      <c r="J3" s="150"/>
      <c r="K3" s="151"/>
    </row>
    <row r="4" spans="1:12" x14ac:dyDescent="0.2">
      <c r="A4" s="3" t="s">
        <v>169</v>
      </c>
      <c r="B4" s="120" t="s">
        <v>170</v>
      </c>
      <c r="C4" s="120"/>
      <c r="D4" s="120"/>
      <c r="E4" s="120"/>
      <c r="F4" s="2"/>
      <c r="G4" s="10" t="s">
        <v>44</v>
      </c>
      <c r="H4" s="83">
        <v>1</v>
      </c>
      <c r="I4" s="84"/>
      <c r="J4" s="85" t="e">
        <f>SUMIF(Funções!#REF!,Deflatores!G4,Funções!#REF!)</f>
        <v>#REF!</v>
      </c>
      <c r="K4" s="86" t="e">
        <f>IF(H4="",COUNTIF(Funções!#REF!,G4)*I4,H4*J4)</f>
        <v>#REF!</v>
      </c>
    </row>
    <row r="5" spans="1:12" x14ac:dyDescent="0.2">
      <c r="A5" s="3" t="s">
        <v>171</v>
      </c>
      <c r="B5" s="120" t="s">
        <v>172</v>
      </c>
      <c r="C5" s="120"/>
      <c r="D5" s="120"/>
      <c r="E5" s="120"/>
      <c r="F5" s="2" t="s">
        <v>173</v>
      </c>
      <c r="G5" s="10" t="s">
        <v>174</v>
      </c>
      <c r="H5" s="83">
        <v>0.5</v>
      </c>
      <c r="I5" s="84"/>
      <c r="J5" s="85" t="e">
        <f>SUMIF(Funções!#REF!,Deflatores!G5,Funções!#REF!)</f>
        <v>#REF!</v>
      </c>
      <c r="K5" s="86" t="e">
        <f>IF(H5="",COUNTIF(Funções!#REF!,G5)*I5,H5*J5)</f>
        <v>#REF!</v>
      </c>
    </row>
    <row r="6" spans="1:12" x14ac:dyDescent="0.2">
      <c r="A6" s="3" t="s">
        <v>175</v>
      </c>
      <c r="B6" s="120" t="s">
        <v>176</v>
      </c>
      <c r="C6" s="120"/>
      <c r="D6" s="120"/>
      <c r="E6" s="120"/>
      <c r="F6" s="2" t="s">
        <v>173</v>
      </c>
      <c r="G6" s="10" t="s">
        <v>177</v>
      </c>
      <c r="H6" s="83">
        <v>0.4</v>
      </c>
      <c r="I6" s="84"/>
      <c r="J6" s="85" t="e">
        <f>SUMIF(Funções!#REF!,Deflatores!G6,Funções!#REF!)</f>
        <v>#REF!</v>
      </c>
      <c r="K6" s="86" t="e">
        <f>IF(H6="",COUNTIF(Funções!#REF!,G6)*I6,H6*J6)</f>
        <v>#REF!</v>
      </c>
    </row>
    <row r="7" spans="1:12" x14ac:dyDescent="0.2">
      <c r="A7" s="3"/>
      <c r="B7" s="120" t="s">
        <v>178</v>
      </c>
      <c r="C7" s="120"/>
      <c r="D7" s="120"/>
      <c r="E7" s="120"/>
      <c r="F7" s="2" t="s">
        <v>173</v>
      </c>
      <c r="G7" s="10" t="s">
        <v>179</v>
      </c>
      <c r="H7" s="83">
        <v>0.5</v>
      </c>
      <c r="I7" s="84"/>
      <c r="J7" s="85" t="e">
        <f>SUMIF(Funções!#REF!,Deflatores!G7,Funções!#REF!)</f>
        <v>#REF!</v>
      </c>
      <c r="K7" s="86" t="e">
        <f>IF(H7="",COUNTIF(Funções!#REF!,G7)*I7,H7*J7)</f>
        <v>#REF!</v>
      </c>
    </row>
    <row r="8" spans="1:12" x14ac:dyDescent="0.2">
      <c r="A8" s="3"/>
      <c r="B8" s="120" t="s">
        <v>180</v>
      </c>
      <c r="C8" s="120"/>
      <c r="D8" s="120"/>
      <c r="E8" s="120"/>
      <c r="F8" s="2" t="s">
        <v>173</v>
      </c>
      <c r="G8" s="10" t="s">
        <v>181</v>
      </c>
      <c r="H8" s="83">
        <v>0.75</v>
      </c>
      <c r="I8" s="84"/>
      <c r="J8" s="85" t="e">
        <f>SUMIF(Funções!#REF!,Deflatores!G8,Funções!#REF!)</f>
        <v>#REF!</v>
      </c>
      <c r="K8" s="86" t="e">
        <f>IF(H8="",COUNTIF(Funções!#REF!,G8)*I8,H8*J8)</f>
        <v>#REF!</v>
      </c>
    </row>
    <row r="9" spans="1:12" x14ac:dyDescent="0.2">
      <c r="A9" s="3"/>
      <c r="B9" s="120" t="s">
        <v>182</v>
      </c>
      <c r="C9" s="120"/>
      <c r="D9" s="120"/>
      <c r="E9" s="120"/>
      <c r="F9" s="2" t="s">
        <v>173</v>
      </c>
      <c r="G9" s="10" t="s">
        <v>183</v>
      </c>
      <c r="H9" s="83">
        <v>0.9</v>
      </c>
      <c r="I9" s="84"/>
      <c r="J9" s="85" t="e">
        <f>SUMIF(Funções!#REF!,Deflatores!G9,Funções!#REF!)</f>
        <v>#REF!</v>
      </c>
      <c r="K9" s="86" t="e">
        <f>IF(H9="",COUNTIF(Funções!#REF!,G9)*I9,H9*J9)</f>
        <v>#REF!</v>
      </c>
    </row>
    <row r="10" spans="1:12" x14ac:dyDescent="0.2">
      <c r="A10" s="3"/>
      <c r="B10" s="120" t="s">
        <v>184</v>
      </c>
      <c r="C10" s="120"/>
      <c r="D10" s="120"/>
      <c r="E10" s="120"/>
      <c r="F10" s="2" t="s">
        <v>185</v>
      </c>
      <c r="G10" s="10" t="s">
        <v>186</v>
      </c>
      <c r="H10" s="83">
        <v>1</v>
      </c>
      <c r="I10" s="84"/>
      <c r="J10" s="85" t="e">
        <f>SUMIF(Funções!#REF!,Deflatores!G10,Funções!#REF!)</f>
        <v>#REF!</v>
      </c>
      <c r="K10" s="86" t="e">
        <f>IF(H10="",COUNTIF(Funções!#REF!,G10)*I10,H10*J10)</f>
        <v>#REF!</v>
      </c>
    </row>
    <row r="11" spans="1:12" x14ac:dyDescent="0.2">
      <c r="A11" s="3"/>
      <c r="B11" s="120" t="s">
        <v>187</v>
      </c>
      <c r="C11" s="120"/>
      <c r="D11" s="120"/>
      <c r="E11" s="120"/>
      <c r="F11" s="2" t="s">
        <v>188</v>
      </c>
      <c r="G11" s="10" t="s">
        <v>189</v>
      </c>
      <c r="H11" s="83">
        <v>0.5</v>
      </c>
      <c r="I11" s="84"/>
      <c r="J11" s="85" t="e">
        <f>SUMIF(Funções!#REF!,Deflatores!G11,Funções!#REF!)</f>
        <v>#REF!</v>
      </c>
      <c r="K11" s="86" t="e">
        <f>IF(H11="",COUNTIF(Funções!#REF!,G11)*I11,H11*J11)</f>
        <v>#REF!</v>
      </c>
    </row>
    <row r="12" spans="1:12" ht="13.5" customHeight="1" x14ac:dyDescent="0.2">
      <c r="A12" s="3"/>
      <c r="B12" s="120" t="s">
        <v>190</v>
      </c>
      <c r="C12" s="120"/>
      <c r="D12" s="120"/>
      <c r="E12" s="120"/>
      <c r="F12" s="2" t="s">
        <v>188</v>
      </c>
      <c r="G12" s="10" t="s">
        <v>191</v>
      </c>
      <c r="H12" s="83">
        <v>0.5</v>
      </c>
      <c r="I12" s="84"/>
      <c r="J12" s="85" t="e">
        <f>SUMIF(Funções!#REF!,Deflatores!G12,Funções!#REF!)</f>
        <v>#REF!</v>
      </c>
      <c r="K12" s="86" t="e">
        <f>IF(H12="",COUNTIF(Funções!#REF!,G12)*I12,H12*J12)</f>
        <v>#REF!</v>
      </c>
    </row>
    <row r="13" spans="1:12" ht="13.5" customHeight="1" x14ac:dyDescent="0.2">
      <c r="A13" s="3"/>
      <c r="B13" s="120" t="s">
        <v>192</v>
      </c>
      <c r="C13" s="120"/>
      <c r="D13" s="120"/>
      <c r="E13" s="120"/>
      <c r="F13" s="2" t="s">
        <v>188</v>
      </c>
      <c r="G13" s="10" t="s">
        <v>193</v>
      </c>
      <c r="H13" s="83">
        <v>0.75</v>
      </c>
      <c r="I13" s="84"/>
      <c r="J13" s="85" t="e">
        <f>SUMIF(Funções!#REF!,Deflatores!G13,Funções!#REF!)</f>
        <v>#REF!</v>
      </c>
      <c r="K13" s="86" t="e">
        <f>IF(H13="",COUNTIF(Funções!#REF!,G13)*I13,H13*J13)</f>
        <v>#REF!</v>
      </c>
    </row>
    <row r="14" spans="1:12" ht="13.5" customHeight="1" x14ac:dyDescent="0.2">
      <c r="A14" s="3"/>
      <c r="B14" s="120" t="s">
        <v>194</v>
      </c>
      <c r="C14" s="120"/>
      <c r="D14" s="120"/>
      <c r="E14" s="120"/>
      <c r="F14" s="2" t="s">
        <v>188</v>
      </c>
      <c r="G14" s="10" t="s">
        <v>195</v>
      </c>
      <c r="H14" s="83">
        <v>0.9</v>
      </c>
      <c r="I14" s="84"/>
      <c r="J14" s="85" t="e">
        <f>SUMIF(Funções!#REF!,Deflatores!G14,Funções!#REF!)</f>
        <v>#REF!</v>
      </c>
      <c r="K14" s="86" t="e">
        <f>IF(H14="",COUNTIF(Funções!#REF!,G14)*I14,H14*J14)</f>
        <v>#REF!</v>
      </c>
    </row>
    <row r="15" spans="1:12" ht="13.5" customHeight="1" x14ac:dyDescent="0.2">
      <c r="A15" s="3"/>
      <c r="B15" s="120" t="s">
        <v>196</v>
      </c>
      <c r="C15" s="120"/>
      <c r="D15" s="120"/>
      <c r="E15" s="120"/>
      <c r="F15" s="2" t="s">
        <v>188</v>
      </c>
      <c r="G15" s="10" t="s">
        <v>197</v>
      </c>
      <c r="H15" s="83">
        <v>0</v>
      </c>
      <c r="I15" s="84"/>
      <c r="J15" s="85" t="e">
        <f>SUMIF(Funções!#REF!,Deflatores!G15,Funções!#REF!)</f>
        <v>#REF!</v>
      </c>
      <c r="K15" s="86" t="e">
        <f>IF(H15="",COUNTIF(Funções!#REF!,G15)*I15,H15*J15)</f>
        <v>#REF!</v>
      </c>
    </row>
    <row r="16" spans="1:12" ht="13.5" customHeight="1" x14ac:dyDescent="0.2">
      <c r="A16" s="3"/>
      <c r="B16" s="120" t="s">
        <v>198</v>
      </c>
      <c r="C16" s="120"/>
      <c r="D16" s="120"/>
      <c r="E16" s="120"/>
      <c r="F16" s="2" t="s">
        <v>199</v>
      </c>
      <c r="G16" s="10" t="s">
        <v>200</v>
      </c>
      <c r="H16" s="83">
        <v>1</v>
      </c>
      <c r="I16" s="84"/>
      <c r="J16" s="85" t="e">
        <f>SUMIF(Funções!#REF!,Deflatores!G16,Funções!#REF!)</f>
        <v>#REF!</v>
      </c>
      <c r="K16" s="86" t="e">
        <f>IF(H16="",COUNTIF(Funções!#REF!,G16)*I16,H16*J16)</f>
        <v>#REF!</v>
      </c>
    </row>
    <row r="17" spans="1:11" x14ac:dyDescent="0.2">
      <c r="A17" s="3"/>
      <c r="B17" s="120" t="s">
        <v>201</v>
      </c>
      <c r="C17" s="120"/>
      <c r="D17" s="120"/>
      <c r="E17" s="120"/>
      <c r="F17" s="2" t="s">
        <v>202</v>
      </c>
      <c r="G17" s="10" t="s">
        <v>203</v>
      </c>
      <c r="H17" s="83">
        <v>1</v>
      </c>
      <c r="I17" s="84"/>
      <c r="J17" s="85" t="e">
        <f>SUMIF(Funções!#REF!,Deflatores!G17,Funções!#REF!)</f>
        <v>#REF!</v>
      </c>
      <c r="K17" s="86" t="e">
        <f>IF(H17="",COUNTIF(Funções!#REF!,G17)*I17,H17*J17)</f>
        <v>#REF!</v>
      </c>
    </row>
    <row r="18" spans="1:11" ht="13.5" customHeight="1" x14ac:dyDescent="0.2">
      <c r="A18" s="3"/>
      <c r="B18" s="120" t="s">
        <v>204</v>
      </c>
      <c r="C18" s="120"/>
      <c r="D18" s="120"/>
      <c r="E18" s="120"/>
      <c r="F18" s="2" t="s">
        <v>202</v>
      </c>
      <c r="G18" s="10" t="s">
        <v>205</v>
      </c>
      <c r="H18" s="83">
        <v>0.3</v>
      </c>
      <c r="I18" s="84"/>
      <c r="J18" s="85" t="e">
        <f>SUMIF(Funções!#REF!,Deflatores!G18,Funções!#REF!)</f>
        <v>#REF!</v>
      </c>
      <c r="K18" s="86" t="e">
        <f>IF(H18="",COUNTIF(Funções!#REF!,G18)*I18,H18*J18)</f>
        <v>#REF!</v>
      </c>
    </row>
    <row r="19" spans="1:11" ht="13.5" customHeight="1" x14ac:dyDescent="0.2">
      <c r="A19" s="3"/>
      <c r="B19" s="120" t="s">
        <v>206</v>
      </c>
      <c r="C19" s="120"/>
      <c r="D19" s="120"/>
      <c r="E19" s="120"/>
      <c r="F19" s="2" t="s">
        <v>207</v>
      </c>
      <c r="G19" s="10" t="s">
        <v>208</v>
      </c>
      <c r="H19" s="83">
        <v>0.3</v>
      </c>
      <c r="I19" s="84"/>
      <c r="J19" s="85" t="e">
        <f>SUMIF(Funções!#REF!,Deflatores!G19,Funções!#REF!)</f>
        <v>#REF!</v>
      </c>
      <c r="K19" s="86" t="e">
        <f>IF(H19="",COUNTIF(Funções!#REF!,G19)*I19,H19*J19)</f>
        <v>#REF!</v>
      </c>
    </row>
    <row r="20" spans="1:11" ht="13.5" customHeight="1" x14ac:dyDescent="0.2">
      <c r="A20" s="3"/>
      <c r="B20" s="120" t="s">
        <v>209</v>
      </c>
      <c r="C20" s="120"/>
      <c r="D20" s="120"/>
      <c r="E20" s="120"/>
      <c r="F20" s="2" t="s">
        <v>210</v>
      </c>
      <c r="G20" s="10" t="s">
        <v>211</v>
      </c>
      <c r="H20" s="83">
        <v>0.3</v>
      </c>
      <c r="I20" s="84"/>
      <c r="J20" s="85" t="e">
        <f>SUMIF(Funções!#REF!,Deflatores!G20,Funções!#REF!)</f>
        <v>#REF!</v>
      </c>
      <c r="K20" s="86" t="e">
        <f>IF(H20="",COUNTIF(Funções!#REF!,G20)*I20,H20*J20)</f>
        <v>#REF!</v>
      </c>
    </row>
    <row r="21" spans="1:11" ht="13.5" customHeight="1" x14ac:dyDescent="0.2">
      <c r="A21" s="3"/>
      <c r="B21" s="120" t="s">
        <v>212</v>
      </c>
      <c r="C21" s="120"/>
      <c r="D21" s="120"/>
      <c r="E21" s="120"/>
      <c r="F21" s="2" t="s">
        <v>213</v>
      </c>
      <c r="G21" s="10" t="s">
        <v>214</v>
      </c>
      <c r="H21" s="83">
        <v>0.3</v>
      </c>
      <c r="I21" s="84"/>
      <c r="J21" s="85" t="e">
        <f>SUMIF(Funções!#REF!,Deflatores!G21,Funções!#REF!)</f>
        <v>#REF!</v>
      </c>
      <c r="K21" s="86" t="e">
        <f>IF(H21="",COUNTIF(Funções!#REF!,G21)*I21,H21*J21)</f>
        <v>#REF!</v>
      </c>
    </row>
    <row r="22" spans="1:11" x14ac:dyDescent="0.2">
      <c r="A22" s="3"/>
      <c r="B22" s="120" t="s">
        <v>215</v>
      </c>
      <c r="C22" s="120"/>
      <c r="D22" s="120"/>
      <c r="E22" s="120"/>
      <c r="F22" s="2" t="s">
        <v>216</v>
      </c>
      <c r="G22" s="10" t="s">
        <v>217</v>
      </c>
      <c r="H22" s="83"/>
      <c r="I22" s="84">
        <v>0.6</v>
      </c>
      <c r="J22" s="85" t="e">
        <f>SUMIF(Funções!#REF!,Deflatores!G22,Funções!#REF!)</f>
        <v>#REF!</v>
      </c>
      <c r="K22" s="86" t="e">
        <f>IF(H22="",COUNTIF(Funções!#REF!,G22)*I22,H22*J22)</f>
        <v>#REF!</v>
      </c>
    </row>
    <row r="23" spans="1:11" ht="27" customHeight="1" x14ac:dyDescent="0.2">
      <c r="A23" s="3"/>
      <c r="B23" s="152" t="s">
        <v>218</v>
      </c>
      <c r="C23" s="153"/>
      <c r="D23" s="153"/>
      <c r="E23" s="154"/>
      <c r="F23" s="82" t="s">
        <v>219</v>
      </c>
      <c r="G23" s="10" t="s">
        <v>220</v>
      </c>
      <c r="H23" s="83">
        <v>0.5</v>
      </c>
      <c r="I23" s="84"/>
      <c r="J23" s="85" t="e">
        <f>SUMIF(Funções!#REF!,Deflatores!G23,Funções!#REF!)</f>
        <v>#REF!</v>
      </c>
      <c r="K23" s="86" t="e">
        <f>IF(H23="",COUNTIF(Funções!#REF!,G23)*I23,H23*J23)</f>
        <v>#REF!</v>
      </c>
    </row>
    <row r="24" spans="1:11" ht="27" customHeight="1" x14ac:dyDescent="0.2">
      <c r="A24" s="3"/>
      <c r="B24" s="152" t="s">
        <v>221</v>
      </c>
      <c r="C24" s="153"/>
      <c r="D24" s="153"/>
      <c r="E24" s="154"/>
      <c r="F24" s="82" t="s">
        <v>219</v>
      </c>
      <c r="G24" s="10" t="s">
        <v>222</v>
      </c>
      <c r="H24" s="83">
        <v>0.5</v>
      </c>
      <c r="I24" s="84"/>
      <c r="J24" s="85" t="e">
        <f>SUMIF(Funções!#REF!,Deflatores!G24,Funções!#REF!)</f>
        <v>#REF!</v>
      </c>
      <c r="K24" s="86" t="e">
        <f>IF(H24="",COUNTIF(Funções!#REF!,G24)*I24,H24*J24)</f>
        <v>#REF!</v>
      </c>
    </row>
    <row r="25" spans="1:11" ht="27" customHeight="1" x14ac:dyDescent="0.2">
      <c r="A25" s="3"/>
      <c r="B25" s="155" t="s">
        <v>223</v>
      </c>
      <c r="C25" s="120"/>
      <c r="D25" s="120"/>
      <c r="E25" s="120"/>
      <c r="F25" s="82" t="s">
        <v>219</v>
      </c>
      <c r="G25" s="10" t="s">
        <v>224</v>
      </c>
      <c r="H25" s="83">
        <v>0.75</v>
      </c>
      <c r="I25" s="84"/>
      <c r="J25" s="85" t="e">
        <f>SUMIF(Funções!#REF!,Deflatores!G25,Funções!#REF!)</f>
        <v>#REF!</v>
      </c>
      <c r="K25" s="86" t="e">
        <f>IF(H25="",COUNTIF(Funções!#REF!,G25)*I25,H25*J25)</f>
        <v>#REF!</v>
      </c>
    </row>
    <row r="26" spans="1:11" ht="13.5" customHeight="1" x14ac:dyDescent="0.2">
      <c r="A26" s="3"/>
      <c r="B26" s="120" t="s">
        <v>225</v>
      </c>
      <c r="C26" s="120"/>
      <c r="D26" s="120"/>
      <c r="E26" s="120"/>
      <c r="F26" s="2" t="s">
        <v>226</v>
      </c>
      <c r="G26" s="10" t="s">
        <v>227</v>
      </c>
      <c r="H26" s="83">
        <v>1</v>
      </c>
      <c r="I26" s="84"/>
      <c r="J26" s="85" t="e">
        <f>SUMIF(Funções!#REF!,Deflatores!G26,Funções!#REF!)</f>
        <v>#REF!</v>
      </c>
      <c r="K26" s="86" t="e">
        <f>IF(H26="",COUNTIF(Funções!#REF!,G26)*I26,H26*J26)</f>
        <v>#REF!</v>
      </c>
    </row>
    <row r="27" spans="1:11" ht="13.5" customHeight="1" x14ac:dyDescent="0.2">
      <c r="A27" s="3"/>
      <c r="B27" s="120" t="s">
        <v>228</v>
      </c>
      <c r="C27" s="120"/>
      <c r="D27" s="120"/>
      <c r="E27" s="120"/>
      <c r="F27" s="2" t="s">
        <v>226</v>
      </c>
      <c r="G27" s="10" t="s">
        <v>229</v>
      </c>
      <c r="H27" s="83">
        <v>1</v>
      </c>
      <c r="I27" s="84"/>
      <c r="J27" s="85" t="e">
        <f>SUMIF(Funções!#REF!,Deflatores!G27,Funções!#REF!)</f>
        <v>#REF!</v>
      </c>
      <c r="K27" s="86" t="e">
        <f>IF(H27="",COUNTIF(Funções!#REF!,G27)*I27,H27*J27)</f>
        <v>#REF!</v>
      </c>
    </row>
    <row r="28" spans="1:11" ht="13.5" customHeight="1" x14ac:dyDescent="0.2">
      <c r="A28" s="3"/>
      <c r="B28" s="120" t="s">
        <v>230</v>
      </c>
      <c r="C28" s="120"/>
      <c r="D28" s="120"/>
      <c r="E28" s="120"/>
      <c r="F28" s="2" t="s">
        <v>226</v>
      </c>
      <c r="G28" s="10" t="s">
        <v>231</v>
      </c>
      <c r="H28" s="83">
        <v>0.6</v>
      </c>
      <c r="I28" s="84"/>
      <c r="J28" s="85" t="e">
        <f>SUMIF(Funções!#REF!,Deflatores!G28,Funções!#REF!)</f>
        <v>#REF!</v>
      </c>
      <c r="K28" s="86" t="e">
        <f>IF(H28="",COUNTIF(Funções!#REF!,G28)*I28,H28*J28)</f>
        <v>#REF!</v>
      </c>
    </row>
    <row r="29" spans="1:11" ht="13.5" customHeight="1" x14ac:dyDescent="0.2">
      <c r="A29" s="3"/>
      <c r="B29" s="120" t="s">
        <v>232</v>
      </c>
      <c r="C29" s="120"/>
      <c r="D29" s="120"/>
      <c r="E29" s="120"/>
      <c r="F29" s="2" t="s">
        <v>233</v>
      </c>
      <c r="G29" s="10" t="s">
        <v>234</v>
      </c>
      <c r="H29" s="83">
        <v>1</v>
      </c>
      <c r="I29" s="84"/>
      <c r="J29" s="85" t="e">
        <f>SUMIF(Funções!#REF!,Deflatores!G29,Funções!#REF!)</f>
        <v>#REF!</v>
      </c>
      <c r="K29" s="86" t="e">
        <f>IF(H29="",COUNTIF(Funções!#REF!,G29)*I29,H29*J29)</f>
        <v>#REF!</v>
      </c>
    </row>
    <row r="30" spans="1:11" ht="13.5" customHeight="1" x14ac:dyDescent="0.2">
      <c r="A30" s="3"/>
      <c r="B30" s="120" t="s">
        <v>235</v>
      </c>
      <c r="C30" s="120"/>
      <c r="D30" s="120"/>
      <c r="E30" s="120"/>
      <c r="F30" s="2" t="s">
        <v>236</v>
      </c>
      <c r="G30" s="10" t="s">
        <v>237</v>
      </c>
      <c r="H30" s="83">
        <v>0.1</v>
      </c>
      <c r="I30" s="84"/>
      <c r="J30" s="85" t="e">
        <f>SUMIF(Funções!#REF!,Deflatores!G30,Funções!#REF!)</f>
        <v>#REF!</v>
      </c>
      <c r="K30" s="86" t="e">
        <f>IF(H30="",COUNTIF(Funções!#REF!,G30)*I30,H30*J30)</f>
        <v>#REF!</v>
      </c>
    </row>
    <row r="31" spans="1:11" ht="13.5" customHeight="1" x14ac:dyDescent="0.2">
      <c r="A31" s="3"/>
      <c r="B31" s="120" t="s">
        <v>238</v>
      </c>
      <c r="C31" s="120"/>
      <c r="D31" s="120"/>
      <c r="E31" s="120"/>
      <c r="F31" s="2" t="s">
        <v>239</v>
      </c>
      <c r="G31" s="10" t="s">
        <v>240</v>
      </c>
      <c r="H31" s="83">
        <v>0.1</v>
      </c>
      <c r="I31" s="84"/>
      <c r="J31" s="85" t="e">
        <f>SUMIF(Funções!#REF!,Deflatores!G31,Funções!#REF!)</f>
        <v>#REF!</v>
      </c>
      <c r="K31" s="86" t="e">
        <f>IF(H31="",COUNTIF(Funções!#REF!,G31)*I31,H31*J31)</f>
        <v>#REF!</v>
      </c>
    </row>
    <row r="32" spans="1:11" ht="13.5" customHeight="1" x14ac:dyDescent="0.2">
      <c r="A32" s="3"/>
      <c r="B32" s="96" t="s">
        <v>241</v>
      </c>
      <c r="C32" s="97"/>
      <c r="D32" s="97"/>
      <c r="E32" s="98"/>
      <c r="F32" s="2" t="s">
        <v>242</v>
      </c>
      <c r="G32" s="10" t="s">
        <v>243</v>
      </c>
      <c r="H32" s="83">
        <v>0.25</v>
      </c>
      <c r="I32" s="84"/>
      <c r="J32" s="85" t="e">
        <f>SUMIF(Funções!#REF!,Deflatores!G32,Funções!#REF!)</f>
        <v>#REF!</v>
      </c>
      <c r="K32" s="86" t="e">
        <f>IF(H32="",COUNTIF(Funções!#REF!,G32)*I32,H32*J32)</f>
        <v>#REF!</v>
      </c>
    </row>
    <row r="33" spans="1:12" ht="13.5" customHeight="1" x14ac:dyDescent="0.2">
      <c r="A33" s="3"/>
      <c r="B33" s="96" t="s">
        <v>244</v>
      </c>
      <c r="C33" s="97"/>
      <c r="D33" s="97"/>
      <c r="E33" s="98"/>
      <c r="F33" s="2" t="s">
        <v>245</v>
      </c>
      <c r="G33" s="10" t="s">
        <v>246</v>
      </c>
      <c r="H33" s="83">
        <v>0.2</v>
      </c>
      <c r="I33" s="84"/>
      <c r="J33" s="85" t="e">
        <f>SUMIF(Funções!#REF!,Deflatores!G33,Funções!#REF!)</f>
        <v>#REF!</v>
      </c>
      <c r="K33" s="86" t="e">
        <f>IF(H33="",COUNTIF(Funções!#REF!,G33)*I33,H33*J33)</f>
        <v>#REF!</v>
      </c>
    </row>
    <row r="34" spans="1:12" ht="13.5" customHeight="1" x14ac:dyDescent="0.2">
      <c r="A34" s="3"/>
      <c r="B34" s="96" t="s">
        <v>247</v>
      </c>
      <c r="C34" s="97"/>
      <c r="D34" s="97"/>
      <c r="E34" s="98"/>
      <c r="F34" s="2" t="s">
        <v>245</v>
      </c>
      <c r="G34" s="10" t="s">
        <v>248</v>
      </c>
      <c r="H34" s="83">
        <v>0.15</v>
      </c>
      <c r="I34" s="84"/>
      <c r="J34" s="85" t="e">
        <f>SUMIF(Funções!#REF!,Deflatores!G34,Funções!#REF!)</f>
        <v>#REF!</v>
      </c>
      <c r="K34" s="86" t="e">
        <f>IF(H34="",COUNTIF(Funções!#REF!,G34)*I34,H34*J34)</f>
        <v>#REF!</v>
      </c>
    </row>
    <row r="35" spans="1:12" ht="13.5" customHeight="1" x14ac:dyDescent="0.2">
      <c r="A35" s="3"/>
      <c r="B35" s="96" t="s">
        <v>249</v>
      </c>
      <c r="C35" s="97"/>
      <c r="D35" s="97"/>
      <c r="E35" s="98"/>
      <c r="F35" s="2" t="s">
        <v>250</v>
      </c>
      <c r="G35" s="10" t="s">
        <v>251</v>
      </c>
      <c r="H35" s="83">
        <v>0.15</v>
      </c>
      <c r="I35" s="84"/>
      <c r="J35" s="85" t="e">
        <f>SUMIF(Funções!#REF!,Deflatores!G35,Funções!#REF!)</f>
        <v>#REF!</v>
      </c>
      <c r="K35" s="86" t="e">
        <f>IF(H35="",COUNTIF(Funções!#REF!,G35)*I35,H35*J35)</f>
        <v>#REF!</v>
      </c>
    </row>
    <row r="36" spans="1:12" ht="13.5" customHeight="1" x14ac:dyDescent="0.2">
      <c r="A36" s="3"/>
      <c r="B36" s="120" t="s">
        <v>252</v>
      </c>
      <c r="C36" s="120"/>
      <c r="D36" s="120"/>
      <c r="E36" s="120"/>
      <c r="F36" s="2" t="s">
        <v>253</v>
      </c>
      <c r="G36" s="10" t="s">
        <v>254</v>
      </c>
      <c r="H36" s="83">
        <v>1</v>
      </c>
      <c r="I36" s="84"/>
      <c r="J36" s="85" t="e">
        <f>SUMIF(Funções!#REF!,Deflatores!G36,Funções!#REF!)</f>
        <v>#REF!</v>
      </c>
      <c r="K36" s="86" t="e">
        <f>IF(H36="",COUNTIF(Funções!#REF!,G36)*I36,H36*J36)</f>
        <v>#REF!</v>
      </c>
    </row>
    <row r="37" spans="1:12" ht="13.5" customHeight="1" x14ac:dyDescent="0.2">
      <c r="A37" s="3"/>
      <c r="B37" s="120"/>
      <c r="C37" s="120"/>
      <c r="D37" s="120"/>
      <c r="E37" s="120"/>
      <c r="F37" s="2"/>
      <c r="G37" s="10" t="s">
        <v>255</v>
      </c>
      <c r="H37" s="83"/>
      <c r="I37" s="84"/>
      <c r="J37" s="85" t="e">
        <f>SUMIF(Funções!#REF!,Deflatores!G37,Funções!#REF!)</f>
        <v>#REF!</v>
      </c>
      <c r="K37" s="86" t="e">
        <f>IF(H37="",COUNTIF(Funções!#REF!,G37)*I37,H37*J37)</f>
        <v>#REF!</v>
      </c>
      <c r="L37" s="5" t="s">
        <v>43</v>
      </c>
    </row>
    <row r="38" spans="1:12" ht="13.5" customHeight="1" x14ac:dyDescent="0.2">
      <c r="A38" s="3"/>
      <c r="B38" s="120"/>
      <c r="C38" s="120"/>
      <c r="D38" s="120"/>
      <c r="E38" s="120"/>
      <c r="F38" s="2"/>
      <c r="G38" s="10" t="s">
        <v>255</v>
      </c>
      <c r="H38" s="83"/>
      <c r="I38" s="84"/>
      <c r="J38" s="85" t="e">
        <f>SUMIF(Funções!#REF!,Deflatores!G38,Funções!#REF!)</f>
        <v>#REF!</v>
      </c>
      <c r="K38" s="86" t="e">
        <f>IF(H38="",COUNTIF(Funções!#REF!,G38)*I38,H38*J38)</f>
        <v>#REF!</v>
      </c>
      <c r="L38" s="5" t="s">
        <v>47</v>
      </c>
    </row>
    <row r="39" spans="1:12" ht="13.5" x14ac:dyDescent="0.25">
      <c r="A39" s="59"/>
      <c r="B39" s="60"/>
      <c r="C39" s="60"/>
      <c r="D39" s="60"/>
      <c r="E39" s="60"/>
      <c r="F39" s="60"/>
      <c r="G39" s="61"/>
      <c r="H39" s="62"/>
      <c r="I39" s="62"/>
      <c r="J39" s="63"/>
      <c r="K39" s="64"/>
      <c r="L39" s="5" t="s">
        <v>53</v>
      </c>
    </row>
    <row r="40" spans="1:12" ht="14.85" customHeight="1" x14ac:dyDescent="0.2">
      <c r="A40" s="149" t="s">
        <v>159</v>
      </c>
      <c r="B40" s="149"/>
      <c r="C40" s="149"/>
      <c r="D40" s="149"/>
      <c r="E40" s="149"/>
      <c r="F40" s="149"/>
      <c r="G40" s="150" t="s">
        <v>161</v>
      </c>
      <c r="H40" s="150" t="s">
        <v>162</v>
      </c>
      <c r="I40" s="150"/>
      <c r="J40" s="150" t="s">
        <v>256</v>
      </c>
      <c r="K40" s="151" t="s">
        <v>163</v>
      </c>
      <c r="L40" s="5" t="s">
        <v>49</v>
      </c>
    </row>
    <row r="41" spans="1:12" ht="14.85" customHeight="1" x14ac:dyDescent="0.2">
      <c r="A41" s="8" t="s">
        <v>164</v>
      </c>
      <c r="B41" s="150" t="s">
        <v>165</v>
      </c>
      <c r="C41" s="150"/>
      <c r="D41" s="150"/>
      <c r="E41" s="150"/>
      <c r="F41" s="9" t="s">
        <v>166</v>
      </c>
      <c r="G41" s="150"/>
      <c r="H41" s="150"/>
      <c r="I41" s="150"/>
      <c r="J41" s="150"/>
      <c r="K41" s="151"/>
      <c r="L41" s="5" t="s">
        <v>102</v>
      </c>
    </row>
    <row r="42" spans="1:12" ht="13.5" customHeight="1" x14ac:dyDescent="0.25">
      <c r="A42" s="12"/>
      <c r="B42" s="120" t="s">
        <v>257</v>
      </c>
      <c r="C42" s="120"/>
      <c r="D42" s="120"/>
      <c r="E42" s="120"/>
      <c r="F42" s="2" t="s">
        <v>258</v>
      </c>
      <c r="G42" s="10" t="s">
        <v>259</v>
      </c>
      <c r="H42" s="156">
        <v>0.6</v>
      </c>
      <c r="I42" s="156"/>
      <c r="J42" s="13" t="e">
        <f>COUNTIF(Funções!#REF!,G42)</f>
        <v>#REF!</v>
      </c>
      <c r="K42" s="11" t="e">
        <f>SUMIF(Funções!#REF!,$G42,Funções!#REF!)</f>
        <v>#REF!</v>
      </c>
      <c r="L42" s="5" t="str">
        <f t="shared" ref="L42:L64" si="0">""&amp;G42</f>
        <v>PAG</v>
      </c>
    </row>
    <row r="43" spans="1:12" ht="13.5" customHeight="1" x14ac:dyDescent="0.25">
      <c r="A43" s="12"/>
      <c r="B43" s="120" t="s">
        <v>260</v>
      </c>
      <c r="C43" s="120"/>
      <c r="D43" s="120"/>
      <c r="E43" s="120"/>
      <c r="F43" s="2" t="s">
        <v>216</v>
      </c>
      <c r="G43" s="10" t="s">
        <v>261</v>
      </c>
      <c r="H43" s="156">
        <v>0.6</v>
      </c>
      <c r="I43" s="156"/>
      <c r="J43" s="13" t="e">
        <f>COUNTIF(Funções!#REF!,G43)</f>
        <v>#REF!</v>
      </c>
      <c r="K43" s="11" t="e">
        <f>SUMIF(Funções!#REF!,$G43,Funções!#REF!)</f>
        <v>#REF!</v>
      </c>
      <c r="L43" s="5" t="str">
        <f t="shared" si="0"/>
        <v>COSNF</v>
      </c>
    </row>
    <row r="44" spans="1:12" ht="13.5" customHeight="1" x14ac:dyDescent="0.25">
      <c r="A44" s="12"/>
      <c r="B44" s="120" t="s">
        <v>262</v>
      </c>
      <c r="C44" s="120"/>
      <c r="D44" s="120"/>
      <c r="E44" s="120"/>
      <c r="F44" s="2"/>
      <c r="G44" s="10" t="s">
        <v>263</v>
      </c>
      <c r="H44" s="156">
        <v>0</v>
      </c>
      <c r="I44" s="156"/>
      <c r="J44" s="13" t="e">
        <f>COUNTIF(Funções!#REF!,G44)</f>
        <v>#REF!</v>
      </c>
      <c r="K44" s="11" t="e">
        <f>SUMIF(Funções!#REF!,$G44,Funções!#REF!)</f>
        <v>#REF!</v>
      </c>
      <c r="L44" s="5" t="str">
        <f t="shared" si="0"/>
        <v>DC</v>
      </c>
    </row>
    <row r="45" spans="1:12" ht="13.5" customHeight="1" x14ac:dyDescent="0.25">
      <c r="A45" s="12"/>
      <c r="B45" s="120"/>
      <c r="C45" s="120"/>
      <c r="D45" s="120"/>
      <c r="E45" s="120"/>
      <c r="F45" s="2"/>
      <c r="G45" s="10" t="s">
        <v>255</v>
      </c>
      <c r="H45" s="156"/>
      <c r="I45" s="156"/>
      <c r="J45" s="13" t="e">
        <f>COUNTIF(Funções!#REF!,G45)</f>
        <v>#REF!</v>
      </c>
      <c r="K45" s="11" t="e">
        <f>SUMIF(Funções!#REF!,$G45,Funções!#REF!)</f>
        <v>#REF!</v>
      </c>
      <c r="L45" s="5" t="str">
        <f t="shared" si="0"/>
        <v xml:space="preserve">           .</v>
      </c>
    </row>
    <row r="46" spans="1:12" ht="13.5" customHeight="1" x14ac:dyDescent="0.25">
      <c r="A46" s="12"/>
      <c r="B46" s="120"/>
      <c r="C46" s="120"/>
      <c r="D46" s="120"/>
      <c r="E46" s="120"/>
      <c r="F46" s="2"/>
      <c r="G46" s="10" t="s">
        <v>255</v>
      </c>
      <c r="H46" s="156"/>
      <c r="I46" s="156"/>
      <c r="J46" s="13" t="e">
        <f>COUNTIF(Funções!#REF!,G46)</f>
        <v>#REF!</v>
      </c>
      <c r="K46" s="11" t="e">
        <f>SUMIF(Funções!#REF!,$G46,Funções!#REF!)</f>
        <v>#REF!</v>
      </c>
      <c r="L46" s="5" t="str">
        <f t="shared" si="0"/>
        <v xml:space="preserve">           .</v>
      </c>
    </row>
    <row r="47" spans="1:12" ht="13.5" x14ac:dyDescent="0.25">
      <c r="A47" s="12"/>
      <c r="B47" s="120"/>
      <c r="C47" s="120"/>
      <c r="D47" s="120"/>
      <c r="E47" s="120"/>
      <c r="F47" s="2"/>
      <c r="G47" s="10" t="s">
        <v>255</v>
      </c>
      <c r="H47" s="156"/>
      <c r="I47" s="156"/>
      <c r="J47" s="13" t="e">
        <f>COUNTIF(Funções!#REF!,G47)</f>
        <v>#REF!</v>
      </c>
      <c r="K47" s="11" t="e">
        <f>SUMIF(Funções!#REF!,$G47,Funções!#REF!)</f>
        <v>#REF!</v>
      </c>
      <c r="L47" s="5" t="str">
        <f t="shared" si="0"/>
        <v xml:space="preserve">           .</v>
      </c>
    </row>
    <row r="48" spans="1:12" ht="13.5" x14ac:dyDescent="0.25">
      <c r="A48" s="12"/>
      <c r="B48" s="120"/>
      <c r="C48" s="120"/>
      <c r="D48" s="120"/>
      <c r="E48" s="120"/>
      <c r="F48" s="2"/>
      <c r="G48" s="10" t="s">
        <v>255</v>
      </c>
      <c r="H48" s="156"/>
      <c r="I48" s="156"/>
      <c r="J48" s="13" t="e">
        <f>COUNTIF(Funções!#REF!,G48)</f>
        <v>#REF!</v>
      </c>
      <c r="K48" s="11" t="e">
        <f>SUMIF(Funções!#REF!,$G48,Funções!#REF!)</f>
        <v>#REF!</v>
      </c>
      <c r="L48" s="5" t="str">
        <f t="shared" si="0"/>
        <v xml:space="preserve">           .</v>
      </c>
    </row>
    <row r="49" spans="1:12" ht="13.5" x14ac:dyDescent="0.25">
      <c r="A49" s="12"/>
      <c r="B49" s="120"/>
      <c r="C49" s="120"/>
      <c r="D49" s="120"/>
      <c r="E49" s="120"/>
      <c r="F49" s="2"/>
      <c r="G49" s="10" t="s">
        <v>255</v>
      </c>
      <c r="H49" s="156"/>
      <c r="I49" s="156"/>
      <c r="J49" s="13" t="e">
        <f>COUNTIF(Funções!#REF!,G49)</f>
        <v>#REF!</v>
      </c>
      <c r="K49" s="11" t="e">
        <f>SUMIF(Funções!#REF!,$G49,Funções!#REF!)</f>
        <v>#REF!</v>
      </c>
      <c r="L49" s="5" t="str">
        <f t="shared" si="0"/>
        <v xml:space="preserve">           .</v>
      </c>
    </row>
    <row r="50" spans="1:12" ht="13.5" x14ac:dyDescent="0.25">
      <c r="A50" s="12"/>
      <c r="B50" s="120"/>
      <c r="C50" s="120"/>
      <c r="D50" s="120"/>
      <c r="E50" s="120"/>
      <c r="F50" s="2"/>
      <c r="G50" s="10" t="s">
        <v>255</v>
      </c>
      <c r="H50" s="156"/>
      <c r="I50" s="156"/>
      <c r="J50" s="13" t="e">
        <f>COUNTIF(Funções!#REF!,G50)</f>
        <v>#REF!</v>
      </c>
      <c r="K50" s="11" t="e">
        <f>SUMIF(Funções!#REF!,$G50,Funções!#REF!)</f>
        <v>#REF!</v>
      </c>
      <c r="L50" s="5" t="str">
        <f t="shared" si="0"/>
        <v xml:space="preserve">           .</v>
      </c>
    </row>
    <row r="51" spans="1:12" ht="13.5" x14ac:dyDescent="0.25">
      <c r="A51" s="12"/>
      <c r="B51" s="120"/>
      <c r="C51" s="120"/>
      <c r="D51" s="120"/>
      <c r="E51" s="120"/>
      <c r="F51" s="2"/>
      <c r="G51" s="10" t="s">
        <v>255</v>
      </c>
      <c r="H51" s="156"/>
      <c r="I51" s="156"/>
      <c r="J51" s="13" t="e">
        <f>COUNTIF(Funções!#REF!,G51)</f>
        <v>#REF!</v>
      </c>
      <c r="K51" s="11" t="e">
        <f>SUMIF(Funções!#REF!,$G51,Funções!#REF!)</f>
        <v>#REF!</v>
      </c>
      <c r="L51" s="5" t="str">
        <f t="shared" si="0"/>
        <v xml:space="preserve">           .</v>
      </c>
    </row>
    <row r="52" spans="1:12" ht="13.5" x14ac:dyDescent="0.25">
      <c r="A52" s="12"/>
      <c r="B52" s="120"/>
      <c r="C52" s="120"/>
      <c r="D52" s="120"/>
      <c r="E52" s="120"/>
      <c r="F52" s="2"/>
      <c r="G52" s="10" t="s">
        <v>255</v>
      </c>
      <c r="H52" s="156"/>
      <c r="I52" s="156"/>
      <c r="J52" s="13" t="e">
        <f>COUNTIF(Funções!#REF!,G52)</f>
        <v>#REF!</v>
      </c>
      <c r="K52" s="11" t="e">
        <f>SUMIF(Funções!#REF!,$G52,Funções!#REF!)</f>
        <v>#REF!</v>
      </c>
      <c r="L52" s="5" t="str">
        <f t="shared" si="0"/>
        <v xml:space="preserve">           .</v>
      </c>
    </row>
    <row r="53" spans="1:12" ht="13.5" x14ac:dyDescent="0.25">
      <c r="A53" s="12"/>
      <c r="B53" s="120"/>
      <c r="C53" s="120"/>
      <c r="D53" s="120"/>
      <c r="E53" s="120"/>
      <c r="F53" s="2"/>
      <c r="G53" s="10" t="s">
        <v>255</v>
      </c>
      <c r="H53" s="156"/>
      <c r="I53" s="156"/>
      <c r="J53" s="13" t="e">
        <f>COUNTIF(Funções!#REF!,G53)</f>
        <v>#REF!</v>
      </c>
      <c r="K53" s="11" t="e">
        <f>SUMIF(Funções!#REF!,$G53,Funções!#REF!)</f>
        <v>#REF!</v>
      </c>
      <c r="L53" s="5" t="str">
        <f t="shared" si="0"/>
        <v xml:space="preserve">           .</v>
      </c>
    </row>
    <row r="54" spans="1:12" ht="13.5" x14ac:dyDescent="0.25">
      <c r="A54" s="12"/>
      <c r="B54" s="120"/>
      <c r="C54" s="120"/>
      <c r="D54" s="120"/>
      <c r="E54" s="120"/>
      <c r="F54" s="2"/>
      <c r="G54" s="10" t="s">
        <v>255</v>
      </c>
      <c r="H54" s="156"/>
      <c r="I54" s="156"/>
      <c r="J54" s="13" t="e">
        <f>COUNTIF(Funções!#REF!,G54)</f>
        <v>#REF!</v>
      </c>
      <c r="K54" s="11" t="e">
        <f>SUMIF(Funções!#REF!,$G54,Funções!#REF!)</f>
        <v>#REF!</v>
      </c>
      <c r="L54" s="5" t="str">
        <f t="shared" si="0"/>
        <v xml:space="preserve">           .</v>
      </c>
    </row>
    <row r="55" spans="1:12" ht="13.5" x14ac:dyDescent="0.25">
      <c r="A55" s="12"/>
      <c r="B55" s="120"/>
      <c r="C55" s="120"/>
      <c r="D55" s="120"/>
      <c r="E55" s="120"/>
      <c r="F55" s="2"/>
      <c r="G55" s="10" t="s">
        <v>255</v>
      </c>
      <c r="H55" s="156"/>
      <c r="I55" s="156"/>
      <c r="J55" s="13" t="e">
        <f>COUNTIF(Funções!#REF!,G55)</f>
        <v>#REF!</v>
      </c>
      <c r="K55" s="11" t="e">
        <f>SUMIF(Funções!#REF!,$G55,Funções!#REF!)</f>
        <v>#REF!</v>
      </c>
      <c r="L55" s="5" t="str">
        <f t="shared" si="0"/>
        <v xml:space="preserve">           .</v>
      </c>
    </row>
    <row r="56" spans="1:12" ht="13.5" x14ac:dyDescent="0.25">
      <c r="A56" s="12"/>
      <c r="B56" s="120"/>
      <c r="C56" s="120"/>
      <c r="D56" s="120"/>
      <c r="E56" s="120"/>
      <c r="F56" s="2"/>
      <c r="G56" s="10" t="s">
        <v>255</v>
      </c>
      <c r="H56" s="156"/>
      <c r="I56" s="156"/>
      <c r="J56" s="13" t="e">
        <f>COUNTIF(Funções!#REF!,G56)</f>
        <v>#REF!</v>
      </c>
      <c r="K56" s="11" t="e">
        <f>SUMIF(Funções!#REF!,$G56,Funções!#REF!)</f>
        <v>#REF!</v>
      </c>
      <c r="L56" s="5" t="str">
        <f t="shared" si="0"/>
        <v xml:space="preserve">           .</v>
      </c>
    </row>
    <row r="57" spans="1:12" ht="13.5" x14ac:dyDescent="0.25">
      <c r="A57" s="12"/>
      <c r="B57" s="120"/>
      <c r="C57" s="120"/>
      <c r="D57" s="120"/>
      <c r="E57" s="120"/>
      <c r="F57" s="2"/>
      <c r="G57" s="10" t="s">
        <v>255</v>
      </c>
      <c r="H57" s="156"/>
      <c r="I57" s="156"/>
      <c r="J57" s="13" t="e">
        <f>COUNTIF(Funções!#REF!,G57)</f>
        <v>#REF!</v>
      </c>
      <c r="K57" s="11" t="e">
        <f>SUMIF(Funções!#REF!,$G57,Funções!#REF!)</f>
        <v>#REF!</v>
      </c>
      <c r="L57" s="5" t="str">
        <f t="shared" si="0"/>
        <v xml:space="preserve">           .</v>
      </c>
    </row>
    <row r="58" spans="1:12" ht="13.5" x14ac:dyDescent="0.25">
      <c r="A58" s="12"/>
      <c r="B58" s="120"/>
      <c r="C58" s="120"/>
      <c r="D58" s="120"/>
      <c r="E58" s="120"/>
      <c r="F58" s="2"/>
      <c r="G58" s="10" t="s">
        <v>255</v>
      </c>
      <c r="H58" s="156"/>
      <c r="I58" s="156"/>
      <c r="J58" s="13" t="e">
        <f>COUNTIF(Funções!#REF!,G58)</f>
        <v>#REF!</v>
      </c>
      <c r="K58" s="11" t="e">
        <f>SUMIF(Funções!#REF!,$G58,Funções!#REF!)</f>
        <v>#REF!</v>
      </c>
      <c r="L58" s="5" t="str">
        <f t="shared" si="0"/>
        <v xml:space="preserve">           .</v>
      </c>
    </row>
    <row r="59" spans="1:12" ht="13.5" x14ac:dyDescent="0.25">
      <c r="A59" s="12"/>
      <c r="B59" s="120"/>
      <c r="C59" s="120"/>
      <c r="D59" s="120"/>
      <c r="E59" s="120"/>
      <c r="F59" s="2"/>
      <c r="G59" s="10" t="s">
        <v>255</v>
      </c>
      <c r="H59" s="156"/>
      <c r="I59" s="156"/>
      <c r="J59" s="13" t="e">
        <f>COUNTIF(Funções!#REF!,G59)</f>
        <v>#REF!</v>
      </c>
      <c r="K59" s="11" t="e">
        <f>SUMIF(Funções!#REF!,$G59,Funções!#REF!)</f>
        <v>#REF!</v>
      </c>
      <c r="L59" s="5" t="str">
        <f t="shared" si="0"/>
        <v xml:space="preserve">           .</v>
      </c>
    </row>
    <row r="60" spans="1:12" ht="13.5" x14ac:dyDescent="0.25">
      <c r="A60" s="12"/>
      <c r="B60" s="120"/>
      <c r="C60" s="120"/>
      <c r="D60" s="120"/>
      <c r="E60" s="120"/>
      <c r="F60" s="2"/>
      <c r="G60" s="10" t="s">
        <v>255</v>
      </c>
      <c r="H60" s="156"/>
      <c r="I60" s="156"/>
      <c r="J60" s="13" t="e">
        <f>COUNTIF(Funções!#REF!,G60)</f>
        <v>#REF!</v>
      </c>
      <c r="K60" s="11" t="e">
        <f>SUMIF(Funções!#REF!,$G60,Funções!#REF!)</f>
        <v>#REF!</v>
      </c>
      <c r="L60" s="5" t="str">
        <f t="shared" si="0"/>
        <v xml:space="preserve">           .</v>
      </c>
    </row>
    <row r="61" spans="1:12" ht="13.5" x14ac:dyDescent="0.25">
      <c r="A61" s="12"/>
      <c r="B61" s="120"/>
      <c r="C61" s="120"/>
      <c r="D61" s="120"/>
      <c r="E61" s="120"/>
      <c r="F61" s="2"/>
      <c r="G61" s="10" t="s">
        <v>255</v>
      </c>
      <c r="H61" s="156"/>
      <c r="I61" s="156"/>
      <c r="J61" s="13" t="e">
        <f>COUNTIF(Funções!#REF!,G61)</f>
        <v>#REF!</v>
      </c>
      <c r="K61" s="11" t="e">
        <f>SUMIF(Funções!#REF!,$G61,Funções!#REF!)</f>
        <v>#REF!</v>
      </c>
      <c r="L61" s="5" t="str">
        <f t="shared" si="0"/>
        <v xml:space="preserve">           .</v>
      </c>
    </row>
    <row r="62" spans="1:12" ht="13.5" x14ac:dyDescent="0.25">
      <c r="A62" s="12"/>
      <c r="B62" s="120"/>
      <c r="C62" s="120"/>
      <c r="D62" s="120"/>
      <c r="E62" s="120"/>
      <c r="F62" s="2"/>
      <c r="G62" s="10" t="s">
        <v>255</v>
      </c>
      <c r="H62" s="156"/>
      <c r="I62" s="156"/>
      <c r="J62" s="13" t="e">
        <f>COUNTIF(Funções!#REF!,G62)</f>
        <v>#REF!</v>
      </c>
      <c r="K62" s="11" t="e">
        <f>SUMIF(Funções!#REF!,$G62,Funções!#REF!)</f>
        <v>#REF!</v>
      </c>
      <c r="L62" s="5" t="str">
        <f t="shared" si="0"/>
        <v xml:space="preserve">           .</v>
      </c>
    </row>
    <row r="63" spans="1:12" ht="13.5" x14ac:dyDescent="0.25">
      <c r="A63" s="12"/>
      <c r="B63" s="120"/>
      <c r="C63" s="120"/>
      <c r="D63" s="120"/>
      <c r="E63" s="120"/>
      <c r="F63" s="2"/>
      <c r="G63" s="10" t="s">
        <v>255</v>
      </c>
      <c r="H63" s="156"/>
      <c r="I63" s="156"/>
      <c r="J63" s="13" t="e">
        <f>COUNTIF(Funções!#REF!,G63)</f>
        <v>#REF!</v>
      </c>
      <c r="K63" s="11" t="e">
        <f>SUMIF(Funções!#REF!,$G63,Funções!#REF!)</f>
        <v>#REF!</v>
      </c>
      <c r="L63" s="5" t="str">
        <f t="shared" si="0"/>
        <v xml:space="preserve">           .</v>
      </c>
    </row>
    <row r="64" spans="1:12" ht="13.5" x14ac:dyDescent="0.25">
      <c r="A64" s="14"/>
      <c r="B64" s="157"/>
      <c r="C64" s="157"/>
      <c r="D64" s="157"/>
      <c r="E64" s="157"/>
      <c r="F64" s="15"/>
      <c r="G64" s="16" t="s">
        <v>255</v>
      </c>
      <c r="H64" s="158"/>
      <c r="I64" s="158"/>
      <c r="J64" s="17" t="e">
        <f>COUNTIF(Funções!#REF!,G64)</f>
        <v>#REF!</v>
      </c>
      <c r="K64" s="18" t="e">
        <f>SUMIF(Funções!#REF!,$G64,Funções!#REF!)</f>
        <v>#REF!</v>
      </c>
      <c r="L64" s="5" t="str">
        <f t="shared" si="0"/>
        <v xml:space="preserve">           .</v>
      </c>
    </row>
  </sheetData>
  <sheetProtection selectLockedCells="1" selectUnlockedCells="1"/>
  <mergeCells count="90">
    <mergeCell ref="B63:E63"/>
    <mergeCell ref="H63:I63"/>
    <mergeCell ref="B64:E64"/>
    <mergeCell ref="H64:I64"/>
    <mergeCell ref="B60:E60"/>
    <mergeCell ref="H60:I60"/>
    <mergeCell ref="B61:E61"/>
    <mergeCell ref="H61:I61"/>
    <mergeCell ref="B62:E62"/>
    <mergeCell ref="H62:I62"/>
    <mergeCell ref="B57:E57"/>
    <mergeCell ref="H57:I57"/>
    <mergeCell ref="B58:E58"/>
    <mergeCell ref="H58:I58"/>
    <mergeCell ref="B59:E59"/>
    <mergeCell ref="H59:I59"/>
    <mergeCell ref="B54:E54"/>
    <mergeCell ref="H54:I54"/>
    <mergeCell ref="B55:E55"/>
    <mergeCell ref="H55:I55"/>
    <mergeCell ref="B56:E56"/>
    <mergeCell ref="H56:I56"/>
    <mergeCell ref="B51:E51"/>
    <mergeCell ref="H51:I51"/>
    <mergeCell ref="B52:E52"/>
    <mergeCell ref="H52:I52"/>
    <mergeCell ref="B53:E53"/>
    <mergeCell ref="H53:I53"/>
    <mergeCell ref="B48:E48"/>
    <mergeCell ref="H48:I48"/>
    <mergeCell ref="B49:E49"/>
    <mergeCell ref="H49:I49"/>
    <mergeCell ref="B50:E50"/>
    <mergeCell ref="H50:I50"/>
    <mergeCell ref="B45:E45"/>
    <mergeCell ref="H45:I45"/>
    <mergeCell ref="B46:E46"/>
    <mergeCell ref="H46:I46"/>
    <mergeCell ref="B47:E47"/>
    <mergeCell ref="H47:I47"/>
    <mergeCell ref="B43:E43"/>
    <mergeCell ref="H43:I43"/>
    <mergeCell ref="B44:E44"/>
    <mergeCell ref="H44:I44"/>
    <mergeCell ref="H40:I41"/>
    <mergeCell ref="J40:J41"/>
    <mergeCell ref="K40:K41"/>
    <mergeCell ref="B41:E41"/>
    <mergeCell ref="B42:E42"/>
    <mergeCell ref="H42:I42"/>
    <mergeCell ref="G40:G41"/>
    <mergeCell ref="B31:E31"/>
    <mergeCell ref="B36:E36"/>
    <mergeCell ref="B37:E37"/>
    <mergeCell ref="B38:E38"/>
    <mergeCell ref="A40:F40"/>
    <mergeCell ref="B30:E30"/>
    <mergeCell ref="B18:E18"/>
    <mergeCell ref="B19:E19"/>
    <mergeCell ref="B20:E20"/>
    <mergeCell ref="B21:E21"/>
    <mergeCell ref="B22:E22"/>
    <mergeCell ref="B24:E24"/>
    <mergeCell ref="B23:E23"/>
    <mergeCell ref="B25:E25"/>
    <mergeCell ref="B26:E26"/>
    <mergeCell ref="B27:E27"/>
    <mergeCell ref="B28:E28"/>
    <mergeCell ref="B29:E29"/>
    <mergeCell ref="B17:E17"/>
    <mergeCell ref="B6:E6"/>
    <mergeCell ref="B7:E7"/>
    <mergeCell ref="B8:E8"/>
    <mergeCell ref="B9:E9"/>
    <mergeCell ref="B10:E10"/>
    <mergeCell ref="B11:E11"/>
    <mergeCell ref="B12:E12"/>
    <mergeCell ref="B13:E13"/>
    <mergeCell ref="B15:E15"/>
    <mergeCell ref="B16:E16"/>
    <mergeCell ref="B14:E14"/>
    <mergeCell ref="B4:E4"/>
    <mergeCell ref="B5:E5"/>
    <mergeCell ref="A1:K1"/>
    <mergeCell ref="A2:F2"/>
    <mergeCell ref="G2:G3"/>
    <mergeCell ref="H2:I2"/>
    <mergeCell ref="J2:J3"/>
    <mergeCell ref="K2:K3"/>
    <mergeCell ref="B3:E3"/>
  </mergeCells>
  <pageMargins left="0.78749999999999998" right="0.78749999999999998" top="1.023611111111111" bottom="1.023611111111111" header="0.51180555555555551" footer="0.78749999999999998"/>
  <pageSetup paperSize="9" scale="48" firstPageNumber="0" orientation="portrait" horizontalDpi="300" verticalDpi="300" r:id="rId1"/>
  <headerFooter alignWithMargins="0">
    <oddFooter>&amp;CPágina &amp;P de &amp;N</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4"/>
  <dimension ref="A1:L52"/>
  <sheetViews>
    <sheetView showGridLines="0" view="pageBreakPreview" zoomScaleSheetLayoutView="100" workbookViewId="0">
      <pane ySplit="8" topLeftCell="A15" activePane="bottomLeft" state="frozen"/>
      <selection activeCell="B11" sqref="B11"/>
      <selection pane="bottomLeft" activeCell="A9" sqref="A9"/>
    </sheetView>
  </sheetViews>
  <sheetFormatPr defaultRowHeight="12.75" x14ac:dyDescent="0.2"/>
  <cols>
    <col min="1" max="1" width="2.7109375" customWidth="1"/>
    <col min="2" max="2" width="8.42578125" customWidth="1"/>
    <col min="3" max="3" width="11.5703125" customWidth="1"/>
    <col min="4" max="4" width="1.28515625" customWidth="1"/>
    <col min="5" max="5" width="7.5703125" customWidth="1"/>
    <col min="6" max="6" width="5.7109375" customWidth="1"/>
    <col min="7" max="7" width="13.42578125" customWidth="1"/>
    <col min="8" max="8" width="8.42578125" customWidth="1"/>
    <col min="9" max="9" width="5.7109375" customWidth="1"/>
    <col min="10" max="10" width="11.5703125" customWidth="1"/>
    <col min="11" max="11" width="8.42578125" customWidth="1"/>
    <col min="12" max="12" width="6.5703125" customWidth="1"/>
  </cols>
  <sheetData>
    <row r="1" spans="1:12" x14ac:dyDescent="0.2">
      <c r="A1" s="122" t="s">
        <v>264</v>
      </c>
      <c r="B1" s="122"/>
      <c r="C1" s="122"/>
      <c r="D1" s="122"/>
      <c r="E1" s="122"/>
      <c r="F1" s="122"/>
      <c r="G1" s="122"/>
      <c r="H1" s="122"/>
      <c r="I1" s="122"/>
      <c r="J1" s="122"/>
      <c r="K1" s="122"/>
      <c r="L1" s="122"/>
    </row>
    <row r="2" spans="1:12" x14ac:dyDescent="0.2">
      <c r="A2" s="122"/>
      <c r="B2" s="122"/>
      <c r="C2" s="122"/>
      <c r="D2" s="122"/>
      <c r="E2" s="122"/>
      <c r="F2" s="122"/>
      <c r="G2" s="122"/>
      <c r="H2" s="122"/>
      <c r="I2" s="122"/>
      <c r="J2" s="122"/>
      <c r="K2" s="122"/>
      <c r="L2" s="122"/>
    </row>
    <row r="3" spans="1:12" x14ac:dyDescent="0.2">
      <c r="A3" s="122"/>
      <c r="B3" s="122"/>
      <c r="C3" s="122"/>
      <c r="D3" s="122"/>
      <c r="E3" s="122"/>
      <c r="F3" s="122"/>
      <c r="G3" s="122"/>
      <c r="H3" s="122"/>
      <c r="I3" s="122"/>
      <c r="J3" s="122"/>
      <c r="K3" s="122"/>
      <c r="L3" s="122"/>
    </row>
    <row r="4" spans="1:12" x14ac:dyDescent="0.2">
      <c r="A4" s="161" t="str">
        <f>Contagem!A5&amp;" : "&amp;Contagem!F5</f>
        <v xml:space="preserve">Aplicação : </v>
      </c>
      <c r="B4" s="161"/>
      <c r="C4" s="161"/>
      <c r="D4" s="161"/>
      <c r="E4" s="161"/>
      <c r="F4" s="136" t="str">
        <f>Contagem!A8&amp;" : "&amp;Contagem!F8</f>
        <v>Projeto : SEI</v>
      </c>
      <c r="G4" s="136"/>
      <c r="H4" s="136"/>
      <c r="I4" s="136"/>
      <c r="J4" s="136"/>
      <c r="K4" s="136"/>
      <c r="L4" s="136"/>
    </row>
    <row r="5" spans="1:12" x14ac:dyDescent="0.2">
      <c r="A5" s="161" t="str">
        <f>Contagem!A9&amp;" : "&amp;Contagem!F9</f>
        <v>Responsável : Ana Karyna da Silva Teixeira</v>
      </c>
      <c r="B5" s="161"/>
      <c r="C5" s="161"/>
      <c r="D5" s="161"/>
      <c r="E5" s="161"/>
      <c r="F5" s="136" t="str">
        <f>Contagem!A10&amp;" : "&amp;Contagem!F10</f>
        <v>Revisor : Luana Alves de Araújo Passos Aguiar</v>
      </c>
      <c r="G5" s="136"/>
      <c r="H5" s="136"/>
      <c r="I5" s="136"/>
      <c r="J5" s="136"/>
      <c r="K5" s="136"/>
      <c r="L5" s="136"/>
    </row>
    <row r="6" spans="1:12" x14ac:dyDescent="0.2">
      <c r="A6" s="161" t="str">
        <f>Contagem!A4&amp;" : "&amp;Contagem!F4</f>
        <v>Empresa : Secretaria de Estado de Planejamento e Gestão de Mato Grosso</v>
      </c>
      <c r="B6" s="161"/>
      <c r="C6" s="161"/>
      <c r="D6" s="161"/>
      <c r="E6" s="161"/>
      <c r="F6" s="136" t="str">
        <f>"Tipo de Contagem : "&amp;Contagem!F6</f>
        <v>Tipo de Contagem : Projeto de Desenvolvimento</v>
      </c>
      <c r="G6" s="136"/>
      <c r="H6" s="136"/>
      <c r="I6" s="136"/>
      <c r="J6" s="136"/>
      <c r="K6" s="136"/>
      <c r="L6" s="136"/>
    </row>
    <row r="7" spans="1:12" ht="12.75" customHeight="1" x14ac:dyDescent="0.2">
      <c r="A7" s="163" t="s">
        <v>265</v>
      </c>
      <c r="B7" s="163"/>
      <c r="C7" s="164" t="s">
        <v>266</v>
      </c>
      <c r="D7" s="164"/>
      <c r="E7" s="164"/>
      <c r="F7" s="164"/>
      <c r="G7" s="159" t="s">
        <v>267</v>
      </c>
      <c r="H7" s="159" t="s">
        <v>268</v>
      </c>
      <c r="I7" s="51"/>
      <c r="J7" s="159" t="s">
        <v>269</v>
      </c>
      <c r="K7" s="159"/>
      <c r="L7" s="160" t="s">
        <v>268</v>
      </c>
    </row>
    <row r="8" spans="1:12" x14ac:dyDescent="0.2">
      <c r="A8" s="163"/>
      <c r="B8" s="163"/>
      <c r="C8" s="164"/>
      <c r="D8" s="164"/>
      <c r="E8" s="164"/>
      <c r="F8" s="164"/>
      <c r="G8" s="159"/>
      <c r="H8" s="159"/>
      <c r="I8" s="52"/>
      <c r="J8" s="159"/>
      <c r="K8" s="159"/>
      <c r="L8" s="160"/>
    </row>
    <row r="9" spans="1:12" ht="6" customHeight="1" x14ac:dyDescent="0.25">
      <c r="A9" s="31"/>
      <c r="B9" s="32"/>
      <c r="C9" s="32"/>
      <c r="D9" s="32"/>
      <c r="E9" s="32"/>
      <c r="F9" s="32"/>
      <c r="G9" s="32"/>
      <c r="H9" s="32"/>
      <c r="I9" s="32"/>
      <c r="J9" s="32"/>
      <c r="K9" s="32"/>
      <c r="L9" s="33"/>
    </row>
    <row r="10" spans="1:12" ht="13.5" x14ac:dyDescent="0.25">
      <c r="A10" s="34"/>
      <c r="B10" s="35" t="s">
        <v>53</v>
      </c>
      <c r="C10" s="36" t="e">
        <f>COUNTIF(Funções!#REF!,"EEL")</f>
        <v>#REF!</v>
      </c>
      <c r="D10" s="35"/>
      <c r="E10" s="37" t="s">
        <v>270</v>
      </c>
      <c r="F10" s="37" t="s">
        <v>271</v>
      </c>
      <c r="G10" s="36" t="e">
        <f>C10*3</f>
        <v>#REF!</v>
      </c>
      <c r="H10" s="35"/>
      <c r="I10" s="19"/>
      <c r="J10" s="38" t="str">
        <f>Deflatores!$G$4&amp;"="</f>
        <v>I=</v>
      </c>
      <c r="K10" s="39" t="e">
        <f>SUMIF(Funções!#REF!,"EE"&amp;Deflatores!G4,Funções!#REF!)</f>
        <v>#REF!</v>
      </c>
      <c r="L10" s="40"/>
    </row>
    <row r="11" spans="1:12" ht="13.5" x14ac:dyDescent="0.25">
      <c r="A11" s="41"/>
      <c r="B11" s="35"/>
      <c r="C11" s="36" t="e">
        <f>COUNTIF(Funções!#REF!,"EEA")</f>
        <v>#REF!</v>
      </c>
      <c r="D11" s="35"/>
      <c r="E11" s="37" t="s">
        <v>272</v>
      </c>
      <c r="F11" s="37" t="s">
        <v>273</v>
      </c>
      <c r="G11" s="36" t="e">
        <f>C11*4</f>
        <v>#REF!</v>
      </c>
      <c r="H11" s="35"/>
      <c r="I11" s="19"/>
      <c r="J11" s="38" t="str">
        <f>Deflatores!$G$5&amp;"="</f>
        <v>A=</v>
      </c>
      <c r="K11" s="39" t="e">
        <f>SUMIF(Funções!#REF!,"EE"&amp;Deflatores!G5,Funções!#REF!)</f>
        <v>#REF!</v>
      </c>
      <c r="L11" s="40"/>
    </row>
    <row r="12" spans="1:12" ht="13.5" x14ac:dyDescent="0.25">
      <c r="A12" s="41"/>
      <c r="B12" s="35"/>
      <c r="C12" s="36" t="e">
        <f>COUNTIF(Funções!#REF!,"EEH")</f>
        <v>#REF!</v>
      </c>
      <c r="D12" s="35"/>
      <c r="E12" s="37" t="s">
        <v>274</v>
      </c>
      <c r="F12" s="37" t="s">
        <v>275</v>
      </c>
      <c r="G12" s="36" t="e">
        <f>C12*6</f>
        <v>#REF!</v>
      </c>
      <c r="H12" s="35"/>
      <c r="I12" s="19"/>
      <c r="J12" s="38" t="str">
        <f>Deflatores!$G$6&amp;"="</f>
        <v>E=</v>
      </c>
      <c r="K12" s="39" t="e">
        <f>SUMIF(Funções!#REF!,"EE"&amp;Deflatores!G6,Funções!#REF!)</f>
        <v>#REF!</v>
      </c>
      <c r="L12" s="42"/>
    </row>
    <row r="13" spans="1:12" ht="13.5" x14ac:dyDescent="0.25">
      <c r="A13" s="41"/>
      <c r="B13" s="35"/>
      <c r="C13" s="35"/>
      <c r="D13" s="35"/>
      <c r="E13" s="35"/>
      <c r="F13" s="35"/>
      <c r="G13" s="35"/>
      <c r="H13" s="35"/>
      <c r="I13" s="35"/>
      <c r="J13" s="35"/>
      <c r="K13" s="43"/>
      <c r="L13" s="40"/>
    </row>
    <row r="14" spans="1:12" ht="13.5" x14ac:dyDescent="0.25">
      <c r="A14" s="41"/>
      <c r="B14" s="44" t="s">
        <v>276</v>
      </c>
      <c r="C14" s="36" t="e">
        <f>SUM(C10:C12)</f>
        <v>#REF!</v>
      </c>
      <c r="D14" s="35"/>
      <c r="E14" s="35"/>
      <c r="F14" s="44" t="s">
        <v>277</v>
      </c>
      <c r="G14" s="36" t="e">
        <f>SUM(G10:G12)</f>
        <v>#REF!</v>
      </c>
      <c r="H14" s="19" t="e">
        <f>IF($G$45&lt;&gt;0,G14/$G$45,"")</f>
        <v>#REF!</v>
      </c>
      <c r="J14" s="38"/>
      <c r="K14" s="39" t="e">
        <f>SUM(K10:K13)</f>
        <v>#REF!</v>
      </c>
      <c r="L14" s="20" t="e">
        <f>IF('Sumário 2'!L11&lt;&gt;0,K14/'Sumário 2'!L11,"")</f>
        <v>#REF!</v>
      </c>
    </row>
    <row r="15" spans="1:12" ht="6" customHeight="1" x14ac:dyDescent="0.25">
      <c r="A15" s="45"/>
      <c r="B15" s="38"/>
      <c r="C15" s="38"/>
      <c r="D15" s="38"/>
      <c r="E15" s="38"/>
      <c r="F15" s="38"/>
      <c r="G15" s="38"/>
      <c r="H15" s="38"/>
      <c r="I15" s="38"/>
      <c r="J15" s="38"/>
      <c r="K15" s="38"/>
      <c r="L15" s="46"/>
    </row>
    <row r="16" spans="1:12" ht="6" customHeight="1" x14ac:dyDescent="0.25">
      <c r="A16" s="41"/>
      <c r="B16" s="35"/>
      <c r="C16" s="35"/>
      <c r="D16" s="35"/>
      <c r="E16" s="35"/>
      <c r="F16" s="35"/>
      <c r="G16" s="35"/>
      <c r="H16" s="35"/>
      <c r="I16" s="35"/>
      <c r="J16" s="35"/>
      <c r="K16" s="35"/>
      <c r="L16" s="40"/>
    </row>
    <row r="17" spans="1:12" ht="13.5" x14ac:dyDescent="0.25">
      <c r="A17" s="41"/>
      <c r="B17" s="35" t="s">
        <v>102</v>
      </c>
      <c r="C17" s="38" t="e">
        <f>COUNTIF(Funções!#REF!,"SEL")</f>
        <v>#REF!</v>
      </c>
      <c r="D17" s="35"/>
      <c r="E17" s="37" t="s">
        <v>270</v>
      </c>
      <c r="F17" s="37" t="s">
        <v>273</v>
      </c>
      <c r="G17" s="38" t="e">
        <f>C17*4</f>
        <v>#REF!</v>
      </c>
      <c r="H17" s="35"/>
      <c r="I17" s="35"/>
      <c r="J17" s="38" t="str">
        <f>Deflatores!$G$4&amp;"="</f>
        <v>I=</v>
      </c>
      <c r="K17" s="47" t="e">
        <f>SUMIF(Funções!#REF!,"SE"&amp;Deflatores!$G$4,Funções!#REF!)</f>
        <v>#REF!</v>
      </c>
      <c r="L17" s="40"/>
    </row>
    <row r="18" spans="1:12" ht="13.5" x14ac:dyDescent="0.25">
      <c r="A18" s="41"/>
      <c r="B18" s="35"/>
      <c r="C18" s="38" t="e">
        <f>COUNTIF(Funções!#REF!,"SEA")</f>
        <v>#REF!</v>
      </c>
      <c r="D18" s="35"/>
      <c r="E18" s="37" t="s">
        <v>272</v>
      </c>
      <c r="F18" s="37" t="s">
        <v>278</v>
      </c>
      <c r="G18" s="38" t="e">
        <f>C18*5</f>
        <v>#REF!</v>
      </c>
      <c r="H18" s="35"/>
      <c r="I18" s="35"/>
      <c r="J18" s="38" t="str">
        <f>Deflatores!$G$5&amp;"="</f>
        <v>A=</v>
      </c>
      <c r="K18" s="47" t="e">
        <f>SUMIF(Funções!#REF!,"SE"&amp;Deflatores!$G$5,Funções!#REF!)</f>
        <v>#REF!</v>
      </c>
      <c r="L18" s="40"/>
    </row>
    <row r="19" spans="1:12" ht="13.5" x14ac:dyDescent="0.25">
      <c r="A19" s="41"/>
      <c r="B19" s="35"/>
      <c r="C19" s="38" t="e">
        <f>COUNTIF(Funções!#REF!,"SEH")</f>
        <v>#REF!</v>
      </c>
      <c r="D19" s="35"/>
      <c r="E19" s="37" t="s">
        <v>274</v>
      </c>
      <c r="F19" s="37" t="s">
        <v>279</v>
      </c>
      <c r="G19" s="38" t="e">
        <f>C19*7</f>
        <v>#REF!</v>
      </c>
      <c r="H19" s="35"/>
      <c r="I19" s="35"/>
      <c r="J19" s="38" t="str">
        <f>Deflatores!$G$6&amp;"="</f>
        <v>E=</v>
      </c>
      <c r="K19" s="47" t="e">
        <f>SUMIF(Funções!#REF!,"SE"&amp;Deflatores!$G$6,Funções!#REF!)</f>
        <v>#REF!</v>
      </c>
      <c r="L19" s="42"/>
    </row>
    <row r="20" spans="1:12" ht="13.5" x14ac:dyDescent="0.25">
      <c r="A20" s="41"/>
      <c r="B20" s="35"/>
      <c r="C20" s="35"/>
      <c r="D20" s="35"/>
      <c r="E20" s="35"/>
      <c r="F20" s="35"/>
      <c r="G20" s="35"/>
      <c r="H20" s="35"/>
      <c r="I20" s="35"/>
      <c r="J20" s="35"/>
      <c r="K20" s="43"/>
      <c r="L20" s="40"/>
    </row>
    <row r="21" spans="1:12" ht="13.5" x14ac:dyDescent="0.25">
      <c r="A21" s="41"/>
      <c r="B21" s="44" t="s">
        <v>276</v>
      </c>
      <c r="C21" s="36" t="e">
        <f>SUM(C17:C19)</f>
        <v>#REF!</v>
      </c>
      <c r="D21" s="35"/>
      <c r="E21" s="35"/>
      <c r="F21" s="44" t="s">
        <v>277</v>
      </c>
      <c r="G21" s="36" t="e">
        <f>SUM(G17:G19)</f>
        <v>#REF!</v>
      </c>
      <c r="H21" s="19" t="e">
        <f>IF($G$45&lt;&gt;0,G21/$G$45,"")</f>
        <v>#REF!</v>
      </c>
      <c r="J21" s="38"/>
      <c r="K21" s="39" t="e">
        <f>SUM(K17:K20)</f>
        <v>#REF!</v>
      </c>
      <c r="L21" s="20" t="e">
        <f>IF('Sumário 2'!L11&lt;&gt;0,K21/'Sumário 2'!L11,"")</f>
        <v>#REF!</v>
      </c>
    </row>
    <row r="22" spans="1:12" ht="6" customHeight="1" x14ac:dyDescent="0.25">
      <c r="A22" s="45"/>
      <c r="B22" s="38"/>
      <c r="C22" s="38"/>
      <c r="D22" s="38"/>
      <c r="E22" s="38"/>
      <c r="F22" s="38"/>
      <c r="G22" s="38"/>
      <c r="H22" s="38"/>
      <c r="I22" s="38"/>
      <c r="J22" s="38"/>
      <c r="K22" s="38"/>
      <c r="L22" s="46"/>
    </row>
    <row r="23" spans="1:12" ht="6" customHeight="1" x14ac:dyDescent="0.25">
      <c r="A23" s="31"/>
      <c r="B23" s="32"/>
      <c r="C23" s="35"/>
      <c r="D23" s="32"/>
      <c r="E23" s="32"/>
      <c r="F23" s="32"/>
      <c r="G23" s="35"/>
      <c r="H23" s="32"/>
      <c r="I23" s="32"/>
      <c r="J23" s="32"/>
      <c r="K23" s="32"/>
      <c r="L23" s="33"/>
    </row>
    <row r="24" spans="1:12" ht="13.5" x14ac:dyDescent="0.25">
      <c r="A24" s="41"/>
      <c r="B24" s="35" t="s">
        <v>49</v>
      </c>
      <c r="C24" s="36" t="e">
        <f>COUNTIF(Funções!#REF!,"CEL")</f>
        <v>#REF!</v>
      </c>
      <c r="D24" s="35"/>
      <c r="E24" s="37" t="s">
        <v>270</v>
      </c>
      <c r="F24" s="37" t="s">
        <v>271</v>
      </c>
      <c r="G24" s="36" t="e">
        <f>C24*3</f>
        <v>#REF!</v>
      </c>
      <c r="H24" s="35"/>
      <c r="I24" s="35"/>
      <c r="J24" s="38" t="str">
        <f>Deflatores!$G$4&amp;"="</f>
        <v>I=</v>
      </c>
      <c r="K24" s="39" t="e">
        <f>SUMIF(Funções!#REF!,"CE"&amp;Deflatores!$G$4,Funções!#REF!)</f>
        <v>#REF!</v>
      </c>
      <c r="L24" s="40"/>
    </row>
    <row r="25" spans="1:12" ht="13.5" x14ac:dyDescent="0.25">
      <c r="A25" s="41"/>
      <c r="B25" s="35"/>
      <c r="C25" s="36" t="e">
        <f>COUNTIF(Funções!#REF!,"CEA")</f>
        <v>#REF!</v>
      </c>
      <c r="D25" s="35"/>
      <c r="E25" s="37" t="s">
        <v>272</v>
      </c>
      <c r="F25" s="37" t="s">
        <v>273</v>
      </c>
      <c r="G25" s="36" t="e">
        <f>C25*4</f>
        <v>#REF!</v>
      </c>
      <c r="H25" s="35"/>
      <c r="I25" s="35"/>
      <c r="J25" s="38" t="str">
        <f>Deflatores!$G$5&amp;"="</f>
        <v>A=</v>
      </c>
      <c r="K25" s="39" t="e">
        <f>SUMIF(Funções!#REF!,"CE"&amp;Deflatores!$G$5,Funções!#REF!)</f>
        <v>#REF!</v>
      </c>
      <c r="L25" s="40"/>
    </row>
    <row r="26" spans="1:12" ht="13.5" x14ac:dyDescent="0.25">
      <c r="A26" s="41"/>
      <c r="B26" s="35"/>
      <c r="C26" s="36" t="e">
        <f>COUNTIF(Funções!#REF!,"CEH")</f>
        <v>#REF!</v>
      </c>
      <c r="D26" s="35"/>
      <c r="E26" s="37" t="s">
        <v>274</v>
      </c>
      <c r="F26" s="37" t="s">
        <v>275</v>
      </c>
      <c r="G26" s="36" t="e">
        <f>C26*6</f>
        <v>#REF!</v>
      </c>
      <c r="H26" s="35"/>
      <c r="I26" s="35"/>
      <c r="J26" s="38" t="str">
        <f>Deflatores!$G$6&amp;"="</f>
        <v>E=</v>
      </c>
      <c r="K26" s="39" t="e">
        <f>SUMIF(Funções!#REF!,"CE"&amp;Deflatores!$G$6,Funções!#REF!)</f>
        <v>#REF!</v>
      </c>
      <c r="L26" s="42"/>
    </row>
    <row r="27" spans="1:12" ht="13.5" x14ac:dyDescent="0.25">
      <c r="A27" s="41"/>
      <c r="B27" s="35"/>
      <c r="C27" s="35"/>
      <c r="D27" s="35"/>
      <c r="E27" s="35"/>
      <c r="F27" s="35"/>
      <c r="G27" s="35"/>
      <c r="H27" s="35"/>
      <c r="I27" s="35"/>
      <c r="J27" s="35"/>
      <c r="K27" s="43"/>
      <c r="L27" s="40"/>
    </row>
    <row r="28" spans="1:12" ht="13.5" x14ac:dyDescent="0.25">
      <c r="A28" s="41"/>
      <c r="B28" s="44" t="s">
        <v>276</v>
      </c>
      <c r="C28" s="36" t="e">
        <f>SUM(C24:C26)</f>
        <v>#REF!</v>
      </c>
      <c r="D28" s="35"/>
      <c r="E28" s="35"/>
      <c r="F28" s="44" t="s">
        <v>277</v>
      </c>
      <c r="G28" s="36" t="e">
        <f>SUM(G24:G26)</f>
        <v>#REF!</v>
      </c>
      <c r="H28" s="19" t="e">
        <f>IF($G$45&lt;&gt;0,G28/$G$45,"")</f>
        <v>#REF!</v>
      </c>
      <c r="J28" s="38"/>
      <c r="K28" s="39" t="e">
        <f>SUM(K24:K27)</f>
        <v>#REF!</v>
      </c>
      <c r="L28" s="20" t="e">
        <f>IF('Sumário 2'!L11&lt;&gt;0,K28/'Sumário 2'!L11,"")</f>
        <v>#REF!</v>
      </c>
    </row>
    <row r="29" spans="1:12" ht="6" customHeight="1" x14ac:dyDescent="0.25">
      <c r="A29" s="45"/>
      <c r="B29" s="38"/>
      <c r="C29" s="38"/>
      <c r="D29" s="38"/>
      <c r="E29" s="38"/>
      <c r="F29" s="38"/>
      <c r="G29" s="38"/>
      <c r="H29" s="38"/>
      <c r="I29" s="38"/>
      <c r="J29" s="38"/>
      <c r="K29" s="38"/>
      <c r="L29" s="46"/>
    </row>
    <row r="30" spans="1:12" ht="6" customHeight="1" x14ac:dyDescent="0.25">
      <c r="A30" s="31"/>
      <c r="B30" s="32"/>
      <c r="C30" s="35"/>
      <c r="D30" s="32"/>
      <c r="E30" s="32"/>
      <c r="F30" s="32"/>
      <c r="G30" s="35"/>
      <c r="H30" s="32"/>
      <c r="I30" s="32"/>
      <c r="J30" s="32"/>
      <c r="K30" s="32"/>
      <c r="L30" s="33"/>
    </row>
    <row r="31" spans="1:12" ht="13.5" x14ac:dyDescent="0.25">
      <c r="A31" s="41"/>
      <c r="B31" s="35" t="s">
        <v>43</v>
      </c>
      <c r="C31" s="36" t="e">
        <f>COUNTIF(Funções!#REF!,"ALIL")</f>
        <v>#REF!</v>
      </c>
      <c r="D31" s="35"/>
      <c r="E31" s="35" t="s">
        <v>270</v>
      </c>
      <c r="F31" s="35" t="s">
        <v>279</v>
      </c>
      <c r="G31" s="36" t="e">
        <f>C31*7</f>
        <v>#REF!</v>
      </c>
      <c r="H31" s="35"/>
      <c r="I31" s="35"/>
      <c r="J31" s="38" t="str">
        <f>Deflatores!$G$4&amp;"="</f>
        <v>I=</v>
      </c>
      <c r="K31" s="39" t="e">
        <f>SUMIF(Funções!#REF!,"ALI"&amp;Deflatores!$G$4,Funções!#REF!)</f>
        <v>#REF!</v>
      </c>
      <c r="L31" s="40"/>
    </row>
    <row r="32" spans="1:12" ht="13.5" x14ac:dyDescent="0.25">
      <c r="A32" s="41"/>
      <c r="B32" s="35"/>
      <c r="C32" s="36" t="e">
        <f>COUNTIF(Funções!#REF!,"ALIA")</f>
        <v>#REF!</v>
      </c>
      <c r="D32" s="35"/>
      <c r="E32" s="35" t="s">
        <v>272</v>
      </c>
      <c r="F32" s="35" t="s">
        <v>280</v>
      </c>
      <c r="G32" s="36" t="e">
        <f>C32*10</f>
        <v>#REF!</v>
      </c>
      <c r="H32" s="35"/>
      <c r="I32" s="35"/>
      <c r="J32" s="38" t="str">
        <f>Deflatores!$G$5&amp;"="</f>
        <v>A=</v>
      </c>
      <c r="K32" s="39" t="e">
        <f>SUMIF(Funções!#REF!,"ALI"&amp;Deflatores!$G$5,Funções!#REF!)</f>
        <v>#REF!</v>
      </c>
      <c r="L32" s="40"/>
    </row>
    <row r="33" spans="1:12" ht="13.5" x14ac:dyDescent="0.25">
      <c r="A33" s="41"/>
      <c r="B33" s="35"/>
      <c r="C33" s="36" t="e">
        <f>COUNTIF(Funções!#REF!,"ALIH")</f>
        <v>#REF!</v>
      </c>
      <c r="D33" s="35"/>
      <c r="E33" s="35" t="s">
        <v>274</v>
      </c>
      <c r="F33" s="35" t="s">
        <v>281</v>
      </c>
      <c r="G33" s="36" t="e">
        <f>C33*15</f>
        <v>#REF!</v>
      </c>
      <c r="H33" s="35"/>
      <c r="I33" s="35"/>
      <c r="J33" s="38" t="str">
        <f>Deflatores!$G$6&amp;"="</f>
        <v>E=</v>
      </c>
      <c r="K33" s="39" t="e">
        <f>SUMIF(Funções!#REF!,"ALI"&amp;Deflatores!$G$6,Funções!#REF!)</f>
        <v>#REF!</v>
      </c>
      <c r="L33" s="42"/>
    </row>
    <row r="34" spans="1:12" ht="13.5" x14ac:dyDescent="0.25">
      <c r="A34" s="41"/>
      <c r="B34" s="35"/>
      <c r="C34" s="35"/>
      <c r="D34" s="35"/>
      <c r="E34" s="35"/>
      <c r="F34" s="35"/>
      <c r="G34" s="35"/>
      <c r="H34" s="35"/>
      <c r="I34" s="35"/>
      <c r="J34" s="35"/>
      <c r="K34" s="43"/>
      <c r="L34" s="40"/>
    </row>
    <row r="35" spans="1:12" ht="13.5" x14ac:dyDescent="0.25">
      <c r="A35" s="41"/>
      <c r="B35" s="44" t="s">
        <v>276</v>
      </c>
      <c r="C35" s="36" t="e">
        <f>SUM(C31:C33)</f>
        <v>#REF!</v>
      </c>
      <c r="D35" s="35"/>
      <c r="E35" s="35"/>
      <c r="F35" s="44" t="s">
        <v>277</v>
      </c>
      <c r="G35" s="36" t="e">
        <f>SUM(G31:G33)</f>
        <v>#REF!</v>
      </c>
      <c r="H35" s="19" t="e">
        <f>IF($G$45&lt;&gt;0,G35/$G$45,"")</f>
        <v>#REF!</v>
      </c>
      <c r="J35" s="38"/>
      <c r="K35" s="39" t="e">
        <f>SUM(K31:K34)</f>
        <v>#REF!</v>
      </c>
      <c r="L35" s="20" t="e">
        <f>IF('Sumário 2'!L11&lt;&gt;0,K35/'Sumário 2'!L11,"")</f>
        <v>#REF!</v>
      </c>
    </row>
    <row r="36" spans="1:12" ht="6" customHeight="1" x14ac:dyDescent="0.25">
      <c r="A36" s="45"/>
      <c r="B36" s="38"/>
      <c r="C36" s="38"/>
      <c r="D36" s="38"/>
      <c r="E36" s="38"/>
      <c r="F36" s="38"/>
      <c r="G36" s="38"/>
      <c r="H36" s="38"/>
      <c r="I36" s="38"/>
      <c r="J36" s="38"/>
      <c r="K36" s="38"/>
      <c r="L36" s="46"/>
    </row>
    <row r="37" spans="1:12" ht="6" customHeight="1" x14ac:dyDescent="0.25">
      <c r="A37" s="31"/>
      <c r="B37" s="32"/>
      <c r="C37" s="35"/>
      <c r="D37" s="32"/>
      <c r="E37" s="32"/>
      <c r="F37" s="32"/>
      <c r="G37" s="35"/>
      <c r="H37" s="32"/>
      <c r="I37" s="32"/>
      <c r="J37" s="32"/>
      <c r="K37" s="32"/>
      <c r="L37" s="33"/>
    </row>
    <row r="38" spans="1:12" ht="13.5" x14ac:dyDescent="0.25">
      <c r="A38" s="41"/>
      <c r="B38" s="35" t="s">
        <v>47</v>
      </c>
      <c r="C38" s="36" t="e">
        <f>COUNTIF(Funções!#REF!,"AIEL")</f>
        <v>#REF!</v>
      </c>
      <c r="D38" s="35"/>
      <c r="E38" s="35" t="s">
        <v>270</v>
      </c>
      <c r="F38" s="35" t="s">
        <v>278</v>
      </c>
      <c r="G38" s="36" t="e">
        <f>C38*5</f>
        <v>#REF!</v>
      </c>
      <c r="H38" s="35"/>
      <c r="I38" s="35"/>
      <c r="J38" s="38" t="str">
        <f>Deflatores!$G$4&amp;"="</f>
        <v>I=</v>
      </c>
      <c r="K38" s="39" t="e">
        <f>SUMIF(Funções!#REF!,"AIE"&amp;Deflatores!$G$4,Funções!#REF!)</f>
        <v>#REF!</v>
      </c>
      <c r="L38" s="40"/>
    </row>
    <row r="39" spans="1:12" ht="13.5" x14ac:dyDescent="0.25">
      <c r="A39" s="41"/>
      <c r="B39" s="35"/>
      <c r="C39" s="36" t="e">
        <f>COUNTIF(Funções!#REF!,"AIEA")</f>
        <v>#REF!</v>
      </c>
      <c r="D39" s="35"/>
      <c r="E39" s="35" t="s">
        <v>272</v>
      </c>
      <c r="F39" s="35" t="s">
        <v>279</v>
      </c>
      <c r="G39" s="36" t="e">
        <f>C39*7</f>
        <v>#REF!</v>
      </c>
      <c r="H39" s="35"/>
      <c r="I39" s="35"/>
      <c r="J39" s="38" t="str">
        <f>Deflatores!$G$5&amp;"="</f>
        <v>A=</v>
      </c>
      <c r="K39" s="39" t="e">
        <f>SUMIF(Funções!#REF!,"AIE"&amp;Deflatores!$G$5,Funções!#REF!)</f>
        <v>#REF!</v>
      </c>
      <c r="L39" s="40"/>
    </row>
    <row r="40" spans="1:12" ht="13.5" x14ac:dyDescent="0.25">
      <c r="A40" s="41"/>
      <c r="B40" s="35"/>
      <c r="C40" s="36" t="e">
        <f>COUNTIF(Funções!#REF!,"AIEH")</f>
        <v>#REF!</v>
      </c>
      <c r="D40" s="35"/>
      <c r="E40" s="35" t="s">
        <v>274</v>
      </c>
      <c r="F40" s="35" t="s">
        <v>280</v>
      </c>
      <c r="G40" s="36" t="e">
        <f>C40*10</f>
        <v>#REF!</v>
      </c>
      <c r="H40" s="35"/>
      <c r="I40" s="35"/>
      <c r="J40" s="38" t="str">
        <f>Deflatores!$G$6&amp;"="</f>
        <v>E=</v>
      </c>
      <c r="K40" s="39" t="e">
        <f>SUMIF(Funções!#REF!,"AIE"&amp;Deflatores!$G$6,Funções!#REF!)</f>
        <v>#REF!</v>
      </c>
      <c r="L40" s="42"/>
    </row>
    <row r="41" spans="1:12" ht="13.5" x14ac:dyDescent="0.25">
      <c r="A41" s="41"/>
      <c r="B41" s="35"/>
      <c r="C41" s="35"/>
      <c r="D41" s="35"/>
      <c r="E41" s="35"/>
      <c r="F41" s="35"/>
      <c r="G41" s="35"/>
      <c r="H41" s="35"/>
      <c r="I41" s="35"/>
      <c r="J41" s="35"/>
      <c r="K41" s="43"/>
      <c r="L41" s="40"/>
    </row>
    <row r="42" spans="1:12" ht="13.5" x14ac:dyDescent="0.25">
      <c r="A42" s="41"/>
      <c r="B42" s="44" t="s">
        <v>276</v>
      </c>
      <c r="C42" s="36" t="e">
        <f>SUM(C38:C40)</f>
        <v>#REF!</v>
      </c>
      <c r="D42" s="35"/>
      <c r="E42" s="35"/>
      <c r="F42" s="44" t="s">
        <v>277</v>
      </c>
      <c r="G42" s="36" t="e">
        <f>SUM(G38:G40)</f>
        <v>#REF!</v>
      </c>
      <c r="H42" s="19" t="e">
        <f>IF($G$45&lt;&gt;0,G42/$G$45,"")</f>
        <v>#REF!</v>
      </c>
      <c r="J42" s="38"/>
      <c r="K42" s="39" t="e">
        <f>SUM(K38:K41)</f>
        <v>#REF!</v>
      </c>
      <c r="L42" s="20" t="e">
        <f>IF('Sumário 2'!L11&lt;&gt;0,K42/'Sumário 2'!L11,"")</f>
        <v>#REF!</v>
      </c>
    </row>
    <row r="43" spans="1:12" ht="6" customHeight="1" x14ac:dyDescent="0.25">
      <c r="A43" s="45"/>
      <c r="B43" s="38"/>
      <c r="C43" s="38"/>
      <c r="D43" s="38"/>
      <c r="E43" s="38"/>
      <c r="F43" s="38"/>
      <c r="G43" s="38"/>
      <c r="H43" s="38"/>
      <c r="I43" s="38"/>
      <c r="J43" s="38"/>
      <c r="K43" s="38"/>
      <c r="L43" s="46"/>
    </row>
    <row r="44" spans="1:12" ht="6" customHeight="1" x14ac:dyDescent="0.25">
      <c r="A44" s="41"/>
      <c r="B44" s="35"/>
      <c r="C44" s="35"/>
      <c r="D44" s="35"/>
      <c r="E44" s="35"/>
      <c r="F44" s="35"/>
      <c r="G44" s="35"/>
      <c r="H44" s="35"/>
      <c r="I44" s="35"/>
      <c r="J44" s="35"/>
      <c r="K44" s="35"/>
      <c r="L44" s="40"/>
    </row>
    <row r="45" spans="1:12" ht="13.5" x14ac:dyDescent="0.25">
      <c r="A45" s="41"/>
      <c r="B45" s="162" t="s">
        <v>282</v>
      </c>
      <c r="C45" s="162"/>
      <c r="D45" s="162"/>
      <c r="E45" s="162"/>
      <c r="F45" s="162"/>
      <c r="G45" s="36" t="e">
        <f>SUM(G14+G21+G28+G35+G42)</f>
        <v>#REF!</v>
      </c>
      <c r="H45" s="35"/>
      <c r="I45" s="35"/>
      <c r="J45" s="35"/>
      <c r="K45" s="35"/>
      <c r="L45" s="40"/>
    </row>
    <row r="46" spans="1:12" ht="13.5" x14ac:dyDescent="0.25">
      <c r="A46" s="41"/>
      <c r="B46" s="162" t="s">
        <v>283</v>
      </c>
      <c r="C46" s="162"/>
      <c r="D46" s="162"/>
      <c r="E46" s="162"/>
      <c r="F46" s="162"/>
      <c r="G46" s="36" t="e">
        <f>(C10+C11+C12)*4+(C17+C18+C19)*5+(C24+C25+C26)*4+(C31+C32+C33)*7+(C38+C39+C40)*5</f>
        <v>#REF!</v>
      </c>
      <c r="H46" s="35"/>
      <c r="I46" s="35"/>
      <c r="J46" s="35"/>
      <c r="K46" s="35"/>
      <c r="L46" s="40"/>
    </row>
    <row r="47" spans="1:12" ht="13.5" x14ac:dyDescent="0.25">
      <c r="A47" s="41"/>
      <c r="B47" s="162" t="s">
        <v>284</v>
      </c>
      <c r="C47" s="162"/>
      <c r="D47" s="162"/>
      <c r="E47" s="162"/>
      <c r="F47" s="162"/>
      <c r="G47" s="36" t="e">
        <f>(C31+C32+C33)*35+(C38+C39+C40)*15</f>
        <v>#REF!</v>
      </c>
      <c r="H47" s="35"/>
      <c r="I47" s="35"/>
      <c r="J47" s="35"/>
      <c r="K47" s="35"/>
      <c r="L47" s="40"/>
    </row>
    <row r="48" spans="1:12" ht="13.5" x14ac:dyDescent="0.25">
      <c r="A48" s="41"/>
      <c r="B48" s="35"/>
      <c r="C48" s="35"/>
      <c r="D48" s="35"/>
      <c r="E48" s="35"/>
      <c r="F48" s="35"/>
      <c r="G48" s="35"/>
      <c r="H48" s="35"/>
      <c r="I48" s="35"/>
      <c r="J48" s="35"/>
      <c r="K48" s="35"/>
      <c r="L48" s="40"/>
    </row>
    <row r="49" spans="1:12" ht="13.5" x14ac:dyDescent="0.25">
      <c r="A49" s="41"/>
      <c r="B49" s="35"/>
      <c r="C49" s="35"/>
      <c r="D49" s="35"/>
      <c r="E49" s="35"/>
      <c r="F49" s="35"/>
      <c r="G49" s="35"/>
      <c r="H49" s="35"/>
      <c r="I49" s="35"/>
      <c r="J49" s="35"/>
      <c r="K49" s="35"/>
      <c r="L49" s="40"/>
    </row>
    <row r="50" spans="1:12" ht="13.5" x14ac:dyDescent="0.25">
      <c r="A50" s="41"/>
      <c r="B50" s="35"/>
      <c r="C50" s="35"/>
      <c r="D50" s="35"/>
      <c r="E50" s="35"/>
      <c r="F50" s="35"/>
      <c r="G50" s="35"/>
      <c r="H50" s="35"/>
      <c r="I50" s="35"/>
      <c r="J50" s="35"/>
      <c r="K50" s="35"/>
      <c r="L50" s="40"/>
    </row>
    <row r="51" spans="1:12" ht="13.5" x14ac:dyDescent="0.25">
      <c r="A51" s="41"/>
      <c r="B51" s="35"/>
      <c r="C51" s="35"/>
      <c r="D51" s="35"/>
      <c r="E51" s="35"/>
      <c r="F51" s="35"/>
      <c r="G51" s="35"/>
      <c r="H51" s="35"/>
      <c r="I51" s="35"/>
      <c r="J51" s="35"/>
      <c r="K51" s="35"/>
      <c r="L51" s="40"/>
    </row>
    <row r="52" spans="1:12" ht="13.5" x14ac:dyDescent="0.25">
      <c r="A52" s="48"/>
      <c r="B52" s="49"/>
      <c r="C52" s="49"/>
      <c r="D52" s="49"/>
      <c r="E52" s="49"/>
      <c r="F52" s="49"/>
      <c r="G52" s="49"/>
      <c r="H52" s="49"/>
      <c r="I52" s="49"/>
      <c r="J52" s="49"/>
      <c r="K52" s="49"/>
      <c r="L52" s="50"/>
    </row>
  </sheetData>
  <sheetProtection selectLockedCells="1" selectUnlockedCells="1"/>
  <mergeCells count="16">
    <mergeCell ref="B45:F45"/>
    <mergeCell ref="B46:F46"/>
    <mergeCell ref="B47:F47"/>
    <mergeCell ref="A7:B8"/>
    <mergeCell ref="C7:F8"/>
    <mergeCell ref="G7:G8"/>
    <mergeCell ref="H7:H8"/>
    <mergeCell ref="J7:K8"/>
    <mergeCell ref="L7:L8"/>
    <mergeCell ref="A1:L3"/>
    <mergeCell ref="A4:E4"/>
    <mergeCell ref="F4:L4"/>
    <mergeCell ref="A5:E5"/>
    <mergeCell ref="F5:L5"/>
    <mergeCell ref="A6:E6"/>
    <mergeCell ref="F6:L6"/>
  </mergeCells>
  <pageMargins left="0.51180555555555551" right="0.51180555555555551" top="0.78749999999999998" bottom="0.78749999999999998" header="0.51180555555555551" footer="0.31527777777777777"/>
  <pageSetup paperSize="9" firstPageNumber="0" orientation="portrait" horizontalDpi="300" verticalDpi="300" r:id="rId1"/>
  <headerFooter alignWithMargins="0">
    <oddFooter>&amp;CPágina &amp;P de &amp;N</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5"/>
  <dimension ref="A1:M70"/>
  <sheetViews>
    <sheetView showGridLines="0" view="pageBreakPreview" zoomScaleSheetLayoutView="100" workbookViewId="0">
      <pane ySplit="6" topLeftCell="A9" activePane="bottomLeft" state="frozen"/>
      <selection activeCell="B11" sqref="B11"/>
      <selection pane="bottomLeft" activeCell="L14" sqref="L14"/>
    </sheetView>
  </sheetViews>
  <sheetFormatPr defaultColWidth="11.5703125" defaultRowHeight="12.75" x14ac:dyDescent="0.2"/>
  <cols>
    <col min="1" max="1" width="3.28515625" customWidth="1"/>
    <col min="2" max="2" width="32.5703125" customWidth="1"/>
    <col min="3" max="3" width="36.42578125" customWidth="1"/>
    <col min="4" max="4" width="7" customWidth="1"/>
    <col min="5" max="5" width="9.7109375" customWidth="1"/>
    <col min="6" max="6" width="9.42578125" customWidth="1"/>
    <col min="7" max="8" width="12.42578125" customWidth="1"/>
    <col min="9" max="9" width="12.5703125" customWidth="1"/>
    <col min="10" max="10" width="7.5703125" customWidth="1"/>
    <col min="11" max="11" width="2.28515625" customWidth="1"/>
    <col min="12" max="12" width="13.5703125" customWidth="1"/>
    <col min="13" max="13" width="1.7109375" customWidth="1"/>
  </cols>
  <sheetData>
    <row r="1" spans="1:13" x14ac:dyDescent="0.2">
      <c r="A1" s="122" t="s">
        <v>285</v>
      </c>
      <c r="B1" s="122"/>
      <c r="C1" s="122"/>
      <c r="D1" s="122"/>
      <c r="E1" s="122"/>
      <c r="F1" s="122"/>
      <c r="G1" s="122"/>
      <c r="H1" s="122"/>
      <c r="I1" s="122"/>
      <c r="J1" s="122"/>
      <c r="K1" s="122"/>
      <c r="L1" s="122"/>
      <c r="M1" s="122"/>
    </row>
    <row r="2" spans="1:13" x14ac:dyDescent="0.2">
      <c r="A2" s="122"/>
      <c r="B2" s="122"/>
      <c r="C2" s="122"/>
      <c r="D2" s="122"/>
      <c r="E2" s="122"/>
      <c r="F2" s="122"/>
      <c r="G2" s="122"/>
      <c r="H2" s="122"/>
      <c r="I2" s="122"/>
      <c r="J2" s="122"/>
      <c r="K2" s="122"/>
      <c r="L2" s="122"/>
      <c r="M2" s="122"/>
    </row>
    <row r="3" spans="1:13" x14ac:dyDescent="0.2">
      <c r="A3" s="122"/>
      <c r="B3" s="122"/>
      <c r="C3" s="122"/>
      <c r="D3" s="122"/>
      <c r="E3" s="122"/>
      <c r="F3" s="122"/>
      <c r="G3" s="122"/>
      <c r="H3" s="122"/>
      <c r="I3" s="122"/>
      <c r="J3" s="122"/>
      <c r="K3" s="122"/>
      <c r="L3" s="122"/>
      <c r="M3" s="122"/>
    </row>
    <row r="4" spans="1:13" x14ac:dyDescent="0.2">
      <c r="A4" s="161" t="str">
        <f>Contagem!A5&amp;" : "&amp;Contagem!F5</f>
        <v xml:space="preserve">Aplicação : </v>
      </c>
      <c r="B4" s="161"/>
      <c r="C4" s="161"/>
      <c r="D4" s="161"/>
      <c r="E4" s="161"/>
      <c r="F4" s="136" t="str">
        <f>Contagem!A8&amp;" : "&amp;Contagem!F8</f>
        <v>Projeto : SEI</v>
      </c>
      <c r="G4" s="136"/>
      <c r="H4" s="136"/>
      <c r="I4" s="136"/>
      <c r="J4" s="136"/>
      <c r="K4" s="136"/>
      <c r="L4" s="136"/>
      <c r="M4" s="136"/>
    </row>
    <row r="5" spans="1:13" x14ac:dyDescent="0.2">
      <c r="A5" s="165" t="str">
        <f>Contagem!A9&amp;" : "&amp;Contagem!F9</f>
        <v>Responsável : Ana Karyna da Silva Teixeira</v>
      </c>
      <c r="B5" s="165"/>
      <c r="C5" s="165"/>
      <c r="D5" s="165"/>
      <c r="E5" s="165"/>
      <c r="F5" s="136" t="str">
        <f>Contagem!A10&amp;" : "&amp;Contagem!F10</f>
        <v>Revisor : Luana Alves de Araújo Passos Aguiar</v>
      </c>
      <c r="G5" s="136"/>
      <c r="H5" s="136"/>
      <c r="I5" s="136"/>
      <c r="J5" s="136"/>
      <c r="K5" s="136"/>
      <c r="L5" s="136"/>
      <c r="M5" s="136"/>
    </row>
    <row r="6" spans="1:13" x14ac:dyDescent="0.2">
      <c r="A6" s="165" t="str">
        <f>Contagem!A4&amp;" : "&amp;Contagem!F4</f>
        <v>Empresa : Secretaria de Estado de Planejamento e Gestão de Mato Grosso</v>
      </c>
      <c r="B6" s="165"/>
      <c r="C6" s="165"/>
      <c r="D6" s="165"/>
      <c r="E6" s="165"/>
      <c r="F6" s="136" t="str">
        <f>"Tipo de Contagem : "&amp;Contagem!F6</f>
        <v>Tipo de Contagem : Projeto de Desenvolvimento</v>
      </c>
      <c r="G6" s="136"/>
      <c r="H6" s="136"/>
      <c r="I6" s="136"/>
      <c r="J6" s="136"/>
      <c r="K6" s="136"/>
      <c r="L6" s="136"/>
      <c r="M6" s="136"/>
    </row>
    <row r="7" spans="1:13" x14ac:dyDescent="0.2">
      <c r="A7" s="65"/>
      <c r="M7" s="66"/>
    </row>
    <row r="8" spans="1:13" ht="13.5" x14ac:dyDescent="0.25">
      <c r="A8" s="65"/>
      <c r="B8" s="166"/>
      <c r="C8" s="166"/>
      <c r="D8" s="166"/>
      <c r="E8" s="166"/>
      <c r="F8" s="166"/>
      <c r="G8" s="166"/>
      <c r="H8" s="166"/>
      <c r="I8" s="166"/>
      <c r="M8" s="66"/>
    </row>
    <row r="9" spans="1:13" ht="13.5" x14ac:dyDescent="0.25">
      <c r="A9" s="65"/>
      <c r="B9" s="167" t="s">
        <v>286</v>
      </c>
      <c r="C9" s="167"/>
      <c r="D9" s="167"/>
      <c r="E9" s="21" t="s">
        <v>256</v>
      </c>
      <c r="F9" s="21" t="s">
        <v>3</v>
      </c>
      <c r="G9" s="21" t="s">
        <v>287</v>
      </c>
      <c r="H9" s="21" t="s">
        <v>288</v>
      </c>
      <c r="I9" s="21" t="s">
        <v>8</v>
      </c>
      <c r="J9" s="21" t="s">
        <v>289</v>
      </c>
      <c r="M9" s="66"/>
    </row>
    <row r="10" spans="1:13" ht="13.5" customHeight="1" x14ac:dyDescent="0.25">
      <c r="A10" s="65"/>
      <c r="B10" s="120" t="str">
        <f>""&amp;Deflatores!B4</f>
        <v>Inclusão</v>
      </c>
      <c r="C10" s="120"/>
      <c r="D10" s="10" t="str">
        <f>""&amp;Deflatores!G4</f>
        <v>I</v>
      </c>
      <c r="E10" s="87" t="e">
        <f>IF(D10="","",COUNTIF(Funções!#REF!,D10))</f>
        <v>#REF!</v>
      </c>
      <c r="F10" s="88" t="e">
        <f>SUMIF(Funções!#REF!,Deflatores!G4,Funções!#REF!)</f>
        <v>#REF!</v>
      </c>
      <c r="G10" s="89">
        <f>IF(ISBLANK(Deflatores!H4),"",Deflatores!H4)</f>
        <v>1</v>
      </c>
      <c r="H10" s="88" t="str">
        <f>IF(ISBLANK(Deflatores!I4),"",Deflatores!I4)</f>
        <v/>
      </c>
      <c r="I10" s="90" t="e">
        <f>IF(F10=0,Deflatores!K4,F10*G10)</f>
        <v>#REF!</v>
      </c>
      <c r="J10" s="91" t="e">
        <f t="shared" ref="J10:J44" si="0">IF($L$11&lt;&gt;0,I10/$L$11,"")</f>
        <v>#REF!</v>
      </c>
      <c r="L10" s="26" t="s">
        <v>8</v>
      </c>
      <c r="M10" s="40"/>
    </row>
    <row r="11" spans="1:13" ht="13.5" customHeight="1" x14ac:dyDescent="0.25">
      <c r="A11" s="65"/>
      <c r="B11" s="120" t="str">
        <f>""&amp;Deflatores!B5</f>
        <v>Alteração (sem conhecimento do Fator de Impacto)</v>
      </c>
      <c r="C11" s="120"/>
      <c r="D11" s="10" t="str">
        <f>""&amp;Deflatores!G5</f>
        <v>A</v>
      </c>
      <c r="E11" s="87" t="e">
        <f>IF(D11="","",COUNTIF(Funções!#REF!,D11))</f>
        <v>#REF!</v>
      </c>
      <c r="F11" s="88" t="e">
        <f>SUMIF(Funções!#REF!,Deflatores!G5,Funções!#REF!)</f>
        <v>#REF!</v>
      </c>
      <c r="G11" s="89">
        <f>IF(ISBLANK(Deflatores!H5),"",Deflatores!H5)</f>
        <v>0.5</v>
      </c>
      <c r="H11" s="88" t="str">
        <f>IF(ISBLANK(Deflatores!I5),"",Deflatores!I5)</f>
        <v/>
      </c>
      <c r="I11" s="90" t="e">
        <f>IF(F11=0,Deflatores!K5,F11*G11)</f>
        <v>#REF!</v>
      </c>
      <c r="J11" s="91" t="e">
        <f t="shared" si="0"/>
        <v>#REF!</v>
      </c>
      <c r="K11" s="77"/>
      <c r="L11" s="27">
        <f>Contagem!Q6</f>
        <v>541</v>
      </c>
      <c r="M11" s="40"/>
    </row>
    <row r="12" spans="1:13" ht="13.5" customHeight="1" x14ac:dyDescent="0.25">
      <c r="A12" s="65"/>
      <c r="B12" s="120" t="str">
        <f>""&amp;Deflatores!B6</f>
        <v>Exclusão</v>
      </c>
      <c r="C12" s="120"/>
      <c r="D12" s="10" t="str">
        <f>""&amp;Deflatores!G6</f>
        <v>E</v>
      </c>
      <c r="E12" s="87" t="e">
        <f>IF(D12="","",COUNTIF(Funções!#REF!,D12))</f>
        <v>#REF!</v>
      </c>
      <c r="F12" s="88" t="e">
        <f>SUMIF(Funções!#REF!,Deflatores!G6,Funções!#REF!)</f>
        <v>#REF!</v>
      </c>
      <c r="G12" s="89">
        <f>IF(ISBLANK(Deflatores!H6),"",Deflatores!H6)</f>
        <v>0.4</v>
      </c>
      <c r="H12" s="88" t="str">
        <f>IF(ISBLANK(Deflatores!I6),"",Deflatores!I6)</f>
        <v/>
      </c>
      <c r="I12" s="90" t="e">
        <f>IF(F12=0,Deflatores!K6,F12*G12)</f>
        <v>#REF!</v>
      </c>
      <c r="J12" s="91" t="e">
        <f t="shared" si="0"/>
        <v>#REF!</v>
      </c>
      <c r="K12" s="77"/>
      <c r="L12" s="78"/>
      <c r="M12" s="40"/>
    </row>
    <row r="13" spans="1:13" ht="13.5" customHeight="1" x14ac:dyDescent="0.25">
      <c r="A13" s="65"/>
      <c r="B13" s="120" t="str">
        <f>""&amp;Deflatores!B7</f>
        <v>Alteração (50%) de função desenvolvida ou já alterada pela empresa atual</v>
      </c>
      <c r="C13" s="120"/>
      <c r="D13" s="10" t="str">
        <f>""&amp;Deflatores!G7</f>
        <v>A50</v>
      </c>
      <c r="E13" s="87" t="e">
        <f>IF(D13="","",COUNTIF(Funções!#REF!,D13))</f>
        <v>#REF!</v>
      </c>
      <c r="F13" s="88" t="e">
        <f>SUMIF(Funções!#REF!,Deflatores!G7,Funções!#REF!)</f>
        <v>#REF!</v>
      </c>
      <c r="G13" s="89">
        <f>IF(ISBLANK(Deflatores!H7),"",Deflatores!H7)</f>
        <v>0.5</v>
      </c>
      <c r="H13" s="88" t="str">
        <f>IF(ISBLANK(Deflatores!I7),"",Deflatores!I7)</f>
        <v/>
      </c>
      <c r="I13" s="90" t="e">
        <f>Deflatores!K7</f>
        <v>#REF!</v>
      </c>
      <c r="J13" s="91" t="e">
        <f t="shared" si="0"/>
        <v>#REF!</v>
      </c>
      <c r="K13" s="77"/>
      <c r="L13" s="26" t="s">
        <v>290</v>
      </c>
      <c r="M13" s="40"/>
    </row>
    <row r="14" spans="1:13" ht="13.5" customHeight="1" x14ac:dyDescent="0.25">
      <c r="A14" s="65"/>
      <c r="B14" s="120" t="str">
        <f>""&amp;Deflatores!B8</f>
        <v>Alteração (75%) de função não desenv. e ainda não alterada pela empresa atual</v>
      </c>
      <c r="C14" s="120"/>
      <c r="D14" s="10" t="str">
        <f>""&amp;Deflatores!G8</f>
        <v>A75</v>
      </c>
      <c r="E14" s="87" t="e">
        <f>IF(D14="","",COUNTIF(Funções!#REF!,D14))</f>
        <v>#REF!</v>
      </c>
      <c r="F14" s="88" t="e">
        <f>SUMIF(Funções!#REF!,Deflatores!G8,Funções!#REF!)</f>
        <v>#REF!</v>
      </c>
      <c r="G14" s="89">
        <f>IF(ISBLANK(Deflatores!H8),"",Deflatores!H8)</f>
        <v>0.75</v>
      </c>
      <c r="H14" s="88" t="str">
        <f>IF(ISBLANK(Deflatores!I8),"",Deflatores!I8)</f>
        <v/>
      </c>
      <c r="I14" s="90" t="e">
        <f>Deflatores!K8</f>
        <v>#REF!</v>
      </c>
      <c r="J14" s="91" t="e">
        <f t="shared" si="0"/>
        <v>#REF!</v>
      </c>
      <c r="L14" s="27">
        <f>Contagem!Q4</f>
        <v>541</v>
      </c>
      <c r="M14" s="40"/>
    </row>
    <row r="15" spans="1:13" ht="13.5" customHeight="1" x14ac:dyDescent="0.2">
      <c r="A15" s="65"/>
      <c r="B15" s="120" t="str">
        <f>""&amp;Deflatores!B9</f>
        <v>Alteração (75%+15%): o mesmo acima + redocumentar a função</v>
      </c>
      <c r="C15" s="120"/>
      <c r="D15" s="10" t="str">
        <f>""&amp;Deflatores!G9</f>
        <v>A90</v>
      </c>
      <c r="E15" s="87" t="e">
        <f>IF(D15="","",COUNTIF(Funções!#REF!,D15))</f>
        <v>#REF!</v>
      </c>
      <c r="F15" s="88" t="e">
        <f>SUMIF(Funções!#REF!,Deflatores!G9,Funções!#REF!)</f>
        <v>#REF!</v>
      </c>
      <c r="G15" s="89">
        <f>IF(ISBLANK(Deflatores!H9),"",Deflatores!H9)</f>
        <v>0.9</v>
      </c>
      <c r="H15" s="88" t="str">
        <f>IF(ISBLANK(Deflatores!I9),"",Deflatores!I9)</f>
        <v/>
      </c>
      <c r="I15" s="90" t="e">
        <f>Deflatores!K9</f>
        <v>#REF!</v>
      </c>
      <c r="J15" s="91" t="e">
        <f t="shared" si="0"/>
        <v>#REF!</v>
      </c>
      <c r="M15" s="66"/>
    </row>
    <row r="16" spans="1:13" ht="13.5" customHeight="1" x14ac:dyDescent="0.2">
      <c r="A16" s="65"/>
      <c r="B16" s="120" t="str">
        <f>""&amp;Deflatores!B10</f>
        <v>Migração de Dados</v>
      </c>
      <c r="C16" s="120"/>
      <c r="D16" s="10" t="str">
        <f>""&amp;Deflatores!G10</f>
        <v>PMD</v>
      </c>
      <c r="E16" s="87" t="e">
        <f>IF(D16="","",COUNTIF(Funções!#REF!,D16))</f>
        <v>#REF!</v>
      </c>
      <c r="F16" s="88" t="e">
        <f>SUMIF(Funções!#REF!,Deflatores!G10,Funções!#REF!)</f>
        <v>#REF!</v>
      </c>
      <c r="G16" s="89">
        <f>IF(ISBLANK(Deflatores!H10),"",Deflatores!H10)</f>
        <v>1</v>
      </c>
      <c r="H16" s="88" t="str">
        <f>IF(ISBLANK(Deflatores!I10),"",Deflatores!I10)</f>
        <v/>
      </c>
      <c r="I16" s="90" t="e">
        <f>Deflatores!K10</f>
        <v>#REF!</v>
      </c>
      <c r="J16" s="91" t="e">
        <f t="shared" si="0"/>
        <v>#REF!</v>
      </c>
      <c r="M16" s="66"/>
    </row>
    <row r="17" spans="1:13" ht="13.5" customHeight="1" x14ac:dyDescent="0.2">
      <c r="A17" s="65"/>
      <c r="B17" s="120" t="str">
        <f>""&amp;Deflatores!B11</f>
        <v>Corretiva (sem conhecimento do Fator de Impacto)</v>
      </c>
      <c r="C17" s="120"/>
      <c r="D17" s="10" t="str">
        <f>""&amp;Deflatores!G11</f>
        <v>COR</v>
      </c>
      <c r="E17" s="87" t="e">
        <f>IF(D17="","",COUNTIF(Funções!#REF!,D17))</f>
        <v>#REF!</v>
      </c>
      <c r="F17" s="88" t="e">
        <f>SUMIF(Funções!#REF!,Deflatores!G11,Funções!#REF!)</f>
        <v>#REF!</v>
      </c>
      <c r="G17" s="89">
        <f>IF(ISBLANK(Deflatores!H11),"",Deflatores!H11)</f>
        <v>0.5</v>
      </c>
      <c r="H17" s="88" t="str">
        <f>IF(ISBLANK(Deflatores!I11),"",Deflatores!I11)</f>
        <v/>
      </c>
      <c r="I17" s="90" t="e">
        <f>Deflatores!K11</f>
        <v>#REF!</v>
      </c>
      <c r="J17" s="91" t="e">
        <f>IF($L$11&lt;&gt;0,I17/$L$11,"")</f>
        <v>#REF!</v>
      </c>
      <c r="M17" s="66"/>
    </row>
    <row r="18" spans="1:13" ht="13.5" customHeight="1" x14ac:dyDescent="0.2">
      <c r="A18" s="65"/>
      <c r="B18" s="120" t="str">
        <f>""&amp;Deflatores!B12</f>
        <v>Corretiva (50%) - Fora da garantia (mesma empresa)</v>
      </c>
      <c r="C18" s="120"/>
      <c r="D18" s="10" t="str">
        <f>""&amp;Deflatores!G12</f>
        <v>COR50</v>
      </c>
      <c r="E18" s="87" t="e">
        <f>IF(D18="","",COUNTIF(Funções!#REF!,D18))</f>
        <v>#REF!</v>
      </c>
      <c r="F18" s="88" t="e">
        <f>SUMIF(Funções!#REF!,Deflatores!G12,Funções!#REF!)</f>
        <v>#REF!</v>
      </c>
      <c r="G18" s="89">
        <f>IF(ISBLANK(Deflatores!H12),"",Deflatores!H12)</f>
        <v>0.5</v>
      </c>
      <c r="H18" s="88" t="str">
        <f>IF(ISBLANK(Deflatores!I12),"",Deflatores!I12)</f>
        <v/>
      </c>
      <c r="I18" s="90" t="e">
        <f>Deflatores!K12</f>
        <v>#REF!</v>
      </c>
      <c r="J18" s="91" t="e">
        <f t="shared" si="0"/>
        <v>#REF!</v>
      </c>
      <c r="M18" s="66"/>
    </row>
    <row r="19" spans="1:13" ht="13.5" customHeight="1" x14ac:dyDescent="0.2">
      <c r="A19" s="65"/>
      <c r="B19" s="120" t="str">
        <f>""&amp;Deflatores!B13</f>
        <v>Corretiva (75%) - Fora da garantia (outra empresa)</v>
      </c>
      <c r="C19" s="120"/>
      <c r="D19" s="10" t="str">
        <f>""&amp;Deflatores!G13</f>
        <v>COR75</v>
      </c>
      <c r="E19" s="87" t="e">
        <f>IF(D19="","",COUNTIF(Funções!#REF!,D19))</f>
        <v>#REF!</v>
      </c>
      <c r="F19" s="88" t="e">
        <f>SUMIF(Funções!#REF!,Deflatores!G13,Funções!#REF!)</f>
        <v>#REF!</v>
      </c>
      <c r="G19" s="89">
        <f>IF(ISBLANK(Deflatores!H13),"",Deflatores!H13)</f>
        <v>0.75</v>
      </c>
      <c r="H19" s="88" t="str">
        <f>IF(ISBLANK(Deflatores!I13),"",Deflatores!I13)</f>
        <v/>
      </c>
      <c r="I19" s="90" t="e">
        <f>Deflatores!K13</f>
        <v>#REF!</v>
      </c>
      <c r="J19" s="91" t="e">
        <f t="shared" si="0"/>
        <v>#REF!</v>
      </c>
      <c r="M19" s="66"/>
    </row>
    <row r="20" spans="1:13" ht="13.5" customHeight="1" x14ac:dyDescent="0.2">
      <c r="A20" s="65"/>
      <c r="B20" s="120" t="str">
        <f>""&amp;Deflatores!B14</f>
        <v>Corretiva (75%+15%) - Fora da garantia (outra empresa) + Redocumentação</v>
      </c>
      <c r="C20" s="120"/>
      <c r="D20" s="10" t="str">
        <f>""&amp;Deflatores!G14</f>
        <v>COR90</v>
      </c>
      <c r="E20" s="87" t="e">
        <f>IF(D20="","",COUNTIF(Funções!#REF!,D20))</f>
        <v>#REF!</v>
      </c>
      <c r="F20" s="88" t="e">
        <f>SUMIF(Funções!#REF!,Deflatores!G14,Funções!#REF!)</f>
        <v>#REF!</v>
      </c>
      <c r="G20" s="89">
        <f>IF(ISBLANK(Deflatores!H14),"",Deflatores!H14)</f>
        <v>0.9</v>
      </c>
      <c r="H20" s="88" t="str">
        <f>IF(ISBLANK(Deflatores!I14),"",Deflatores!I14)</f>
        <v/>
      </c>
      <c r="I20" s="90" t="e">
        <f>Deflatores!K14</f>
        <v>#REF!</v>
      </c>
      <c r="J20" s="91" t="e">
        <f>IF($L$11&lt;&gt;0,I20/$L$11,"")</f>
        <v>#REF!</v>
      </c>
      <c r="M20" s="66"/>
    </row>
    <row r="21" spans="1:13" ht="13.5" customHeight="1" x14ac:dyDescent="0.2">
      <c r="A21" s="65"/>
      <c r="B21" s="120" t="str">
        <f>""&amp;Deflatores!B15</f>
        <v>Corretiva em Garantia</v>
      </c>
      <c r="C21" s="120"/>
      <c r="D21" s="10" t="str">
        <f>""&amp;Deflatores!G15</f>
        <v>GAR</v>
      </c>
      <c r="E21" s="87" t="e">
        <f>IF(D21="","",COUNTIF(Funções!#REF!,D21))</f>
        <v>#REF!</v>
      </c>
      <c r="F21" s="88" t="e">
        <f>SUMIF(Funções!#REF!,Deflatores!G15,Funções!#REF!)</f>
        <v>#REF!</v>
      </c>
      <c r="G21" s="89">
        <f>IF(ISBLANK(Deflatores!H15),"",Deflatores!H15)</f>
        <v>0</v>
      </c>
      <c r="H21" s="88" t="str">
        <f>IF(ISBLANK(Deflatores!I15),"",Deflatores!I15)</f>
        <v/>
      </c>
      <c r="I21" s="90" t="e">
        <f>Deflatores!K15</f>
        <v>#REF!</v>
      </c>
      <c r="J21" s="91" t="e">
        <f>IF($L$11&lt;&gt;0,I21/$L$11,"")</f>
        <v>#REF!</v>
      </c>
      <c r="M21" s="66"/>
    </row>
    <row r="22" spans="1:13" ht="13.5" customHeight="1" x14ac:dyDescent="0.2">
      <c r="A22" s="65"/>
      <c r="B22" s="120" t="str">
        <f>""&amp;Deflatores!B16</f>
        <v>Mudança de Plataforma - Linguagem de Programação</v>
      </c>
      <c r="C22" s="120"/>
      <c r="D22" s="10" t="str">
        <f>""&amp;Deflatores!G16</f>
        <v>MLP</v>
      </c>
      <c r="E22" s="87" t="e">
        <f>IF(D22="","",COUNTIF(Funções!#REF!,D22))</f>
        <v>#REF!</v>
      </c>
      <c r="F22" s="88" t="e">
        <f>SUMIF(Funções!#REF!,Deflatores!G16,Funções!#REF!)</f>
        <v>#REF!</v>
      </c>
      <c r="G22" s="89">
        <f>IF(ISBLANK(Deflatores!H16),"",Deflatores!H16)</f>
        <v>1</v>
      </c>
      <c r="H22" s="88" t="str">
        <f>IF(ISBLANK(Deflatores!I16),"",Deflatores!I16)</f>
        <v/>
      </c>
      <c r="I22" s="90" t="e">
        <f>Deflatores!K16</f>
        <v>#REF!</v>
      </c>
      <c r="J22" s="91" t="e">
        <f t="shared" si="0"/>
        <v>#REF!</v>
      </c>
      <c r="M22" s="66"/>
    </row>
    <row r="23" spans="1:13" ht="13.5" customHeight="1" x14ac:dyDescent="0.2">
      <c r="A23" s="65"/>
      <c r="B23" s="120" t="str">
        <f>""&amp;Deflatores!B17</f>
        <v>Mudança de Plataforma - Banco de Dados (outro paradigma)</v>
      </c>
      <c r="C23" s="120"/>
      <c r="D23" s="10" t="str">
        <f>""&amp;Deflatores!G17</f>
        <v>MBO</v>
      </c>
      <c r="E23" s="87" t="e">
        <f>IF(D23="","",COUNTIF(Funções!#REF!,D23))</f>
        <v>#REF!</v>
      </c>
      <c r="F23" s="88" t="e">
        <f>SUMIF(Funções!#REF!,Deflatores!G17,Funções!#REF!)</f>
        <v>#REF!</v>
      </c>
      <c r="G23" s="89">
        <f>IF(ISBLANK(Deflatores!H17),"",Deflatores!H17)</f>
        <v>1</v>
      </c>
      <c r="H23" s="88" t="str">
        <f>IF(ISBLANK(Deflatores!I17),"",Deflatores!I17)</f>
        <v/>
      </c>
      <c r="I23" s="90" t="e">
        <f>Deflatores!K17</f>
        <v>#REF!</v>
      </c>
      <c r="J23" s="91" t="e">
        <f t="shared" si="0"/>
        <v>#REF!</v>
      </c>
      <c r="M23" s="66"/>
    </row>
    <row r="24" spans="1:13" ht="13.5" customHeight="1" x14ac:dyDescent="0.2">
      <c r="A24" s="65"/>
      <c r="B24" s="120" t="str">
        <f>""&amp;Deflatores!B18</f>
        <v>Mudança de Plataforma - Banco de Dados (mesmo paradigma com alterações)</v>
      </c>
      <c r="C24" s="120"/>
      <c r="D24" s="10" t="str">
        <f>""&amp;Deflatores!G18</f>
        <v>MBM</v>
      </c>
      <c r="E24" s="87" t="e">
        <f>IF(D24="","",COUNTIF(Funções!#REF!,D24))</f>
        <v>#REF!</v>
      </c>
      <c r="F24" s="88" t="e">
        <f>SUMIF(Funções!#REF!,Deflatores!G18,Funções!#REF!)</f>
        <v>#REF!</v>
      </c>
      <c r="G24" s="89">
        <f>IF(ISBLANK(Deflatores!H18),"",Deflatores!H18)</f>
        <v>0.3</v>
      </c>
      <c r="H24" s="88" t="str">
        <f>IF(ISBLANK(Deflatores!I18),"",Deflatores!I18)</f>
        <v/>
      </c>
      <c r="I24" s="90" t="e">
        <f>Deflatores!K18</f>
        <v>#REF!</v>
      </c>
      <c r="J24" s="91" t="e">
        <f t="shared" si="0"/>
        <v>#REF!</v>
      </c>
      <c r="K24" s="77"/>
      <c r="M24" s="66"/>
    </row>
    <row r="25" spans="1:13" ht="13.5" customHeight="1" x14ac:dyDescent="0.2">
      <c r="A25" s="65"/>
      <c r="B25" s="120" t="str">
        <f>""&amp;Deflatores!B19</f>
        <v>Atualização de Versão – Linguagem de Programação</v>
      </c>
      <c r="C25" s="120"/>
      <c r="D25" s="10" t="str">
        <f>""&amp;Deflatores!G19</f>
        <v>ALP</v>
      </c>
      <c r="E25" s="87" t="e">
        <f>IF(D25="","",COUNTIF(Funções!#REF!,D25))</f>
        <v>#REF!</v>
      </c>
      <c r="F25" s="88" t="e">
        <f>SUMIF(Funções!#REF!,Deflatores!G19,Funções!#REF!)</f>
        <v>#REF!</v>
      </c>
      <c r="G25" s="89">
        <f>IF(ISBLANK(Deflatores!H19),"",Deflatores!H19)</f>
        <v>0.3</v>
      </c>
      <c r="H25" s="88" t="str">
        <f>IF(ISBLANK(Deflatores!I19),"",Deflatores!I19)</f>
        <v/>
      </c>
      <c r="I25" s="90" t="e">
        <f>Deflatores!K19</f>
        <v>#REF!</v>
      </c>
      <c r="J25" s="91" t="e">
        <f t="shared" si="0"/>
        <v>#REF!</v>
      </c>
      <c r="K25" s="77"/>
      <c r="M25" s="66"/>
    </row>
    <row r="26" spans="1:13" ht="13.5" customHeight="1" x14ac:dyDescent="0.2">
      <c r="A26" s="65"/>
      <c r="B26" s="120" t="str">
        <f>""&amp;Deflatores!B20</f>
        <v>Atualização de Versão – Browser</v>
      </c>
      <c r="C26" s="120"/>
      <c r="D26" s="10" t="str">
        <f>""&amp;Deflatores!G20</f>
        <v>AVB</v>
      </c>
      <c r="E26" s="87" t="e">
        <f>IF(D26="","",COUNTIF(Funções!#REF!,D26))</f>
        <v>#REF!</v>
      </c>
      <c r="F26" s="88" t="e">
        <f>SUMIF(Funções!#REF!,Deflatores!G20,Funções!#REF!)</f>
        <v>#REF!</v>
      </c>
      <c r="G26" s="89">
        <f>IF(ISBLANK(Deflatores!H20),"",Deflatores!H20)</f>
        <v>0.3</v>
      </c>
      <c r="H26" s="88" t="str">
        <f>IF(ISBLANK(Deflatores!I20),"",Deflatores!I20)</f>
        <v/>
      </c>
      <c r="I26" s="90" t="e">
        <f>Deflatores!K20</f>
        <v>#REF!</v>
      </c>
      <c r="J26" s="91" t="e">
        <f t="shared" si="0"/>
        <v>#REF!</v>
      </c>
      <c r="K26" s="77"/>
      <c r="M26" s="66"/>
    </row>
    <row r="27" spans="1:13" ht="13.5" customHeight="1" x14ac:dyDescent="0.2">
      <c r="A27" s="65"/>
      <c r="B27" s="120" t="str">
        <f>""&amp;Deflatores!B21</f>
        <v>Atualização de Versão – Banco de Dados</v>
      </c>
      <c r="C27" s="120"/>
      <c r="D27" s="10" t="str">
        <f>""&amp;Deflatores!G21</f>
        <v>ABD</v>
      </c>
      <c r="E27" s="87" t="e">
        <f>IF(D27="","",COUNTIF(Funções!#REF!,D27))</f>
        <v>#REF!</v>
      </c>
      <c r="F27" s="88" t="e">
        <f>SUMIF(Funções!#REF!,Deflatores!G21,Funções!#REF!)</f>
        <v>#REF!</v>
      </c>
      <c r="G27" s="89">
        <f>IF(ISBLANK(Deflatores!H21),"",Deflatores!H21)</f>
        <v>0.3</v>
      </c>
      <c r="H27" s="88" t="str">
        <f>IF(ISBLANK(Deflatores!I21),"",Deflatores!I21)</f>
        <v/>
      </c>
      <c r="I27" s="90" t="e">
        <f>Deflatores!K21</f>
        <v>#REF!</v>
      </c>
      <c r="J27" s="91" t="e">
        <f t="shared" si="0"/>
        <v>#REF!</v>
      </c>
      <c r="K27" s="77"/>
      <c r="M27" s="66"/>
    </row>
    <row r="28" spans="1:13" ht="13.5" customHeight="1" x14ac:dyDescent="0.2">
      <c r="A28" s="65"/>
      <c r="B28" s="120" t="str">
        <f>""&amp;Deflatores!B22</f>
        <v>Manutenção Cosmética</v>
      </c>
      <c r="C28" s="120"/>
      <c r="D28" s="10" t="str">
        <f>""&amp;Deflatores!G22</f>
        <v>COS</v>
      </c>
      <c r="E28" s="87" t="e">
        <f>IF(D28="","",COUNTIF(Funções!#REF!,D28))</f>
        <v>#REF!</v>
      </c>
      <c r="F28" s="88" t="e">
        <f>SUMIF(Funções!#REF!,Deflatores!G22,Funções!#REF!)</f>
        <v>#REF!</v>
      </c>
      <c r="G28" s="89" t="str">
        <f>IF(ISBLANK(Deflatores!H22),"",Deflatores!H22)</f>
        <v/>
      </c>
      <c r="H28" s="88">
        <f>IF(ISBLANK(Deflatores!I22),"",Deflatores!I22)</f>
        <v>0.6</v>
      </c>
      <c r="I28" s="90" t="e">
        <f>Deflatores!K22</f>
        <v>#REF!</v>
      </c>
      <c r="J28" s="91" t="e">
        <f t="shared" si="0"/>
        <v>#REF!</v>
      </c>
      <c r="M28" s="66"/>
    </row>
    <row r="29" spans="1:13" ht="27" customHeight="1" x14ac:dyDescent="0.2">
      <c r="A29" s="65"/>
      <c r="B29" s="152" t="str">
        <f>""&amp;Deflatores!B23</f>
        <v>Adaptação em Funcionalidades sem Alteração de Requisitos Funcionais
(sem conhecimento do Fator de Impacto)</v>
      </c>
      <c r="C29" s="154"/>
      <c r="D29" s="10" t="str">
        <f>""&amp;Deflatores!G23</f>
        <v>ARN</v>
      </c>
      <c r="E29" s="87" t="e">
        <f>IF(D29="","",COUNTIF(Funções!#REF!,D29))</f>
        <v>#REF!</v>
      </c>
      <c r="F29" s="88" t="e">
        <f>SUMIF(Funções!#REF!,Deflatores!G23,Funções!#REF!)</f>
        <v>#REF!</v>
      </c>
      <c r="G29" s="89">
        <f>IF(ISBLANK(Deflatores!H23),"",Deflatores!H23)</f>
        <v>0.5</v>
      </c>
      <c r="H29" s="88" t="str">
        <f>IF(ISBLANK(Deflatores!I23),"",Deflatores!I23)</f>
        <v/>
      </c>
      <c r="I29" s="90" t="e">
        <f>Deflatores!K23</f>
        <v>#REF!</v>
      </c>
      <c r="J29" s="91" t="e">
        <f>IF($L$11&lt;&gt;0,I29/$L$11,"")</f>
        <v>#REF!</v>
      </c>
      <c r="M29" s="66"/>
    </row>
    <row r="30" spans="1:13" ht="27" customHeight="1" x14ac:dyDescent="0.2">
      <c r="A30" s="65"/>
      <c r="B30" s="152" t="str">
        <f>""&amp;Deflatores!B24</f>
        <v>Adaptação em Funcionalidades sem Alteração de Requisitos Funcionais (50%)
(em função desenvolvida ou já alterada pela empresa atual)</v>
      </c>
      <c r="C30" s="154"/>
      <c r="D30" s="10" t="str">
        <f>""&amp;Deflatores!G24</f>
        <v>ARN50</v>
      </c>
      <c r="E30" s="87" t="e">
        <f>IF(D30="","",COUNTIF(Funções!#REF!,D30))</f>
        <v>#REF!</v>
      </c>
      <c r="F30" s="88" t="e">
        <f>SUMIF(Funções!#REF!,Deflatores!G24,Funções!#REF!)</f>
        <v>#REF!</v>
      </c>
      <c r="G30" s="89">
        <f>IF(ISBLANK(Deflatores!H24),"",Deflatores!H24)</f>
        <v>0.5</v>
      </c>
      <c r="H30" s="88" t="str">
        <f>IF(ISBLANK(Deflatores!I24),"",Deflatores!I24)</f>
        <v/>
      </c>
      <c r="I30" s="90" t="e">
        <f>Deflatores!K24</f>
        <v>#REF!</v>
      </c>
      <c r="J30" s="91" t="e">
        <f t="shared" si="0"/>
        <v>#REF!</v>
      </c>
      <c r="M30" s="66"/>
    </row>
    <row r="31" spans="1:13" ht="27" customHeight="1" x14ac:dyDescent="0.2">
      <c r="A31" s="65"/>
      <c r="B31" s="152" t="str">
        <f>""&amp;Deflatores!B25</f>
        <v>Adaptação em Funcionalidades sem Alteração de Requisitos Funcionais (75%)
(em função não desenvolvida e ainda não alterada pela empresa atual)</v>
      </c>
      <c r="C31" s="154"/>
      <c r="D31" s="10" t="str">
        <f>""&amp;Deflatores!G25</f>
        <v>ARN75</v>
      </c>
      <c r="E31" s="87" t="e">
        <f>IF(D31="","",COUNTIF(Funções!#REF!,D31))</f>
        <v>#REF!</v>
      </c>
      <c r="F31" s="88" t="e">
        <f>SUMIF(Funções!#REF!,Deflatores!G25,Funções!#REF!)</f>
        <v>#REF!</v>
      </c>
      <c r="G31" s="89">
        <f>IF(ISBLANK(Deflatores!H25),"",Deflatores!H25)</f>
        <v>0.75</v>
      </c>
      <c r="H31" s="88" t="str">
        <f>IF(ISBLANK(Deflatores!I25),"",Deflatores!I25)</f>
        <v/>
      </c>
      <c r="I31" s="90" t="e">
        <f>Deflatores!K25</f>
        <v>#REF!</v>
      </c>
      <c r="J31" s="91" t="e">
        <f t="shared" si="0"/>
        <v>#REF!</v>
      </c>
      <c r="M31" s="66"/>
    </row>
    <row r="32" spans="1:13" ht="13.5" customHeight="1" x14ac:dyDescent="0.2">
      <c r="A32" s="65"/>
      <c r="B32" s="120" t="str">
        <f>""&amp;Deflatores!B26</f>
        <v>Atualização de Dados sem Consulta Prévia</v>
      </c>
      <c r="C32" s="120"/>
      <c r="D32" s="10" t="str">
        <f>""&amp;Deflatores!G26</f>
        <v>ADS</v>
      </c>
      <c r="E32" s="87" t="e">
        <f>IF(D32="","",COUNTIF(Funções!#REF!,D32))</f>
        <v>#REF!</v>
      </c>
      <c r="F32" s="88" t="e">
        <f>SUMIF(Funções!#REF!,Deflatores!G26,Funções!#REF!)</f>
        <v>#REF!</v>
      </c>
      <c r="G32" s="89">
        <f>IF(ISBLANK(Deflatores!H26),"",Deflatores!H26)</f>
        <v>1</v>
      </c>
      <c r="H32" s="88" t="str">
        <f>IF(ISBLANK(Deflatores!I26),"",Deflatores!I26)</f>
        <v/>
      </c>
      <c r="I32" s="90" t="e">
        <f>Deflatores!K26</f>
        <v>#REF!</v>
      </c>
      <c r="J32" s="91" t="e">
        <f t="shared" si="0"/>
        <v>#REF!</v>
      </c>
      <c r="M32" s="66"/>
    </row>
    <row r="33" spans="1:13" ht="13.5" customHeight="1" x14ac:dyDescent="0.2">
      <c r="A33" s="65"/>
      <c r="B33" s="120" t="str">
        <f>""&amp;Deflatores!B27</f>
        <v>Consulta Prévia sem Atualização</v>
      </c>
      <c r="C33" s="120"/>
      <c r="D33" s="10" t="str">
        <f>""&amp;Deflatores!G27</f>
        <v>CPA</v>
      </c>
      <c r="E33" s="87" t="e">
        <f>IF(D33="","",COUNTIF(Funções!#REF!,D33))</f>
        <v>#REF!</v>
      </c>
      <c r="F33" s="88" t="e">
        <f>SUMIF(Funções!#REF!,Deflatores!G27,Funções!#REF!)</f>
        <v>#REF!</v>
      </c>
      <c r="G33" s="89">
        <f>IF(ISBLANK(Deflatores!H27),"",Deflatores!H27)</f>
        <v>1</v>
      </c>
      <c r="H33" s="88" t="str">
        <f>IF(ISBLANK(Deflatores!I27),"",Deflatores!I27)</f>
        <v/>
      </c>
      <c r="I33" s="90" t="e">
        <f>Deflatores!K27</f>
        <v>#REF!</v>
      </c>
      <c r="J33" s="91" t="e">
        <f t="shared" si="0"/>
        <v>#REF!</v>
      </c>
      <c r="M33" s="66"/>
    </row>
    <row r="34" spans="1:13" ht="13.5" customHeight="1" x14ac:dyDescent="0.2">
      <c r="A34" s="65"/>
      <c r="B34" s="120" t="str">
        <f>""&amp;Deflatores!B28</f>
        <v>Atualização de Dados com Consulta Prévia</v>
      </c>
      <c r="C34" s="120"/>
      <c r="D34" s="10" t="str">
        <f>""&amp;Deflatores!G28</f>
        <v>ADC</v>
      </c>
      <c r="E34" s="87" t="e">
        <f>IF(D34="","",COUNTIF(Funções!#REF!,D34))</f>
        <v>#REF!</v>
      </c>
      <c r="F34" s="88" t="e">
        <f>SUMIF(Funções!#REF!,Deflatores!G28,Funções!#REF!)</f>
        <v>#REF!</v>
      </c>
      <c r="G34" s="89">
        <f>IF(ISBLANK(Deflatores!H28),"",Deflatores!H28)</f>
        <v>0.6</v>
      </c>
      <c r="H34" s="88" t="str">
        <f>IF(ISBLANK(Deflatores!I28),"",Deflatores!I28)</f>
        <v/>
      </c>
      <c r="I34" s="90" t="e">
        <f>Deflatores!K28</f>
        <v>#REF!</v>
      </c>
      <c r="J34" s="91" t="e">
        <f t="shared" si="0"/>
        <v>#REF!</v>
      </c>
      <c r="M34" s="66"/>
    </row>
    <row r="35" spans="1:13" ht="13.5" customHeight="1" x14ac:dyDescent="0.2">
      <c r="A35" s="65"/>
      <c r="B35" s="120" t="str">
        <f>""&amp;Deflatores!B29</f>
        <v>Apuração Especial – Geração de Relatórios</v>
      </c>
      <c r="C35" s="120"/>
      <c r="D35" s="10" t="str">
        <f>""&amp;Deflatores!G29</f>
        <v>AGR</v>
      </c>
      <c r="E35" s="87" t="e">
        <f>IF(D35="","",COUNTIF(Funções!#REF!,D35))</f>
        <v>#REF!</v>
      </c>
      <c r="F35" s="88" t="e">
        <f>SUMIF(Funções!#REF!,Deflatores!G29,Funções!#REF!)</f>
        <v>#REF!</v>
      </c>
      <c r="G35" s="89">
        <f>IF(ISBLANK(Deflatores!H29),"",Deflatores!H29)</f>
        <v>1</v>
      </c>
      <c r="H35" s="88" t="str">
        <f>IF(ISBLANK(Deflatores!I29),"",Deflatores!I29)</f>
        <v/>
      </c>
      <c r="I35" s="90" t="e">
        <f>Deflatores!K29</f>
        <v>#REF!</v>
      </c>
      <c r="J35" s="91" t="e">
        <f t="shared" si="0"/>
        <v>#REF!</v>
      </c>
      <c r="M35" s="66"/>
    </row>
    <row r="36" spans="1:13" ht="13.5" customHeight="1" x14ac:dyDescent="0.2">
      <c r="A36" s="65"/>
      <c r="B36" s="120" t="str">
        <f>""&amp;Deflatores!B30</f>
        <v>Apuração Especial – Reexecução</v>
      </c>
      <c r="C36" s="120"/>
      <c r="D36" s="10" t="str">
        <f>""&amp;Deflatores!G30</f>
        <v>AER</v>
      </c>
      <c r="E36" s="87" t="e">
        <f>IF(D36="","",COUNTIF(Funções!#REF!,D36))</f>
        <v>#REF!</v>
      </c>
      <c r="F36" s="88" t="e">
        <f>SUMIF(Funções!#REF!,Deflatores!G30,Funções!#REF!)</f>
        <v>#REF!</v>
      </c>
      <c r="G36" s="89">
        <f>IF(ISBLANK(Deflatores!H30),"",Deflatores!H30)</f>
        <v>0.1</v>
      </c>
      <c r="H36" s="88" t="str">
        <f>IF(ISBLANK(Deflatores!I30),"",Deflatores!I30)</f>
        <v/>
      </c>
      <c r="I36" s="90" t="e">
        <f>Deflatores!K30</f>
        <v>#REF!</v>
      </c>
      <c r="J36" s="91" t="e">
        <f t="shared" si="0"/>
        <v>#REF!</v>
      </c>
      <c r="M36" s="66"/>
    </row>
    <row r="37" spans="1:13" ht="13.5" customHeight="1" x14ac:dyDescent="0.2">
      <c r="A37" s="65"/>
      <c r="B37" s="120" t="str">
        <f>""&amp;Deflatores!B31</f>
        <v>Atualização de Dados</v>
      </c>
      <c r="C37" s="120"/>
      <c r="D37" s="10" t="str">
        <f>""&amp;Deflatores!G31</f>
        <v>ATD</v>
      </c>
      <c r="E37" s="87" t="e">
        <f>IF(D37="","",COUNTIF(Funções!#REF!,D37))</f>
        <v>#REF!</v>
      </c>
      <c r="F37" s="88" t="e">
        <f>SUMIF(Funções!#REF!,Deflatores!G31,Funções!#REF!)</f>
        <v>#REF!</v>
      </c>
      <c r="G37" s="89">
        <f>IF(ISBLANK(Deflatores!H31),"",Deflatores!H31)</f>
        <v>0.1</v>
      </c>
      <c r="H37" s="88" t="str">
        <f>IF(ISBLANK(Deflatores!I31),"",Deflatores!I31)</f>
        <v/>
      </c>
      <c r="I37" s="90" t="e">
        <f>Deflatores!K31</f>
        <v>#REF!</v>
      </c>
      <c r="J37" s="91" t="e">
        <f t="shared" si="0"/>
        <v>#REF!</v>
      </c>
      <c r="M37" s="66"/>
    </row>
    <row r="38" spans="1:13" ht="13.5" customHeight="1" x14ac:dyDescent="0.2">
      <c r="A38" s="65"/>
      <c r="B38" s="120" t="str">
        <f>""&amp;Deflatores!B32</f>
        <v>Manutenção de Documentação de Sistemas Legados</v>
      </c>
      <c r="C38" s="120"/>
      <c r="D38" s="10" t="str">
        <f>""&amp;Deflatores!G32</f>
        <v>MSL</v>
      </c>
      <c r="E38" s="87" t="e">
        <f>IF(D38="","",COUNTIF(Funções!#REF!,D38))</f>
        <v>#REF!</v>
      </c>
      <c r="F38" s="88" t="e">
        <f>SUMIF(Funções!#REF!,Deflatores!G32,Funções!#REF!)</f>
        <v>#REF!</v>
      </c>
      <c r="G38" s="89">
        <f>IF(ISBLANK(Deflatores!H32),"",Deflatores!H32)</f>
        <v>0.25</v>
      </c>
      <c r="H38" s="88" t="str">
        <f>IF(ISBLANK(Deflatores!I32),"",Deflatores!I32)</f>
        <v/>
      </c>
      <c r="I38" s="90" t="e">
        <f>Deflatores!K32</f>
        <v>#REF!</v>
      </c>
      <c r="J38" s="91" t="e">
        <f>IF($L$11&lt;&gt;0,I38/$L$11,"")</f>
        <v>#REF!</v>
      </c>
      <c r="M38" s="66"/>
    </row>
    <row r="39" spans="1:13" ht="13.5" customHeight="1" x14ac:dyDescent="0.2">
      <c r="A39" s="65"/>
      <c r="B39" s="120" t="str">
        <f>""&amp;Deflatores!B33</f>
        <v>Verificação de Erros (Sem Documentação de Teste existente)</v>
      </c>
      <c r="C39" s="120"/>
      <c r="D39" s="10" t="str">
        <f>""&amp;Deflatores!G33</f>
        <v>VES</v>
      </c>
      <c r="E39" s="87" t="e">
        <f>IF(D39="","",COUNTIF(Funções!#REF!,D39))</f>
        <v>#REF!</v>
      </c>
      <c r="F39" s="88" t="e">
        <f>SUMIF(Funções!#REF!,Deflatores!G33,Funções!#REF!)</f>
        <v>#REF!</v>
      </c>
      <c r="G39" s="89">
        <f>IF(ISBLANK(Deflatores!H33),"",Deflatores!H33)</f>
        <v>0.2</v>
      </c>
      <c r="H39" s="88" t="str">
        <f>IF(ISBLANK(Deflatores!I33),"",Deflatores!I33)</f>
        <v/>
      </c>
      <c r="I39" s="90" t="e">
        <f>Deflatores!K33</f>
        <v>#REF!</v>
      </c>
      <c r="J39" s="91" t="e">
        <f>IF($L$11&lt;&gt;0,I39/$L$11,"")</f>
        <v>#REF!</v>
      </c>
      <c r="M39" s="66"/>
    </row>
    <row r="40" spans="1:13" ht="13.5" customHeight="1" x14ac:dyDescent="0.2">
      <c r="A40" s="65"/>
      <c r="B40" s="120" t="str">
        <f>""&amp;Deflatores!B34</f>
        <v>Verificação de Erros (Com Documentação de Teste existente)</v>
      </c>
      <c r="C40" s="120"/>
      <c r="D40" s="10" t="str">
        <f>""&amp;Deflatores!G34</f>
        <v>VEC</v>
      </c>
      <c r="E40" s="87" t="e">
        <f>IF(D40="","",COUNTIF(Funções!#REF!,D40))</f>
        <v>#REF!</v>
      </c>
      <c r="F40" s="88" t="e">
        <f>SUMIF(Funções!#REF!,Deflatores!G34,Funções!#REF!)</f>
        <v>#REF!</v>
      </c>
      <c r="G40" s="89">
        <f>IF(ISBLANK(Deflatores!H34),"",Deflatores!H34)</f>
        <v>0.15</v>
      </c>
      <c r="H40" s="88" t="str">
        <f>IF(ISBLANK(Deflatores!I34),"",Deflatores!I34)</f>
        <v/>
      </c>
      <c r="I40" s="90" t="e">
        <f>Deflatores!K34</f>
        <v>#REF!</v>
      </c>
      <c r="J40" s="91" t="e">
        <f>IF($L$11&lt;&gt;0,I40/$L$11,"")</f>
        <v>#REF!</v>
      </c>
      <c r="M40" s="66"/>
    </row>
    <row r="41" spans="1:13" ht="13.5" customHeight="1" x14ac:dyDescent="0.2">
      <c r="A41" s="65"/>
      <c r="B41" s="120" t="str">
        <f>""&amp;Deflatores!B35</f>
        <v>Pontos de Função de Teste</v>
      </c>
      <c r="C41" s="120"/>
      <c r="D41" s="10" t="str">
        <f>""&amp;Deflatores!G35</f>
        <v>PFT</v>
      </c>
      <c r="E41" s="87" t="e">
        <f>IF(D41="","",COUNTIF(Funções!#REF!,D41))</f>
        <v>#REF!</v>
      </c>
      <c r="F41" s="88" t="e">
        <f>SUMIF(Funções!#REF!,Deflatores!G35,Funções!#REF!)</f>
        <v>#REF!</v>
      </c>
      <c r="G41" s="89">
        <f>IF(ISBLANK(Deflatores!H35),"",Deflatores!H35)</f>
        <v>0.15</v>
      </c>
      <c r="H41" s="88" t="str">
        <f>IF(ISBLANK(Deflatores!I35),"",Deflatores!I35)</f>
        <v/>
      </c>
      <c r="I41" s="90" t="e">
        <f>Deflatores!K35</f>
        <v>#REF!</v>
      </c>
      <c r="J41" s="91" t="e">
        <f>IF($L$11&lt;&gt;0,I41/$L$11,"")</f>
        <v>#REF!</v>
      </c>
      <c r="M41" s="66"/>
    </row>
    <row r="42" spans="1:13" ht="13.5" customHeight="1" x14ac:dyDescent="0.2">
      <c r="A42" s="65"/>
      <c r="B42" s="120" t="str">
        <f>""&amp;Deflatores!B36</f>
        <v>Componente Interno Reusável</v>
      </c>
      <c r="C42" s="120"/>
      <c r="D42" s="10" t="str">
        <f>""&amp;Deflatores!G36</f>
        <v>CIR</v>
      </c>
      <c r="E42" s="87" t="e">
        <f>IF(D42="","",COUNTIF(Funções!#REF!,D42))</f>
        <v>#REF!</v>
      </c>
      <c r="F42" s="88" t="e">
        <f>SUMIF(Funções!#REF!,Deflatores!G36,Funções!#REF!)</f>
        <v>#REF!</v>
      </c>
      <c r="G42" s="89">
        <f>IF(ISBLANK(Deflatores!H36),"",Deflatores!H36)</f>
        <v>1</v>
      </c>
      <c r="H42" s="88" t="str">
        <f>IF(ISBLANK(Deflatores!I36),"",Deflatores!I36)</f>
        <v/>
      </c>
      <c r="I42" s="90" t="e">
        <f>Deflatores!K36</f>
        <v>#REF!</v>
      </c>
      <c r="J42" s="91" t="e">
        <f t="shared" si="0"/>
        <v>#REF!</v>
      </c>
      <c r="M42" s="66"/>
    </row>
    <row r="43" spans="1:13" ht="13.5" customHeight="1" x14ac:dyDescent="0.2">
      <c r="A43" s="65"/>
      <c r="B43" s="120" t="str">
        <f>""&amp;Deflatores!B37</f>
        <v/>
      </c>
      <c r="C43" s="120"/>
      <c r="D43" s="10" t="str">
        <f>""&amp;Deflatores!G37</f>
        <v xml:space="preserve">           .</v>
      </c>
      <c r="E43" s="87" t="e">
        <f>IF(D43="","",COUNTIF(Funções!#REF!,D43))</f>
        <v>#REF!</v>
      </c>
      <c r="F43" s="88" t="e">
        <f>SUMIF(Funções!#REF!,Deflatores!G37,Funções!#REF!)</f>
        <v>#REF!</v>
      </c>
      <c r="G43" s="89" t="str">
        <f>IF(ISBLANK(Deflatores!H37),"",Deflatores!H37)</f>
        <v/>
      </c>
      <c r="H43" s="88" t="str">
        <f>IF(ISBLANK(Deflatores!I37),"",Deflatores!I37)</f>
        <v/>
      </c>
      <c r="I43" s="90" t="e">
        <f>Deflatores!K37</f>
        <v>#REF!</v>
      </c>
      <c r="J43" s="91" t="e">
        <f t="shared" si="0"/>
        <v>#REF!</v>
      </c>
      <c r="M43" s="66"/>
    </row>
    <row r="44" spans="1:13" ht="13.5" customHeight="1" x14ac:dyDescent="0.2">
      <c r="A44" s="65"/>
      <c r="B44" s="120" t="str">
        <f>""&amp;Deflatores!B38</f>
        <v/>
      </c>
      <c r="C44" s="120"/>
      <c r="D44" s="10" t="str">
        <f>""&amp;Deflatores!G38</f>
        <v xml:space="preserve">           .</v>
      </c>
      <c r="E44" s="87" t="e">
        <f>IF(D44="","",COUNTIF(Funções!#REF!,D44))</f>
        <v>#REF!</v>
      </c>
      <c r="F44" s="88" t="e">
        <f>SUMIF(Funções!#REF!,Deflatores!G38,Funções!#REF!)</f>
        <v>#REF!</v>
      </c>
      <c r="G44" s="89" t="str">
        <f>IF(ISBLANK(Deflatores!H38),"",Deflatores!H38)</f>
        <v/>
      </c>
      <c r="H44" s="88" t="str">
        <f>IF(ISBLANK(Deflatores!I38),"",Deflatores!I38)</f>
        <v/>
      </c>
      <c r="I44" s="90" t="e">
        <f>Deflatores!K38</f>
        <v>#REF!</v>
      </c>
      <c r="J44" s="91" t="e">
        <f t="shared" si="0"/>
        <v>#REF!</v>
      </c>
      <c r="M44" s="66"/>
    </row>
    <row r="45" spans="1:13" ht="13.5" x14ac:dyDescent="0.25">
      <c r="A45" s="65"/>
      <c r="B45" s="79"/>
      <c r="C45" s="44"/>
      <c r="D45" s="67"/>
      <c r="E45" s="63"/>
      <c r="F45" s="63"/>
      <c r="G45" s="28"/>
      <c r="H45" s="80"/>
      <c r="I45" s="81"/>
      <c r="M45" s="66"/>
    </row>
    <row r="46" spans="1:13" ht="13.5" customHeight="1" x14ac:dyDescent="0.25">
      <c r="A46" s="65"/>
      <c r="B46" s="168" t="s">
        <v>291</v>
      </c>
      <c r="C46" s="168"/>
      <c r="D46" s="168"/>
      <c r="E46" s="29" t="s">
        <v>256</v>
      </c>
      <c r="F46" s="30"/>
      <c r="G46" s="28"/>
      <c r="H46" s="29" t="s">
        <v>288</v>
      </c>
      <c r="I46" s="29" t="s">
        <v>8</v>
      </c>
      <c r="J46" s="29" t="s">
        <v>289</v>
      </c>
      <c r="M46" s="66"/>
    </row>
    <row r="47" spans="1:13" ht="13.5" customHeight="1" x14ac:dyDescent="0.25">
      <c r="A47" s="65"/>
      <c r="B47" s="120" t="str">
        <f>""&amp;Deflatores!B42</f>
        <v>Páginas Estáticas</v>
      </c>
      <c r="C47" s="120"/>
      <c r="D47" s="22" t="str">
        <f>""&amp;Deflatores!G42</f>
        <v>PAG</v>
      </c>
      <c r="E47" s="23" t="e">
        <f>Deflatores!J42</f>
        <v>#REF!</v>
      </c>
      <c r="H47" s="24">
        <f>IF(ISBLANK(Deflatores!H42),"",Deflatores!H42)</f>
        <v>0.6</v>
      </c>
      <c r="I47" s="24" t="e">
        <f t="shared" ref="I47:I69" si="1">IF(ISNUMBER(H47),E47*H47,"")</f>
        <v>#REF!</v>
      </c>
      <c r="J47" s="25" t="str">
        <f t="shared" ref="J47:J69" si="2">IF(ISNUMBER(I47),IF($L$11&lt;&gt;0,I47/$L$11,""),"")</f>
        <v/>
      </c>
      <c r="M47" s="66"/>
    </row>
    <row r="48" spans="1:13" ht="13.5" customHeight="1" x14ac:dyDescent="0.25">
      <c r="A48" s="65"/>
      <c r="B48" s="120" t="str">
        <f>""&amp;Deflatores!B43</f>
        <v>Manutenção Cosmética (atrelada a algo não funcional)</v>
      </c>
      <c r="C48" s="120"/>
      <c r="D48" s="22" t="str">
        <f>""&amp;Deflatores!G43</f>
        <v>COSNF</v>
      </c>
      <c r="E48" s="23" t="e">
        <f>Deflatores!J43</f>
        <v>#REF!</v>
      </c>
      <c r="H48" s="24">
        <f>IF(ISBLANK(Deflatores!H43),"",Deflatores!H43)</f>
        <v>0.6</v>
      </c>
      <c r="I48" s="24" t="e">
        <f t="shared" si="1"/>
        <v>#REF!</v>
      </c>
      <c r="J48" s="25" t="str">
        <f t="shared" si="2"/>
        <v/>
      </c>
      <c r="M48" s="66"/>
    </row>
    <row r="49" spans="1:13" ht="13.5" x14ac:dyDescent="0.25">
      <c r="A49" s="65"/>
      <c r="B49" s="120" t="str">
        <f>""&amp;Deflatores!B44</f>
        <v>Dados de Código</v>
      </c>
      <c r="C49" s="120"/>
      <c r="D49" s="22" t="str">
        <f>""&amp;Deflatores!G44</f>
        <v>DC</v>
      </c>
      <c r="E49" s="23" t="e">
        <f>Deflatores!J44</f>
        <v>#REF!</v>
      </c>
      <c r="H49" s="24">
        <f>IF(ISBLANK(Deflatores!H44),"",Deflatores!H44)</f>
        <v>0</v>
      </c>
      <c r="I49" s="24" t="e">
        <f t="shared" si="1"/>
        <v>#REF!</v>
      </c>
      <c r="J49" s="25" t="str">
        <f t="shared" si="2"/>
        <v/>
      </c>
      <c r="M49" s="66"/>
    </row>
    <row r="50" spans="1:13" ht="13.5" x14ac:dyDescent="0.25">
      <c r="A50" s="65"/>
      <c r="B50" s="120" t="str">
        <f>""&amp;Deflatores!B45</f>
        <v/>
      </c>
      <c r="C50" s="120"/>
      <c r="D50" s="22" t="str">
        <f>""&amp;Deflatores!G45</f>
        <v xml:space="preserve">           .</v>
      </c>
      <c r="E50" s="23" t="e">
        <f>Deflatores!J45</f>
        <v>#REF!</v>
      </c>
      <c r="H50" s="24" t="str">
        <f>IF(ISBLANK(Deflatores!H45),"",Deflatores!H45)</f>
        <v/>
      </c>
      <c r="I50" s="24" t="str">
        <f t="shared" si="1"/>
        <v/>
      </c>
      <c r="J50" s="25" t="str">
        <f t="shared" si="2"/>
        <v/>
      </c>
      <c r="M50" s="66"/>
    </row>
    <row r="51" spans="1:13" ht="13.5" x14ac:dyDescent="0.25">
      <c r="A51" s="65"/>
      <c r="B51" s="120" t="str">
        <f>""&amp;Deflatores!B46</f>
        <v/>
      </c>
      <c r="C51" s="120"/>
      <c r="D51" s="22" t="str">
        <f>""&amp;Deflatores!G46</f>
        <v xml:space="preserve">           .</v>
      </c>
      <c r="E51" s="23" t="e">
        <f>Deflatores!J46</f>
        <v>#REF!</v>
      </c>
      <c r="H51" s="24" t="str">
        <f>IF(ISBLANK(Deflatores!H46),"",Deflatores!H46)</f>
        <v/>
      </c>
      <c r="I51" s="24" t="str">
        <f t="shared" si="1"/>
        <v/>
      </c>
      <c r="J51" s="25" t="str">
        <f t="shared" si="2"/>
        <v/>
      </c>
      <c r="M51" s="66"/>
    </row>
    <row r="52" spans="1:13" ht="13.5" x14ac:dyDescent="0.25">
      <c r="A52" s="65"/>
      <c r="B52" s="120" t="str">
        <f>""&amp;Deflatores!B47</f>
        <v/>
      </c>
      <c r="C52" s="120"/>
      <c r="D52" s="22" t="str">
        <f>""&amp;Deflatores!G47</f>
        <v xml:space="preserve">           .</v>
      </c>
      <c r="E52" s="23" t="e">
        <f>Deflatores!J47</f>
        <v>#REF!</v>
      </c>
      <c r="H52" s="24" t="str">
        <f>IF(ISBLANK(Deflatores!H47),"",Deflatores!H47)</f>
        <v/>
      </c>
      <c r="I52" s="24" t="str">
        <f t="shared" si="1"/>
        <v/>
      </c>
      <c r="J52" s="25" t="str">
        <f t="shared" si="2"/>
        <v/>
      </c>
      <c r="M52" s="66"/>
    </row>
    <row r="53" spans="1:13" ht="13.5" x14ac:dyDescent="0.25">
      <c r="A53" s="65"/>
      <c r="B53" s="120" t="str">
        <f>""&amp;Deflatores!B48</f>
        <v/>
      </c>
      <c r="C53" s="120"/>
      <c r="D53" s="22" t="str">
        <f>""&amp;Deflatores!G48</f>
        <v xml:space="preserve">           .</v>
      </c>
      <c r="E53" s="23" t="e">
        <f>Deflatores!J48</f>
        <v>#REF!</v>
      </c>
      <c r="H53" s="24" t="str">
        <f>IF(ISBLANK(Deflatores!H48),"",Deflatores!H48)</f>
        <v/>
      </c>
      <c r="I53" s="24" t="str">
        <f t="shared" si="1"/>
        <v/>
      </c>
      <c r="J53" s="25" t="str">
        <f t="shared" si="2"/>
        <v/>
      </c>
      <c r="M53" s="66"/>
    </row>
    <row r="54" spans="1:13" ht="13.5" x14ac:dyDescent="0.25">
      <c r="A54" s="65"/>
      <c r="B54" s="120" t="str">
        <f>""&amp;Deflatores!B49</f>
        <v/>
      </c>
      <c r="C54" s="120"/>
      <c r="D54" s="22" t="str">
        <f>""&amp;Deflatores!G49</f>
        <v xml:space="preserve">           .</v>
      </c>
      <c r="E54" s="23" t="e">
        <f>Deflatores!J49</f>
        <v>#REF!</v>
      </c>
      <c r="H54" s="24" t="str">
        <f>IF(ISBLANK(Deflatores!H49),"",Deflatores!H49)</f>
        <v/>
      </c>
      <c r="I54" s="24" t="str">
        <f t="shared" si="1"/>
        <v/>
      </c>
      <c r="J54" s="25" t="str">
        <f t="shared" si="2"/>
        <v/>
      </c>
      <c r="M54" s="66"/>
    </row>
    <row r="55" spans="1:13" ht="13.5" x14ac:dyDescent="0.25">
      <c r="A55" s="65"/>
      <c r="B55" s="120" t="str">
        <f>""&amp;Deflatores!B50</f>
        <v/>
      </c>
      <c r="C55" s="120"/>
      <c r="D55" s="22" t="str">
        <f>""&amp;Deflatores!G50</f>
        <v xml:space="preserve">           .</v>
      </c>
      <c r="E55" s="23" t="e">
        <f>Deflatores!J50</f>
        <v>#REF!</v>
      </c>
      <c r="H55" s="24" t="str">
        <f>IF(ISBLANK(Deflatores!H50),"",Deflatores!H50)</f>
        <v/>
      </c>
      <c r="I55" s="24" t="str">
        <f t="shared" si="1"/>
        <v/>
      </c>
      <c r="J55" s="25" t="str">
        <f t="shared" si="2"/>
        <v/>
      </c>
      <c r="M55" s="66"/>
    </row>
    <row r="56" spans="1:13" ht="13.5" x14ac:dyDescent="0.25">
      <c r="A56" s="65"/>
      <c r="B56" s="120" t="str">
        <f>""&amp;Deflatores!B51</f>
        <v/>
      </c>
      <c r="C56" s="120"/>
      <c r="D56" s="22" t="str">
        <f>""&amp;Deflatores!G51</f>
        <v xml:space="preserve">           .</v>
      </c>
      <c r="E56" s="23" t="e">
        <f>Deflatores!J51</f>
        <v>#REF!</v>
      </c>
      <c r="H56" s="24" t="str">
        <f>IF(ISBLANK(Deflatores!H51),"",Deflatores!H51)</f>
        <v/>
      </c>
      <c r="I56" s="24" t="str">
        <f t="shared" si="1"/>
        <v/>
      </c>
      <c r="J56" s="25" t="str">
        <f t="shared" si="2"/>
        <v/>
      </c>
      <c r="M56" s="66"/>
    </row>
    <row r="57" spans="1:13" ht="13.5" x14ac:dyDescent="0.25">
      <c r="A57" s="65"/>
      <c r="B57" s="120" t="str">
        <f>""&amp;Deflatores!B52</f>
        <v/>
      </c>
      <c r="C57" s="120"/>
      <c r="D57" s="22" t="str">
        <f>""&amp;Deflatores!G52</f>
        <v xml:space="preserve">           .</v>
      </c>
      <c r="E57" s="23" t="e">
        <f>Deflatores!J52</f>
        <v>#REF!</v>
      </c>
      <c r="H57" s="24" t="str">
        <f>IF(ISBLANK(Deflatores!H52),"",Deflatores!H52)</f>
        <v/>
      </c>
      <c r="I57" s="24" t="str">
        <f t="shared" si="1"/>
        <v/>
      </c>
      <c r="J57" s="25" t="str">
        <f t="shared" si="2"/>
        <v/>
      </c>
      <c r="M57" s="66"/>
    </row>
    <row r="58" spans="1:13" ht="13.5" x14ac:dyDescent="0.25">
      <c r="A58" s="65"/>
      <c r="B58" s="120" t="str">
        <f>""&amp;Deflatores!B53</f>
        <v/>
      </c>
      <c r="C58" s="120"/>
      <c r="D58" s="22" t="str">
        <f>""&amp;Deflatores!G53</f>
        <v xml:space="preserve">           .</v>
      </c>
      <c r="E58" s="23" t="e">
        <f>Deflatores!J53</f>
        <v>#REF!</v>
      </c>
      <c r="H58" s="24" t="str">
        <f>IF(ISBLANK(Deflatores!H53),"",Deflatores!H53)</f>
        <v/>
      </c>
      <c r="I58" s="24" t="str">
        <f t="shared" si="1"/>
        <v/>
      </c>
      <c r="J58" s="25" t="str">
        <f t="shared" si="2"/>
        <v/>
      </c>
      <c r="M58" s="66"/>
    </row>
    <row r="59" spans="1:13" ht="13.5" x14ac:dyDescent="0.25">
      <c r="A59" s="65"/>
      <c r="B59" s="120" t="str">
        <f>""&amp;Deflatores!B54</f>
        <v/>
      </c>
      <c r="C59" s="120"/>
      <c r="D59" s="22" t="str">
        <f>""&amp;Deflatores!G54</f>
        <v xml:space="preserve">           .</v>
      </c>
      <c r="E59" s="23" t="e">
        <f>Deflatores!J54</f>
        <v>#REF!</v>
      </c>
      <c r="H59" s="24" t="str">
        <f>IF(ISBLANK(Deflatores!H54),"",Deflatores!H54)</f>
        <v/>
      </c>
      <c r="I59" s="24" t="str">
        <f t="shared" si="1"/>
        <v/>
      </c>
      <c r="J59" s="25" t="str">
        <f t="shared" si="2"/>
        <v/>
      </c>
      <c r="M59" s="66"/>
    </row>
    <row r="60" spans="1:13" ht="13.5" x14ac:dyDescent="0.25">
      <c r="A60" s="65"/>
      <c r="B60" s="120" t="str">
        <f>""&amp;Deflatores!B55</f>
        <v/>
      </c>
      <c r="C60" s="120"/>
      <c r="D60" s="22" t="str">
        <f>""&amp;Deflatores!G55</f>
        <v xml:space="preserve">           .</v>
      </c>
      <c r="E60" s="23" t="e">
        <f>Deflatores!J55</f>
        <v>#REF!</v>
      </c>
      <c r="H60" s="24" t="str">
        <f>IF(ISBLANK(Deflatores!H55),"",Deflatores!H55)</f>
        <v/>
      </c>
      <c r="I60" s="24" t="str">
        <f t="shared" si="1"/>
        <v/>
      </c>
      <c r="J60" s="25" t="str">
        <f t="shared" si="2"/>
        <v/>
      </c>
      <c r="M60" s="66"/>
    </row>
    <row r="61" spans="1:13" ht="13.5" x14ac:dyDescent="0.25">
      <c r="A61" s="65"/>
      <c r="B61" s="120" t="str">
        <f>""&amp;Deflatores!B56</f>
        <v/>
      </c>
      <c r="C61" s="120"/>
      <c r="D61" s="22" t="str">
        <f>""&amp;Deflatores!G56</f>
        <v xml:space="preserve">           .</v>
      </c>
      <c r="E61" s="23" t="e">
        <f>Deflatores!J56</f>
        <v>#REF!</v>
      </c>
      <c r="H61" s="24" t="str">
        <f>IF(ISBLANK(Deflatores!H56),"",Deflatores!H56)</f>
        <v/>
      </c>
      <c r="I61" s="24" t="str">
        <f t="shared" si="1"/>
        <v/>
      </c>
      <c r="J61" s="25" t="str">
        <f t="shared" si="2"/>
        <v/>
      </c>
      <c r="M61" s="66"/>
    </row>
    <row r="62" spans="1:13" ht="13.5" x14ac:dyDescent="0.25">
      <c r="A62" s="65"/>
      <c r="B62" s="120" t="str">
        <f>""&amp;Deflatores!B57</f>
        <v/>
      </c>
      <c r="C62" s="120"/>
      <c r="D62" s="22" t="str">
        <f>""&amp;Deflatores!G57</f>
        <v xml:space="preserve">           .</v>
      </c>
      <c r="E62" s="23" t="e">
        <f>Deflatores!J57</f>
        <v>#REF!</v>
      </c>
      <c r="H62" s="24" t="str">
        <f>IF(ISBLANK(Deflatores!H57),"",Deflatores!H57)</f>
        <v/>
      </c>
      <c r="I62" s="24" t="str">
        <f t="shared" si="1"/>
        <v/>
      </c>
      <c r="J62" s="25" t="str">
        <f t="shared" si="2"/>
        <v/>
      </c>
      <c r="M62" s="66"/>
    </row>
    <row r="63" spans="1:13" ht="13.5" x14ac:dyDescent="0.25">
      <c r="A63" s="65"/>
      <c r="B63" s="120" t="str">
        <f>""&amp;Deflatores!B58</f>
        <v/>
      </c>
      <c r="C63" s="120"/>
      <c r="D63" s="22" t="str">
        <f>""&amp;Deflatores!G58</f>
        <v xml:space="preserve">           .</v>
      </c>
      <c r="E63" s="23" t="e">
        <f>Deflatores!J58</f>
        <v>#REF!</v>
      </c>
      <c r="H63" s="24" t="str">
        <f>IF(ISBLANK(Deflatores!H58),"",Deflatores!H58)</f>
        <v/>
      </c>
      <c r="I63" s="24" t="str">
        <f t="shared" si="1"/>
        <v/>
      </c>
      <c r="J63" s="25" t="str">
        <f t="shared" si="2"/>
        <v/>
      </c>
      <c r="M63" s="66"/>
    </row>
    <row r="64" spans="1:13" ht="13.5" x14ac:dyDescent="0.25">
      <c r="A64" s="65"/>
      <c r="B64" s="120" t="str">
        <f>""&amp;Deflatores!B59</f>
        <v/>
      </c>
      <c r="C64" s="120"/>
      <c r="D64" s="22" t="str">
        <f>""&amp;Deflatores!G59</f>
        <v xml:space="preserve">           .</v>
      </c>
      <c r="E64" s="23" t="e">
        <f>Deflatores!J59</f>
        <v>#REF!</v>
      </c>
      <c r="H64" s="24" t="str">
        <f>IF(ISBLANK(Deflatores!H59),"",Deflatores!H59)</f>
        <v/>
      </c>
      <c r="I64" s="24" t="str">
        <f t="shared" si="1"/>
        <v/>
      </c>
      <c r="J64" s="25" t="str">
        <f t="shared" si="2"/>
        <v/>
      </c>
      <c r="M64" s="66"/>
    </row>
    <row r="65" spans="1:13" ht="13.5" x14ac:dyDescent="0.25">
      <c r="A65" s="65"/>
      <c r="B65" s="120" t="str">
        <f>""&amp;Deflatores!B60</f>
        <v/>
      </c>
      <c r="C65" s="120"/>
      <c r="D65" s="22" t="str">
        <f>""&amp;Deflatores!G60</f>
        <v xml:space="preserve">           .</v>
      </c>
      <c r="E65" s="23" t="e">
        <f>Deflatores!J60</f>
        <v>#REF!</v>
      </c>
      <c r="H65" s="24" t="str">
        <f>IF(ISBLANK(Deflatores!H60),"",Deflatores!H60)</f>
        <v/>
      </c>
      <c r="I65" s="24" t="str">
        <f t="shared" si="1"/>
        <v/>
      </c>
      <c r="J65" s="25" t="str">
        <f t="shared" si="2"/>
        <v/>
      </c>
      <c r="M65" s="66"/>
    </row>
    <row r="66" spans="1:13" ht="13.5" x14ac:dyDescent="0.25">
      <c r="A66" s="65"/>
      <c r="B66" s="120" t="str">
        <f>""&amp;Deflatores!B61</f>
        <v/>
      </c>
      <c r="C66" s="120"/>
      <c r="D66" s="22" t="str">
        <f>""&amp;Deflatores!G61</f>
        <v xml:space="preserve">           .</v>
      </c>
      <c r="E66" s="23" t="e">
        <f>Deflatores!J61</f>
        <v>#REF!</v>
      </c>
      <c r="H66" s="24" t="str">
        <f>IF(ISBLANK(Deflatores!H61),"",Deflatores!H61)</f>
        <v/>
      </c>
      <c r="I66" s="24" t="str">
        <f t="shared" si="1"/>
        <v/>
      </c>
      <c r="J66" s="25" t="str">
        <f t="shared" si="2"/>
        <v/>
      </c>
      <c r="M66" s="66"/>
    </row>
    <row r="67" spans="1:13" ht="13.5" x14ac:dyDescent="0.25">
      <c r="A67" s="65"/>
      <c r="B67" s="120" t="str">
        <f>""&amp;Deflatores!B62</f>
        <v/>
      </c>
      <c r="C67" s="120"/>
      <c r="D67" s="22" t="str">
        <f>""&amp;Deflatores!G62</f>
        <v xml:space="preserve">           .</v>
      </c>
      <c r="E67" s="23" t="e">
        <f>Deflatores!J62</f>
        <v>#REF!</v>
      </c>
      <c r="H67" s="24" t="str">
        <f>IF(ISBLANK(Deflatores!H62),"",Deflatores!H62)</f>
        <v/>
      </c>
      <c r="I67" s="24" t="str">
        <f t="shared" si="1"/>
        <v/>
      </c>
      <c r="J67" s="25" t="str">
        <f t="shared" si="2"/>
        <v/>
      </c>
      <c r="M67" s="66"/>
    </row>
    <row r="68" spans="1:13" ht="13.5" x14ac:dyDescent="0.25">
      <c r="A68" s="65"/>
      <c r="B68" s="120" t="str">
        <f>""&amp;Deflatores!B63</f>
        <v/>
      </c>
      <c r="C68" s="120"/>
      <c r="D68" s="22" t="str">
        <f>""&amp;Deflatores!G63</f>
        <v xml:space="preserve">           .</v>
      </c>
      <c r="E68" s="23" t="e">
        <f>Deflatores!J63</f>
        <v>#REF!</v>
      </c>
      <c r="H68" s="24" t="str">
        <f>IF(ISBLANK(Deflatores!H63),"",Deflatores!H63)</f>
        <v/>
      </c>
      <c r="I68" s="24" t="str">
        <f t="shared" si="1"/>
        <v/>
      </c>
      <c r="J68" s="25" t="str">
        <f t="shared" si="2"/>
        <v/>
      </c>
      <c r="M68" s="66"/>
    </row>
    <row r="69" spans="1:13" ht="13.5" x14ac:dyDescent="0.25">
      <c r="A69" s="65"/>
      <c r="B69" s="120" t="str">
        <f>""&amp;Deflatores!B64</f>
        <v/>
      </c>
      <c r="C69" s="120"/>
      <c r="D69" s="22" t="str">
        <f>""&amp;Deflatores!G64</f>
        <v xml:space="preserve">           .</v>
      </c>
      <c r="E69" s="23" t="e">
        <f>Deflatores!J64</f>
        <v>#REF!</v>
      </c>
      <c r="F69" s="28"/>
      <c r="G69" s="28"/>
      <c r="H69" s="24" t="str">
        <f>IF(ISBLANK(Deflatores!H64),"",Deflatores!H64)</f>
        <v/>
      </c>
      <c r="I69" s="24" t="str">
        <f t="shared" si="1"/>
        <v/>
      </c>
      <c r="J69" s="25" t="str">
        <f t="shared" si="2"/>
        <v/>
      </c>
      <c r="M69" s="66"/>
    </row>
    <row r="70" spans="1:13" ht="13.5" x14ac:dyDescent="0.25">
      <c r="A70" s="68"/>
      <c r="B70" s="69"/>
      <c r="C70" s="70"/>
      <c r="D70" s="71"/>
      <c r="E70" s="72"/>
      <c r="F70" s="73"/>
      <c r="G70" s="73"/>
      <c r="H70" s="74"/>
      <c r="I70" s="75"/>
      <c r="J70" s="70"/>
      <c r="K70" s="70"/>
      <c r="L70" s="70"/>
      <c r="M70" s="76"/>
    </row>
  </sheetData>
  <sheetProtection selectLockedCells="1" selectUnlockedCells="1"/>
  <mergeCells count="68">
    <mergeCell ref="B67:C67"/>
    <mergeCell ref="B68:C68"/>
    <mergeCell ref="B69:C69"/>
    <mergeCell ref="B61:C61"/>
    <mergeCell ref="B62:C62"/>
    <mergeCell ref="B63:C63"/>
    <mergeCell ref="B64:C64"/>
    <mergeCell ref="B65:C65"/>
    <mergeCell ref="B66:C66"/>
    <mergeCell ref="B60:C60"/>
    <mergeCell ref="B49:C49"/>
    <mergeCell ref="B50:C50"/>
    <mergeCell ref="B51:C51"/>
    <mergeCell ref="B52:C52"/>
    <mergeCell ref="B53:C53"/>
    <mergeCell ref="B54:C54"/>
    <mergeCell ref="B55:C55"/>
    <mergeCell ref="B56:C56"/>
    <mergeCell ref="B57:C57"/>
    <mergeCell ref="B58:C58"/>
    <mergeCell ref="B59:C59"/>
    <mergeCell ref="B47:C47"/>
    <mergeCell ref="B48:C48"/>
    <mergeCell ref="B36:C36"/>
    <mergeCell ref="B37:C37"/>
    <mergeCell ref="B42:C42"/>
    <mergeCell ref="B43:C43"/>
    <mergeCell ref="B44:C44"/>
    <mergeCell ref="B46:D46"/>
    <mergeCell ref="B38:C38"/>
    <mergeCell ref="B39:C39"/>
    <mergeCell ref="B40:C40"/>
    <mergeCell ref="B41:C41"/>
    <mergeCell ref="B35:C35"/>
    <mergeCell ref="B23:C23"/>
    <mergeCell ref="B24:C24"/>
    <mergeCell ref="B25:C25"/>
    <mergeCell ref="B26:C26"/>
    <mergeCell ref="B27:C27"/>
    <mergeCell ref="B28:C28"/>
    <mergeCell ref="B30:C30"/>
    <mergeCell ref="B31:C31"/>
    <mergeCell ref="B32:C32"/>
    <mergeCell ref="B33:C33"/>
    <mergeCell ref="B34:C34"/>
    <mergeCell ref="B16:C16"/>
    <mergeCell ref="B18:C18"/>
    <mergeCell ref="B19:C19"/>
    <mergeCell ref="B22:C22"/>
    <mergeCell ref="B17:C17"/>
    <mergeCell ref="B21:C21"/>
    <mergeCell ref="B20:C20"/>
    <mergeCell ref="B15:C15"/>
    <mergeCell ref="B29:C29"/>
    <mergeCell ref="A1:M3"/>
    <mergeCell ref="A4:E4"/>
    <mergeCell ref="F4:M4"/>
    <mergeCell ref="A5:E5"/>
    <mergeCell ref="F5:M5"/>
    <mergeCell ref="A6:E6"/>
    <mergeCell ref="F6:M6"/>
    <mergeCell ref="B8:I8"/>
    <mergeCell ref="B9:D9"/>
    <mergeCell ref="B10:C10"/>
    <mergeCell ref="B11:C11"/>
    <mergeCell ref="B12:C12"/>
    <mergeCell ref="B13:C13"/>
    <mergeCell ref="B14:C14"/>
  </mergeCells>
  <pageMargins left="0.78749999999999998" right="0.78749999999999998" top="1.023611111111111" bottom="1.023611111111111" header="0.51180555555555551" footer="0.78749999999999998"/>
  <pageSetup paperSize="9" scale="47" firstPageNumber="0" orientation="portrait" horizontalDpi="300" verticalDpi="300" r:id="rId1"/>
  <headerFooter alignWithMargins="0">
    <oddFooter>&amp;CPágina &amp;P de &amp;N</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90a974b-267b-40a0-ba1d-a7db95a3f3f2">
      <Terms xmlns="http://schemas.microsoft.com/office/infopath/2007/PartnerControls"/>
    </lcf76f155ced4ddcb4097134ff3c332f>
    <TaxCatchAll xmlns="46465ebb-25e2-44df-b623-5e7a76671d7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DA5C3A4A078B24409F4073CEF5E3297D" ma:contentTypeVersion="13" ma:contentTypeDescription="Criar um novo documento." ma:contentTypeScope="" ma:versionID="17a7926fd08b8bfbeaf6b93db5578c4c">
  <xsd:schema xmlns:xsd="http://www.w3.org/2001/XMLSchema" xmlns:xs="http://www.w3.org/2001/XMLSchema" xmlns:p="http://schemas.microsoft.com/office/2006/metadata/properties" xmlns:ns2="46465ebb-25e2-44df-b623-5e7a76671d78" xmlns:ns3="690a974b-267b-40a0-ba1d-a7db95a3f3f2" targetNamespace="http://schemas.microsoft.com/office/2006/metadata/properties" ma:root="true" ma:fieldsID="f3bb002d69340041cc16f3a284402f95" ns2:_="" ns3:_="">
    <xsd:import namespace="46465ebb-25e2-44df-b623-5e7a76671d78"/>
    <xsd:import namespace="690a974b-267b-40a0-ba1d-a7db95a3f3f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465ebb-25e2-44df-b623-5e7a76671d78" elementFormDefault="qualified">
    <xsd:import namespace="http://schemas.microsoft.com/office/2006/documentManagement/types"/>
    <xsd:import namespace="http://schemas.microsoft.com/office/infopath/2007/PartnerControls"/>
    <xsd:element name="SharedWithUsers" ma:index="8"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Partilhado Com" ma:internalName="SharedWithDetails" ma:readOnly="true">
      <xsd:simpleType>
        <xsd:restriction base="dms:Note">
          <xsd:maxLength value="255"/>
        </xsd:restriction>
      </xsd:simpleType>
    </xsd:element>
    <xsd:element name="TaxCatchAll" ma:index="20" nillable="true" ma:displayName="Taxonomy Catch All Column" ma:hidden="true" ma:list="{57b6dc67-11e7-49f0-a9a6-e468f874fa6b}" ma:internalName="TaxCatchAll" ma:showField="CatchAllData" ma:web="46465ebb-25e2-44df-b623-5e7a76671d7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90a974b-267b-40a0-ba1d-a7db95a3f3f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Etiquetas de Imagem" ma:readOnly="false" ma:fieldId="{5cf76f15-5ced-4ddc-b409-7134ff3c332f}" ma:taxonomyMulti="true" ma:sspId="b4910b2a-893c-444d-8c40-1668f6542f92"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AB7C91-D01C-4D07-B9F7-88670943BBD3}">
  <ds:schemaRefs>
    <ds:schemaRef ds:uri="http://schemas.microsoft.com/office/2006/metadata/properties"/>
    <ds:schemaRef ds:uri="http://schemas.microsoft.com/office/infopath/2007/PartnerControls"/>
    <ds:schemaRef ds:uri="690a974b-267b-40a0-ba1d-a7db95a3f3f2"/>
    <ds:schemaRef ds:uri="46465ebb-25e2-44df-b623-5e7a76671d78"/>
  </ds:schemaRefs>
</ds:datastoreItem>
</file>

<file path=customXml/itemProps2.xml><?xml version="1.0" encoding="utf-8"?>
<ds:datastoreItem xmlns:ds="http://schemas.openxmlformats.org/officeDocument/2006/customXml" ds:itemID="{CDE8EA20-719C-46C5-828E-FF20CFC80081}">
  <ds:schemaRefs>
    <ds:schemaRef ds:uri="http://schemas.microsoft.com/sharepoint/v3/contenttype/forms"/>
  </ds:schemaRefs>
</ds:datastoreItem>
</file>

<file path=customXml/itemProps3.xml><?xml version="1.0" encoding="utf-8"?>
<ds:datastoreItem xmlns:ds="http://schemas.openxmlformats.org/officeDocument/2006/customXml" ds:itemID="{B23EE24D-57DC-46DE-B60A-8F3E58334D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465ebb-25e2-44df-b623-5e7a76671d78"/>
    <ds:schemaRef ds:uri="690a974b-267b-40a0-ba1d-a7db95a3f3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4</vt:i4>
      </vt:variant>
    </vt:vector>
  </HeadingPairs>
  <TitlesOfParts>
    <vt:vector size="9" baseType="lpstr">
      <vt:lpstr>Contagem</vt:lpstr>
      <vt:lpstr>Funções</vt:lpstr>
      <vt:lpstr>Deflatores</vt:lpstr>
      <vt:lpstr>Sumário 1</vt:lpstr>
      <vt:lpstr>Sumário 2</vt:lpstr>
      <vt:lpstr>Contagem!Area_de_impressao</vt:lpstr>
      <vt:lpstr>Funções!TiposDeFuncao</vt:lpstr>
      <vt:lpstr>Funções!TiposDeManutencao</vt:lpstr>
      <vt:lpstr>Funções!Titulos_de_impressao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Fatto Consultoria e Sistemas;Jonathas Gomes Marques</dc:creator>
  <cp:keywords/>
  <dc:description/>
  <cp:lastModifiedBy>Luana Alves de Araújo Passos Aguiar</cp:lastModifiedBy>
  <cp:revision/>
  <dcterms:created xsi:type="dcterms:W3CDTF">2015-06-26T19:24:40Z</dcterms:created>
  <dcterms:modified xsi:type="dcterms:W3CDTF">2023-08-11T02:22:50Z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0x010100DA5C3A4A078B24409F4073CEF5E3297D</vt:lpwstr>
  </property>
</Properties>
</file>