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men\Documents\GitHub\JJ_MP3DP_V4_Tuning\Tuning\Califlower Tuning\012824\"/>
    </mc:Choice>
  </mc:AlternateContent>
  <xr:revisionPtr revIDLastSave="0" documentId="8_{79913F59-2A4D-4DCC-9354-EEF3DC2A0594}" xr6:coauthVersionLast="47" xr6:coauthVersionMax="47" xr10:uidLastSave="{00000000-0000-0000-0000-000000000000}"/>
  <workbookProtection workbookAlgorithmName="SHA-512" workbookHashValue="taY5JtEJPlgjojxDU4noIhy/lXGKBlmzC6DitImHK2s3X2v9Q/XASB+5uuW0F6FLf3XTRuJw6NrNjyHmse6WDQ==" workbookSaltValue="6YsaajHGSoWmZ+2oP8TSZw==" workbookSpinCount="100000" lockStructure="1"/>
  <bookViews>
    <workbookView xWindow="-110" yWindow="-110" windowWidth="38620" windowHeight="21220" tabRatio="526" xr2:uid="{A0926C99-DF4F-485F-988A-88DA9D483445}"/>
  </bookViews>
  <sheets>
    <sheet name="Calculator" sheetId="2" r:id="rId1"/>
    <sheet name="Data" sheetId="3" state="hidden" r:id="rId2"/>
  </sheets>
  <definedNames>
    <definedName name="scale">Calculator!$C$21</definedName>
    <definedName name="XBig">Data!$B$79</definedName>
    <definedName name="XTravel">Data!$B$58</definedName>
    <definedName name="XTravelDouble">Data!$D$79</definedName>
    <definedName name="XTravelHalf">Data!$C$58</definedName>
    <definedName name="XYDiag">Data!$C$64</definedName>
    <definedName name="XYTravel">Data!$C$64</definedName>
    <definedName name="YBig">Data!$B$80</definedName>
    <definedName name="YTravel">Data!$B$59</definedName>
    <definedName name="YTravelDouble">Data!$D$80</definedName>
    <definedName name="YTravelHalf">Data!$C$59</definedName>
    <definedName name="ZBig">Data!$B$81</definedName>
    <definedName name="ZDiag">Data!$B$60</definedName>
    <definedName name="ZDiagBig">Data!$B$82</definedName>
    <definedName name="ZDiagDouble">Data!$D$82</definedName>
    <definedName name="ZDiagHalf">Data!$C$60</definedName>
    <definedName name="ZTravel">Data!$B$60</definedName>
    <definedName name="ZTravelDouble">Data!$D$81</definedName>
    <definedName name="ZTravelHalf">Data!$C$60</definedName>
    <definedName name="ZVertical">Data!$B$61</definedName>
    <definedName name="ZVerticalHalf">Data!$C$61</definedName>
    <definedName name="ZXDiag">Data!$C$66</definedName>
    <definedName name="ZYDiag">Data!$C$65</definedName>
    <definedName name="ZYTravel">Data!$C$65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A126" i="3" s="1"/>
  <c r="D97" i="3"/>
  <c r="D96" i="3"/>
  <c r="A116" i="3" s="1"/>
  <c r="B58" i="3"/>
  <c r="C49" i="3" l="1"/>
  <c r="B49" i="3"/>
  <c r="D49" i="3"/>
  <c r="B38" i="3"/>
  <c r="B39" i="3" s="1"/>
  <c r="B42" i="3" l="1"/>
  <c r="C42" i="3"/>
  <c r="D42" i="3"/>
  <c r="D38" i="3"/>
  <c r="D39" i="3" s="1"/>
  <c r="C38" i="3"/>
  <c r="C39" i="3" s="1"/>
  <c r="C81" i="2" l="1"/>
  <c r="C82" i="2"/>
  <c r="C83" i="2"/>
  <c r="B52" i="3"/>
  <c r="C45" i="3"/>
  <c r="C46" i="3" s="1"/>
  <c r="D45" i="3"/>
  <c r="D46" i="3" s="1"/>
  <c r="B45" i="3"/>
  <c r="B46" i="3" s="1"/>
  <c r="E48" i="3"/>
  <c r="A41" i="3"/>
  <c r="A49" i="3"/>
  <c r="A37" i="3"/>
  <c r="E49" i="3"/>
  <c r="B50" i="3" s="1"/>
  <c r="H12" i="3"/>
  <c r="H13" i="3"/>
  <c r="H14" i="3"/>
  <c r="H15" i="3"/>
  <c r="H16" i="3"/>
  <c r="H17" i="3"/>
  <c r="H18" i="3"/>
  <c r="H19" i="3"/>
  <c r="H20" i="3"/>
  <c r="H21" i="3"/>
  <c r="H22" i="3"/>
  <c r="H23" i="3"/>
  <c r="G12" i="3"/>
  <c r="G13" i="3"/>
  <c r="G14" i="3"/>
  <c r="G15" i="3"/>
  <c r="G16" i="3"/>
  <c r="G17" i="3"/>
  <c r="G18" i="3"/>
  <c r="G19" i="3"/>
  <c r="G20" i="3"/>
  <c r="G21" i="3"/>
  <c r="G22" i="3"/>
  <c r="G23" i="3"/>
  <c r="F12" i="3"/>
  <c r="F13" i="3"/>
  <c r="F14" i="3"/>
  <c r="F15" i="3"/>
  <c r="F16" i="3"/>
  <c r="F17" i="3"/>
  <c r="F18" i="3"/>
  <c r="F19" i="3"/>
  <c r="F20" i="3"/>
  <c r="F21" i="3"/>
  <c r="F22" i="3"/>
  <c r="I22" i="3" s="1"/>
  <c r="F45" i="2" s="1"/>
  <c r="F23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G2" i="3"/>
  <c r="H2" i="3"/>
  <c r="F2" i="3"/>
  <c r="C66" i="3"/>
  <c r="E19" i="3" s="1"/>
  <c r="C65" i="3"/>
  <c r="E23" i="3" s="1"/>
  <c r="C64" i="3"/>
  <c r="E15" i="3" s="1"/>
  <c r="B61" i="3"/>
  <c r="C61" i="3" s="1"/>
  <c r="E11" i="3" s="1"/>
  <c r="B60" i="3"/>
  <c r="B59" i="3"/>
  <c r="N2" i="3" l="1"/>
  <c r="O2" i="3" s="1"/>
  <c r="I21" i="3"/>
  <c r="F44" i="2" s="1"/>
  <c r="D53" i="3"/>
  <c r="C53" i="3"/>
  <c r="B53" i="3"/>
  <c r="S32" i="3" s="1"/>
  <c r="E8" i="3"/>
  <c r="B65" i="3"/>
  <c r="B66" i="3"/>
  <c r="I8" i="3"/>
  <c r="F31" i="2" s="1"/>
  <c r="B64" i="3"/>
  <c r="I20" i="3"/>
  <c r="I23" i="3"/>
  <c r="F46" i="2" s="1"/>
  <c r="I9" i="3"/>
  <c r="F32" i="2" s="1"/>
  <c r="I3" i="3"/>
  <c r="F26" i="2" s="1"/>
  <c r="I11" i="3"/>
  <c r="F34" i="2" s="1"/>
  <c r="I17" i="3"/>
  <c r="I19" i="3"/>
  <c r="I14" i="3"/>
  <c r="F37" i="2" s="1"/>
  <c r="I18" i="3"/>
  <c r="I13" i="3"/>
  <c r="F36" i="2" s="1"/>
  <c r="I12" i="3"/>
  <c r="I6" i="3"/>
  <c r="F29" i="2" s="1"/>
  <c r="I5" i="3"/>
  <c r="F28" i="2" s="1"/>
  <c r="I4" i="3"/>
  <c r="F27" i="2" s="1"/>
  <c r="I16" i="3"/>
  <c r="I7" i="3"/>
  <c r="F30" i="2" s="1"/>
  <c r="I15" i="3"/>
  <c r="F38" i="2" s="1"/>
  <c r="I10" i="3"/>
  <c r="F33" i="2" s="1"/>
  <c r="E10" i="3"/>
  <c r="E12" i="3"/>
  <c r="E13" i="3"/>
  <c r="E14" i="3"/>
  <c r="E16" i="3"/>
  <c r="E17" i="3"/>
  <c r="E2" i="3"/>
  <c r="E18" i="3"/>
  <c r="E4" i="3"/>
  <c r="E20" i="3"/>
  <c r="E21" i="3"/>
  <c r="E6" i="3"/>
  <c r="E22" i="3"/>
  <c r="B82" i="3"/>
  <c r="D82" i="3" s="1"/>
  <c r="D50" i="3"/>
  <c r="C50" i="3"/>
  <c r="I2" i="3"/>
  <c r="F25" i="2" s="1"/>
  <c r="N20" i="3"/>
  <c r="O20" i="3" s="1"/>
  <c r="N17" i="3"/>
  <c r="O17" i="3" s="1"/>
  <c r="N16" i="3"/>
  <c r="O16" i="3" s="1"/>
  <c r="N13" i="3"/>
  <c r="O13" i="3" s="1"/>
  <c r="N8" i="3"/>
  <c r="O8" i="3" s="1"/>
  <c r="N7" i="3"/>
  <c r="O7" i="3" s="1"/>
  <c r="N19" i="3"/>
  <c r="O19" i="3" s="1"/>
  <c r="N18" i="3"/>
  <c r="O18" i="3" s="1"/>
  <c r="N15" i="3"/>
  <c r="O15" i="3" s="1"/>
  <c r="N14" i="3"/>
  <c r="O14" i="3" s="1"/>
  <c r="N12" i="3"/>
  <c r="O12" i="3" s="1"/>
  <c r="N11" i="3"/>
  <c r="O11" i="3" s="1"/>
  <c r="N4" i="3"/>
  <c r="O4" i="3" s="1"/>
  <c r="N6" i="3"/>
  <c r="O6" i="3" s="1"/>
  <c r="N5" i="3"/>
  <c r="O5" i="3" s="1"/>
  <c r="N23" i="3"/>
  <c r="O23" i="3" s="1"/>
  <c r="N9" i="3"/>
  <c r="O9" i="3" s="1"/>
  <c r="N3" i="3"/>
  <c r="O3" i="3" s="1"/>
  <c r="N10" i="3"/>
  <c r="O10" i="3" s="1"/>
  <c r="N21" i="3"/>
  <c r="O21" i="3" s="1"/>
  <c r="N22" i="3"/>
  <c r="O22" i="3" s="1"/>
  <c r="F39" i="2" l="1"/>
  <c r="Y16" i="3"/>
  <c r="F43" i="2"/>
  <c r="AE16" i="3"/>
  <c r="F41" i="2"/>
  <c r="Y18" i="3"/>
  <c r="F42" i="2"/>
  <c r="Y19" i="3"/>
  <c r="F40" i="2"/>
  <c r="Y17" i="3"/>
  <c r="D65" i="2"/>
  <c r="D66" i="2"/>
  <c r="F35" i="2"/>
  <c r="S16" i="3"/>
  <c r="L2" i="3"/>
  <c r="M2" i="3" s="1"/>
  <c r="P2" i="3" s="1"/>
  <c r="G25" i="2" s="1"/>
  <c r="J2" i="3"/>
  <c r="D64" i="2"/>
  <c r="Y32" i="3"/>
  <c r="AE32" i="3"/>
  <c r="B79" i="3"/>
  <c r="C79" i="3"/>
  <c r="L10" i="3"/>
  <c r="D66" i="3"/>
  <c r="L21" i="3"/>
  <c r="L20" i="3"/>
  <c r="L19" i="3"/>
  <c r="L18" i="3"/>
  <c r="L17" i="3"/>
  <c r="L13" i="3"/>
  <c r="M13" i="3" s="1"/>
  <c r="P13" i="3" s="1"/>
  <c r="L12" i="3"/>
  <c r="L8" i="3"/>
  <c r="L6" i="3"/>
  <c r="J4" i="3"/>
  <c r="C59" i="3"/>
  <c r="C60" i="3"/>
  <c r="C58" i="3"/>
  <c r="D65" i="3"/>
  <c r="K27" i="3"/>
  <c r="L27" i="3" s="1"/>
  <c r="E5" i="3" l="1"/>
  <c r="E3" i="3"/>
  <c r="J3" i="3" s="1"/>
  <c r="E7" i="3"/>
  <c r="E9" i="3"/>
  <c r="J9" i="3" s="1"/>
  <c r="E79" i="3"/>
  <c r="B73" i="3"/>
  <c r="M10" i="3"/>
  <c r="M17" i="3"/>
  <c r="M12" i="3"/>
  <c r="M19" i="3"/>
  <c r="M20" i="3"/>
  <c r="M6" i="3"/>
  <c r="M8" i="3"/>
  <c r="G36" i="2"/>
  <c r="M18" i="3"/>
  <c r="M21" i="3"/>
  <c r="L11" i="3"/>
  <c r="L22" i="3"/>
  <c r="L14" i="3"/>
  <c r="L15" i="3"/>
  <c r="L16" i="3"/>
  <c r="L23" i="3"/>
  <c r="L4" i="3"/>
  <c r="S19" i="3"/>
  <c r="J15" i="3"/>
  <c r="S17" i="3"/>
  <c r="S22" i="3" s="1"/>
  <c r="J13" i="3"/>
  <c r="B81" i="3"/>
  <c r="J10" i="3"/>
  <c r="F81" i="3" s="1"/>
  <c r="AE18" i="3"/>
  <c r="J22" i="3"/>
  <c r="J6" i="3"/>
  <c r="J20" i="3"/>
  <c r="J12" i="3"/>
  <c r="J19" i="3"/>
  <c r="C81" i="3"/>
  <c r="J11" i="3"/>
  <c r="H81" i="3" s="1"/>
  <c r="AE19" i="3"/>
  <c r="J23" i="3"/>
  <c r="J8" i="3"/>
  <c r="J18" i="3"/>
  <c r="J16" i="3"/>
  <c r="S18" i="3"/>
  <c r="J14" i="3"/>
  <c r="AE17" i="3"/>
  <c r="J21" i="3"/>
  <c r="J17" i="3"/>
  <c r="K21" i="3"/>
  <c r="K22" i="3"/>
  <c r="K20" i="3"/>
  <c r="K19" i="3"/>
  <c r="K10" i="3"/>
  <c r="K17" i="3"/>
  <c r="K18" i="3"/>
  <c r="K11" i="3"/>
  <c r="I81" i="3" s="1"/>
  <c r="K12" i="3"/>
  <c r="K13" i="3"/>
  <c r="K14" i="3"/>
  <c r="K16" i="3"/>
  <c r="K15" i="3"/>
  <c r="K23" i="3"/>
  <c r="D64" i="3"/>
  <c r="C107" i="2"/>
  <c r="C109" i="2"/>
  <c r="C80" i="2"/>
  <c r="S24" i="3" l="1"/>
  <c r="AE23" i="3"/>
  <c r="AE25" i="3" s="1"/>
  <c r="S23" i="3"/>
  <c r="S25" i="3" s="1"/>
  <c r="L9" i="3"/>
  <c r="M9" i="3" s="1"/>
  <c r="AE22" i="3"/>
  <c r="AE24" i="3" s="1"/>
  <c r="Y22" i="3"/>
  <c r="Y24" i="3" s="1"/>
  <c r="Y23" i="3"/>
  <c r="Y25" i="3" s="1"/>
  <c r="L3" i="3"/>
  <c r="M3" i="3" s="1"/>
  <c r="P6" i="3"/>
  <c r="G29" i="2" s="1"/>
  <c r="P12" i="3"/>
  <c r="G35" i="2" s="1"/>
  <c r="P10" i="3"/>
  <c r="G33" i="2" s="1"/>
  <c r="P8" i="3"/>
  <c r="G31" i="2" s="1"/>
  <c r="P21" i="3"/>
  <c r="G44" i="2" s="1"/>
  <c r="P20" i="3"/>
  <c r="G43" i="2" s="1"/>
  <c r="P19" i="3"/>
  <c r="G42" i="2" s="1"/>
  <c r="P18" i="3"/>
  <c r="G41" i="2" s="1"/>
  <c r="P17" i="3"/>
  <c r="G40" i="2" s="1"/>
  <c r="B75" i="3"/>
  <c r="B74" i="3"/>
  <c r="B76" i="3" s="1"/>
  <c r="G81" i="3"/>
  <c r="D70" i="3"/>
  <c r="B91" i="3" s="1"/>
  <c r="M4" i="3"/>
  <c r="M15" i="3"/>
  <c r="M22" i="3"/>
  <c r="M23" i="3"/>
  <c r="M16" i="3"/>
  <c r="M14" i="3"/>
  <c r="M11" i="3"/>
  <c r="F80" i="3"/>
  <c r="J5" i="3"/>
  <c r="H79" i="3" s="1"/>
  <c r="L5" i="3"/>
  <c r="J7" i="3"/>
  <c r="H80" i="3" s="1"/>
  <c r="L7" i="3"/>
  <c r="D81" i="3"/>
  <c r="E81" i="3"/>
  <c r="K4" i="3"/>
  <c r="K5" i="3"/>
  <c r="K8" i="3"/>
  <c r="K9" i="3"/>
  <c r="D91" i="3" l="1"/>
  <c r="E91" i="3" s="1"/>
  <c r="E70" i="3"/>
  <c r="B70" i="2" s="1"/>
  <c r="P11" i="3"/>
  <c r="G34" i="2" s="1"/>
  <c r="P3" i="3"/>
  <c r="G26" i="2" s="1"/>
  <c r="P4" i="3"/>
  <c r="G27" i="2" s="1"/>
  <c r="P9" i="3"/>
  <c r="G32" i="2" s="1"/>
  <c r="P23" i="3"/>
  <c r="G46" i="2" s="1"/>
  <c r="P22" i="3"/>
  <c r="G45" i="2" s="1"/>
  <c r="P16" i="3"/>
  <c r="G39" i="2" s="1"/>
  <c r="P15" i="3"/>
  <c r="G38" i="2" s="1"/>
  <c r="P14" i="3"/>
  <c r="G37" i="2" s="1"/>
  <c r="B60" i="2"/>
  <c r="C60" i="2" s="1"/>
  <c r="B144" i="3"/>
  <c r="C124" i="2" s="1"/>
  <c r="M5" i="3"/>
  <c r="M7" i="3"/>
  <c r="B80" i="3"/>
  <c r="K7" i="3"/>
  <c r="I80" i="3" s="1"/>
  <c r="C80" i="3"/>
  <c r="K3" i="3"/>
  <c r="I79" i="3" s="1"/>
  <c r="K6" i="3"/>
  <c r="G80" i="3" s="1"/>
  <c r="P5" i="3" l="1"/>
  <c r="G28" i="2" s="1"/>
  <c r="P7" i="3"/>
  <c r="G30" i="2" s="1"/>
  <c r="C73" i="3"/>
  <c r="E80" i="3"/>
  <c r="D80" i="3"/>
  <c r="C70" i="3"/>
  <c r="B90" i="3" s="1"/>
  <c r="D90" i="3" l="1"/>
  <c r="E90" i="3" s="1"/>
  <c r="AE26" i="3"/>
  <c r="AE27" i="3" s="1"/>
  <c r="AE28" i="3" s="1"/>
  <c r="C74" i="3"/>
  <c r="C76" i="3" s="1"/>
  <c r="C75" i="3"/>
  <c r="B148" i="3"/>
  <c r="C132" i="2" s="1"/>
  <c r="B152" i="3"/>
  <c r="C140" i="2" s="1"/>
  <c r="B59" i="2"/>
  <c r="C59" i="2" s="1"/>
  <c r="C95" i="2" l="1"/>
  <c r="AE29" i="3"/>
  <c r="B66" i="2"/>
  <c r="AE31" i="3" l="1"/>
  <c r="C66" i="2"/>
  <c r="AE34" i="3" l="1"/>
  <c r="B88" i="3"/>
  <c r="D88" i="3" s="1"/>
  <c r="E88" i="3" s="1"/>
  <c r="AE33" i="3"/>
  <c r="AE35" i="3" s="1"/>
  <c r="E66" i="2" l="1"/>
  <c r="AE37" i="3"/>
  <c r="B137" i="3"/>
  <c r="K2" i="3"/>
  <c r="AE39" i="3" l="1"/>
  <c r="C98" i="3" s="1"/>
  <c r="AE38" i="3"/>
  <c r="B98" i="3" s="1"/>
  <c r="A124" i="3" s="1"/>
  <c r="B70" i="3"/>
  <c r="F70" i="3"/>
  <c r="B71" i="2" s="1"/>
  <c r="G79" i="3"/>
  <c r="D79" i="3"/>
  <c r="F79" i="3"/>
  <c r="S26" i="3" l="1"/>
  <c r="S27" i="3" s="1"/>
  <c r="B89" i="3"/>
  <c r="A125" i="3"/>
  <c r="E98" i="3"/>
  <c r="F98" i="3" s="1"/>
  <c r="A120" i="3" s="1"/>
  <c r="A103" i="3"/>
  <c r="Y26" i="3"/>
  <c r="Y27" i="3" s="1"/>
  <c r="Y28" i="3" s="1"/>
  <c r="D89" i="3"/>
  <c r="E89" i="3" s="1"/>
  <c r="B151" i="3"/>
  <c r="C139" i="2" s="1"/>
  <c r="B58" i="2"/>
  <c r="C58" i="2" s="1"/>
  <c r="B147" i="3"/>
  <c r="C131" i="2" s="1"/>
  <c r="B143" i="3"/>
  <c r="C123" i="2" s="1"/>
  <c r="B142" i="3"/>
  <c r="C119" i="2" s="1"/>
  <c r="C94" i="2" l="1"/>
  <c r="C93" i="2"/>
  <c r="C102" i="2"/>
  <c r="Y29" i="3"/>
  <c r="B65" i="2"/>
  <c r="S28" i="3"/>
  <c r="C89" i="2"/>
  <c r="Y31" i="3" l="1"/>
  <c r="B87" i="3" s="1"/>
  <c r="C65" i="2"/>
  <c r="S29" i="3"/>
  <c r="S31" i="3" s="1"/>
  <c r="B86" i="3" s="1"/>
  <c r="B64" i="2"/>
  <c r="S33" i="3" l="1"/>
  <c r="S34" i="3"/>
  <c r="Y33" i="3"/>
  <c r="Y34" i="3"/>
  <c r="C64" i="2"/>
  <c r="D87" i="3"/>
  <c r="E87" i="3" s="1"/>
  <c r="Y35" i="3" l="1"/>
  <c r="S35" i="3"/>
  <c r="E64" i="2" s="1"/>
  <c r="E65" i="2"/>
  <c r="Y37" i="3"/>
  <c r="B136" i="3"/>
  <c r="D86" i="3"/>
  <c r="E86" i="3" l="1"/>
  <c r="E92" i="3" s="1"/>
  <c r="B53" i="2" s="1"/>
  <c r="S37" i="3"/>
  <c r="B135" i="3"/>
  <c r="A138" i="3" s="1"/>
  <c r="C113" i="2" s="1"/>
  <c r="Y39" i="3"/>
  <c r="C97" i="3" s="1"/>
  <c r="Y38" i="3"/>
  <c r="B97" i="3" s="1"/>
  <c r="A122" i="3" s="1"/>
  <c r="S38" i="3" l="1"/>
  <c r="B96" i="3" s="1"/>
  <c r="S39" i="3"/>
  <c r="C96" i="3" s="1"/>
  <c r="A123" i="3"/>
  <c r="E97" i="3"/>
  <c r="F97" i="3" s="1"/>
  <c r="A119" i="3" s="1"/>
  <c r="A102" i="3"/>
  <c r="A115" i="3" l="1"/>
  <c r="C88" i="2" s="1"/>
  <c r="A114" i="3"/>
  <c r="C87" i="2" s="1"/>
  <c r="E96" i="3"/>
  <c r="F96" i="3" s="1"/>
  <c r="A118" i="3" s="1"/>
  <c r="C92" i="2"/>
  <c r="C91" i="2"/>
  <c r="A101" i="3"/>
  <c r="A107" i="3" s="1"/>
  <c r="C79" i="2" s="1"/>
  <c r="B129" i="3" l="1"/>
  <c r="C108" i="2" s="1"/>
  <c r="C101" i="2"/>
  <c r="C100" i="2"/>
</calcChain>
</file>

<file path=xl/sharedStrings.xml><?xml version="1.0" encoding="utf-8"?>
<sst xmlns="http://schemas.openxmlformats.org/spreadsheetml/2006/main" count="406" uniqueCount="204">
  <si>
    <t>CaliLantern Calculator</t>
  </si>
  <si>
    <t>All Instructions for this document are in the Calilantern written guide.</t>
  </si>
  <si>
    <t>Existing Calibration</t>
  </si>
  <si>
    <t>Skew</t>
  </si>
  <si>
    <t>Use Skew Model:</t>
  </si>
  <si>
    <t>Klipper</t>
  </si>
  <si>
    <t>XY</t>
  </si>
  <si>
    <t>XZ</t>
  </si>
  <si>
    <t>YZ</t>
  </si>
  <si>
    <t>Marlin</t>
  </si>
  <si>
    <t>ZX</t>
  </si>
  <si>
    <t>ZY</t>
  </si>
  <si>
    <t>RRF</t>
  </si>
  <si>
    <t>S</t>
  </si>
  <si>
    <t>X</t>
  </si>
  <si>
    <t>Y</t>
  </si>
  <si>
    <t>Z</t>
  </si>
  <si>
    <t>Measurements</t>
  </si>
  <si>
    <t>(This spreadsheet is locked to prevent accidental modification)</t>
  </si>
  <si>
    <t>Scale</t>
  </si>
  <si>
    <t>(if you have a larger printer, and larger tools, you can print at larger scale)</t>
  </si>
  <si>
    <t>Type</t>
  </si>
  <si>
    <t>Reading 1</t>
  </si>
  <si>
    <t>Reading 2</t>
  </si>
  <si>
    <t>Reading 3</t>
  </si>
  <si>
    <t>Average</t>
  </si>
  <si>
    <t>Status</t>
  </si>
  <si>
    <t>Outer</t>
  </si>
  <si>
    <t>Inner</t>
  </si>
  <si>
    <t>This measurement seems to have been taken correctly.</t>
  </si>
  <si>
    <t>This measurement may have an error. Please Double-check your measurement.</t>
  </si>
  <si>
    <t>This measurement very likely has a problem, may have been measureed incorrectly.</t>
  </si>
  <si>
    <t>Results</t>
  </si>
  <si>
    <t>Score</t>
  </si>
  <si>
    <t>Size</t>
  </si>
  <si>
    <t>Error</t>
  </si>
  <si>
    <t>Correction</t>
  </si>
  <si>
    <t>Measured</t>
  </si>
  <si>
    <t>XY Skew</t>
  </si>
  <si>
    <t>ZX Skew</t>
  </si>
  <si>
    <t>ZY Skew</t>
  </si>
  <si>
    <t>Extrusion</t>
  </si>
  <si>
    <t>Fix Skew</t>
  </si>
  <si>
    <t>Klipper G Code Fix</t>
  </si>
  <si>
    <t>Add</t>
  </si>
  <si>
    <t xml:space="preserve">[skew_correction] </t>
  </si>
  <si>
    <t>to printer.cfg</t>
  </si>
  <si>
    <t>Send Command</t>
  </si>
  <si>
    <t>via console</t>
  </si>
  <si>
    <t>Copy &amp; Paste</t>
  </si>
  <si>
    <t>to end of start G code</t>
  </si>
  <si>
    <t>to start of end G code</t>
  </si>
  <si>
    <t>Marlin Firmware Adjustment</t>
  </si>
  <si>
    <t>to firmware</t>
  </si>
  <si>
    <t>Marlin Firmware Adjustment (alternative)</t>
  </si>
  <si>
    <t>Marlin G-Code Adjustment</t>
  </si>
  <si>
    <t>Ensure</t>
  </si>
  <si>
    <t>in firmware</t>
  </si>
  <si>
    <t>RepRap Firmware Adjustment</t>
  </si>
  <si>
    <t>to config.g</t>
  </si>
  <si>
    <t>Fix Size</t>
  </si>
  <si>
    <t>Material XY shinkage</t>
  </si>
  <si>
    <t>SuperSlicer</t>
  </si>
  <si>
    <t>Current Shrinkage</t>
  </si>
  <si>
    <t>New Shrinkage</t>
  </si>
  <si>
    <t>Cura/PrusaSlicer</t>
  </si>
  <si>
    <t>Current Scale</t>
  </si>
  <si>
    <t>New XY Scale</t>
  </si>
  <si>
    <t>New Z Scale</t>
  </si>
  <si>
    <t>Steps/mm</t>
  </si>
  <si>
    <t>Input your values below</t>
  </si>
  <si>
    <t>Current Steps/mm (X)</t>
  </si>
  <si>
    <t>Current Steps/mm (Y)</t>
  </si>
  <si>
    <t>New Steps/mm (X)</t>
  </si>
  <si>
    <t>New Steps/mm (Y)</t>
  </si>
  <si>
    <t>Rotation Distance</t>
  </si>
  <si>
    <t>Current Rot. Dist. (X)</t>
  </si>
  <si>
    <t>Current Rot. Dist. (Y)</t>
  </si>
  <si>
    <t>New Rot. Dist. (X)</t>
  </si>
  <si>
    <t>New Rot. Dist. (Y)</t>
  </si>
  <si>
    <t>Diagonal</t>
  </si>
  <si>
    <t>In/Out</t>
  </si>
  <si>
    <t>No.</t>
  </si>
  <si>
    <t>Design</t>
  </si>
  <si>
    <t>Read 1</t>
  </si>
  <si>
    <t>Read 2</t>
  </si>
  <si>
    <t>Read 3</t>
  </si>
  <si>
    <t>Measured Avg</t>
  </si>
  <si>
    <t>% Error</t>
  </si>
  <si>
    <t>Abs. Error</t>
  </si>
  <si>
    <t>Mean Qual</t>
  </si>
  <si>
    <t>Reading Range</t>
  </si>
  <si>
    <t>Range Qual.</t>
  </si>
  <si>
    <t>Comment</t>
  </si>
  <si>
    <t>Upgrades</t>
  </si>
  <si>
    <t>Improved for larger skew angles</t>
  </si>
  <si>
    <t>compatible with non square claibration objects (good for ZX, ZY)</t>
  </si>
  <si>
    <t>All still done with just basic measuring tools - good callipers.</t>
  </si>
  <si>
    <t>scaled options available</t>
  </si>
  <si>
    <t>License is for non-commercial use</t>
  </si>
  <si>
    <t>Add instructions to each section. When to use it, when not to, which slicer, where its located, when to pick one of a couple of options</t>
  </si>
  <si>
    <t>A small test print is neeed to ensure bridges and top layers are suitable accurate and smooth.</t>
  </si>
  <si>
    <t>Inner and Outer Averages converted to extrusion calibration.</t>
  </si>
  <si>
    <t>Skew XY</t>
  </si>
  <si>
    <t>b</t>
  </si>
  <si>
    <t>a</t>
  </si>
  <si>
    <t>Skew ZX</t>
  </si>
  <si>
    <t>Measure Z Travel</t>
  </si>
  <si>
    <t>MAYBE too much plastic error to measure via the print. So....</t>
  </si>
  <si>
    <t>Need flat hard surface on the bed. Remove flex plate. Attach a steel rule for example.</t>
  </si>
  <si>
    <t>Skew ZY</t>
  </si>
  <si>
    <t>if cantilever, measure as close to the mount as possible.</t>
  </si>
  <si>
    <t>Home printer and move nozzle close to bed surface. About 2mm. Measure.</t>
  </si>
  <si>
    <t>Average B</t>
  </si>
  <si>
    <t>Move head up 100mm, measure again. (or use the zero to measure the change)</t>
  </si>
  <si>
    <t>Average A</t>
  </si>
  <si>
    <t>This measurement is never perfect, but better than trying to measure plastic as it can ooze up and down which affects the measurement.</t>
  </si>
  <si>
    <t>OK</t>
  </si>
  <si>
    <t>Not OK</t>
  </si>
  <si>
    <t>Range</t>
  </si>
  <si>
    <t>Overhang Angle (based on X and Z)(smaller angle is easier)(0 is vertical wall)</t>
  </si>
  <si>
    <t>Mean</t>
  </si>
  <si>
    <t>The problem with klipper skew correction is it doesn't accommodate for X and Y having different Motion errors as only takes one of them as an input</t>
  </si>
  <si>
    <t>Validation List</t>
  </si>
  <si>
    <t>None</t>
  </si>
  <si>
    <t>Existing Skew</t>
  </si>
  <si>
    <t>Firmware</t>
  </si>
  <si>
    <t>Skew Factor</t>
  </si>
  <si>
    <t>AB (b)</t>
  </si>
  <si>
    <t>AD (a)</t>
  </si>
  <si>
    <t>AC (c)</t>
  </si>
  <si>
    <t>Skew (degrees)</t>
  </si>
  <si>
    <t>Model Name</t>
  </si>
  <si>
    <t>Half</t>
  </si>
  <si>
    <t>X Travel</t>
  </si>
  <si>
    <t>Y Travel</t>
  </si>
  <si>
    <t>Z Diag</t>
  </si>
  <si>
    <t>Z Vertical</t>
  </si>
  <si>
    <t>Theoretical</t>
  </si>
  <si>
    <t>Target</t>
  </si>
  <si>
    <t>Ratio</t>
  </si>
  <si>
    <t>XY Diag</t>
  </si>
  <si>
    <t>X Error</t>
  </si>
  <si>
    <t>Y Error</t>
  </si>
  <si>
    <t>Z Error</t>
  </si>
  <si>
    <t>Motion Error (mm)</t>
  </si>
  <si>
    <t>BETA</t>
  </si>
  <si>
    <t>Extrusion Error</t>
  </si>
  <si>
    <t>Motion %</t>
  </si>
  <si>
    <t>Extrusion E %</t>
  </si>
  <si>
    <t>Big</t>
  </si>
  <si>
    <t>Small</t>
  </si>
  <si>
    <t>Double Big</t>
  </si>
  <si>
    <t>Big Error</t>
  </si>
  <si>
    <t>Big % Error</t>
  </si>
  <si>
    <t>Small Error</t>
  </si>
  <si>
    <t>Small % Error</t>
  </si>
  <si>
    <t>AC</t>
  </si>
  <si>
    <t>BD</t>
  </si>
  <si>
    <t>AD</t>
  </si>
  <si>
    <t>Set Skew = AC,BD,AD</t>
  </si>
  <si>
    <t>SKEW_PROFILE SAVE=calilantern_skew_profile</t>
  </si>
  <si>
    <t>SAVE_CONFIG</t>
  </si>
  <si>
    <t>SKEW_PROFILE LOAD=calilantern_skew_profile</t>
  </si>
  <si>
    <t>SET_SKEW CLEAR=1</t>
  </si>
  <si>
    <t>AB</t>
  </si>
  <si>
    <t>From Marlin Firmware:</t>
  </si>
  <si>
    <t>Compute AB : SQRT(2*AC*AC+2*BD*BD-4*AD*AD)/2</t>
  </si>
  <si>
    <t>XY_SKEW_FACTOR : TAN(PI/2-ACOS((AC*AC-AB*AB-AD*AD)/(2*AB*AD)))</t>
  </si>
  <si>
    <t>#define SKEW_CORRECTION_GCODE</t>
  </si>
  <si>
    <t>More info on Marlin EEPROM</t>
  </si>
  <si>
    <t>G Code</t>
  </si>
  <si>
    <t>https://marlinfw.org/docs/features/eeprom.html</t>
  </si>
  <si>
    <t>EEPROM</t>
  </si>
  <si>
    <t>M500</t>
  </si>
  <si>
    <t>Example</t>
  </si>
  <si>
    <t>M556 S100 X0.7 Y-0.2 Z0.6</t>
  </si>
  <si>
    <t>XY Value (X)</t>
  </si>
  <si>
    <t>ZX Value (Z)</t>
  </si>
  <si>
    <t>ZY Value (Y)</t>
  </si>
  <si>
    <t>Slicer</t>
  </si>
  <si>
    <t>Superslicer</t>
  </si>
  <si>
    <t>XY Scale</t>
  </si>
  <si>
    <t>Z Scale</t>
  </si>
  <si>
    <t>Existing Compensation</t>
  </si>
  <si>
    <t>Measured Skew</t>
  </si>
  <si>
    <t>V2.6</t>
  </si>
  <si>
    <t>YZ Diag</t>
  </si>
  <si>
    <t>XZ Diag</t>
  </si>
  <si>
    <t>old data</t>
  </si>
  <si>
    <t>new data</t>
  </si>
  <si>
    <t>H1 (a)</t>
  </si>
  <si>
    <t>H2 (b)</t>
  </si>
  <si>
    <t>Angle</t>
  </si>
  <si>
    <t>Effectivity</t>
  </si>
  <si>
    <t>Next Skew</t>
  </si>
  <si>
    <t>FW. Configured Skew</t>
  </si>
  <si>
    <t>First Guess FW Skew</t>
  </si>
  <si>
    <t>Firmware Compensation</t>
  </si>
  <si>
    <t>Next FW Compensation</t>
  </si>
  <si>
    <t>New angle</t>
  </si>
  <si>
    <t>New AC</t>
  </si>
  <si>
    <t>New BD</t>
  </si>
  <si>
    <t>New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</si>
</sst>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\°"/>
    <numFmt numFmtId="165" formatCode="0.0000"/>
    <numFmt numFmtId="166" formatCode="0.000"/>
    <numFmt numFmtId="167" formatCode="#,000"/>
    <numFmt numFmtId="168" formatCode="0.00000000"/>
    <numFmt numFmtId="169" formatCode="0.00000"/>
    <numFmt numFmtId="170" formatCode="0.000%"/>
    <numFmt numFmtId="171" formatCode="0.000000000"/>
    <numFmt numFmtId="172" formatCode="0.000\°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 style="double">
        <color theme="2" tint="-0.249977111117893"/>
      </right>
      <top/>
      <bottom/>
      <diagonal/>
    </border>
    <border>
      <left style="double">
        <color theme="2" tint="-0.249977111117893"/>
      </left>
      <right/>
      <top/>
      <bottom style="double">
        <color theme="2" tint="-0.249977111117893"/>
      </bottom>
      <diagonal/>
    </border>
    <border>
      <left style="double">
        <color theme="2" tint="-0.249977111117893"/>
      </left>
      <right/>
      <top/>
      <bottom/>
      <diagonal/>
    </border>
    <border>
      <left/>
      <right/>
      <top/>
      <bottom style="double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2" tint="-0.249977111117893"/>
      </top>
      <bottom/>
      <diagonal/>
    </border>
    <border>
      <left style="double">
        <color theme="2" tint="-0.249977111117893"/>
      </left>
      <right/>
      <top style="double">
        <color theme="2" tint="-0.249977111117893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13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right"/>
    </xf>
    <xf numFmtId="0" fontId="6" fillId="2" borderId="0" xfId="2"/>
    <xf numFmtId="0" fontId="8" fillId="4" borderId="0" xfId="4"/>
    <xf numFmtId="0" fontId="7" fillId="3" borderId="0" xfId="3"/>
    <xf numFmtId="0" fontId="10" fillId="0" borderId="0" xfId="0" applyFont="1"/>
    <xf numFmtId="10" fontId="4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9" fontId="1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5" fontId="0" fillId="0" borderId="0" xfId="0" applyNumberFormat="1"/>
    <xf numFmtId="2" fontId="0" fillId="0" borderId="0" xfId="0" applyNumberFormat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1" fontId="0" fillId="0" borderId="0" xfId="1" applyNumberFormat="1" applyFont="1"/>
    <xf numFmtId="166" fontId="0" fillId="0" borderId="0" xfId="1" applyNumberFormat="1" applyFont="1" applyAlignment="1">
      <alignment horizontal="center"/>
    </xf>
    <xf numFmtId="2" fontId="15" fillId="0" borderId="0" xfId="0" applyNumberFormat="1" applyFont="1" applyAlignment="1">
      <alignment horizontal="right"/>
    </xf>
    <xf numFmtId="1" fontId="0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6" fontId="0" fillId="0" borderId="0" xfId="0" applyNumberFormat="1"/>
    <xf numFmtId="164" fontId="0" fillId="0" borderId="0" xfId="0" applyNumberFormat="1"/>
    <xf numFmtId="165" fontId="0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0" fontId="16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10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2" fontId="16" fillId="5" borderId="0" xfId="0" applyNumberFormat="1" applyFont="1" applyFill="1" applyAlignment="1">
      <alignment horizontal="center"/>
    </xf>
    <xf numFmtId="0" fontId="5" fillId="0" borderId="2" xfId="0" applyFont="1" applyBorder="1"/>
    <xf numFmtId="0" fontId="17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9" fillId="0" borderId="0" xfId="0" applyFont="1"/>
    <xf numFmtId="167" fontId="0" fillId="0" borderId="0" xfId="0" applyNumberFormat="1"/>
    <xf numFmtId="168" fontId="0" fillId="0" borderId="0" xfId="0" applyNumberFormat="1"/>
    <xf numFmtId="10" fontId="0" fillId="0" borderId="0" xfId="1" applyNumberFormat="1" applyFont="1" applyAlignment="1">
      <alignment horizontal="right"/>
    </xf>
    <xf numFmtId="10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4" fillId="0" borderId="0" xfId="1" applyNumberFormat="1" applyFont="1" applyAlignment="1">
      <alignment horizontal="left"/>
    </xf>
    <xf numFmtId="0" fontId="0" fillId="0" borderId="6" xfId="0" applyBorder="1" applyProtection="1">
      <protection locked="0"/>
    </xf>
    <xf numFmtId="170" fontId="0" fillId="0" borderId="0" xfId="0" applyNumberFormat="1"/>
    <xf numFmtId="0" fontId="18" fillId="0" borderId="0" xfId="0" applyFont="1"/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2" fontId="0" fillId="5" borderId="4" xfId="0" applyNumberFormat="1" applyFill="1" applyBorder="1" applyAlignment="1" applyProtection="1">
      <alignment horizontal="center"/>
      <protection locked="0"/>
    </xf>
    <xf numFmtId="2" fontId="0" fillId="5" borderId="0" xfId="0" applyNumberFormat="1" applyFill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10" fontId="0" fillId="0" borderId="0" xfId="1" applyNumberFormat="1" applyFont="1" applyAlignment="1">
      <alignment horizontal="right" vertical="center"/>
    </xf>
    <xf numFmtId="0" fontId="0" fillId="6" borderId="0" xfId="0" applyFill="1"/>
    <xf numFmtId="2" fontId="0" fillId="6" borderId="0" xfId="0" applyNumberFormat="1" applyFill="1"/>
    <xf numFmtId="169" fontId="0" fillId="6" borderId="0" xfId="0" applyNumberFormat="1" applyFill="1"/>
    <xf numFmtId="0" fontId="19" fillId="0" borderId="0" xfId="0" applyFont="1"/>
    <xf numFmtId="2" fontId="0" fillId="0" borderId="8" xfId="0" applyNumberFormat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0" xfId="1" applyFont="1"/>
    <xf numFmtId="166" fontId="0" fillId="6" borderId="0" xfId="0" applyNumberFormat="1" applyFill="1"/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166" fontId="4" fillId="0" borderId="0" xfId="0" applyNumberFormat="1" applyFont="1"/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 applyProtection="1">
      <alignment horizontal="center"/>
      <protection locked="0"/>
    </xf>
    <xf numFmtId="168" fontId="0" fillId="0" borderId="4" xfId="0" applyNumberFormat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 textRotation="60"/>
    </xf>
    <xf numFmtId="0" fontId="13" fillId="0" borderId="0" xfId="0" applyFont="1" applyAlignment="1">
      <alignment horizontal="center" vertic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76201</xdr:rowOff>
    </xdr:from>
    <xdr:to>
      <xdr:col>1</xdr:col>
      <xdr:colOff>638175</xdr:colOff>
      <xdr:row>2</xdr:row>
      <xdr:rowOff>10716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B6FF09-7BC3-A9F3-E269-06D6E98A0B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76225" y="76201"/>
          <a:ext cx="1247775" cy="686990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561976</xdr:colOff>
      <xdr:row>15</xdr:row>
      <xdr:rowOff>114300</xdr:rowOff>
    </xdr:from>
    <xdr:to>
      <xdr:col>21</xdr:col>
      <xdr:colOff>20201</xdr:colOff>
      <xdr:row>31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29715-4111-E2EB-CEBB-4FD740993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01" y="3657600"/>
          <a:ext cx="3725425" cy="3324225"/>
        </a:xfrm>
        <a:prstGeom prst="rect">
          <a:avLst/>
        </a:prstGeom>
      </xdr:spPr>
    </xdr:pic>
    <xdr:clientData/>
  </xdr:twoCellAnchor>
  <xdr:twoCellAnchor editAs="oneCell">
    <xdr:from>
      <xdr:col>7</xdr:col>
      <xdr:colOff>559575</xdr:colOff>
      <xdr:row>15</xdr:row>
      <xdr:rowOff>150000</xdr:rowOff>
    </xdr:from>
    <xdr:to>
      <xdr:col>13</xdr:col>
      <xdr:colOff>555368</xdr:colOff>
      <xdr:row>31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809981-D112-D322-7DC0-C9DA53D8F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0600" y="3693300"/>
          <a:ext cx="3653393" cy="32599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34</xdr:row>
      <xdr:rowOff>1</xdr:rowOff>
    </xdr:from>
    <xdr:to>
      <xdr:col>14</xdr:col>
      <xdr:colOff>155760</xdr:colOff>
      <xdr:row>50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DFA0EC-2428-A417-BDB6-9FA1013E0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7515226"/>
          <a:ext cx="3641910" cy="3324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4</xdr:row>
      <xdr:rowOff>9528</xdr:rowOff>
    </xdr:from>
    <xdr:to>
      <xdr:col>19</xdr:col>
      <xdr:colOff>485775</xdr:colOff>
      <xdr:row>13</xdr:row>
      <xdr:rowOff>47626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AE30453-D495-1CD4-30A2-ED2DADAFB6D0}"/>
            </a:ext>
          </a:extLst>
        </xdr:cNvPr>
        <xdr:cNvGrpSpPr/>
      </xdr:nvGrpSpPr>
      <xdr:grpSpPr>
        <a:xfrm>
          <a:off x="17912043" y="756587"/>
          <a:ext cx="2960967" cy="1748863"/>
          <a:chOff x="3971925" y="762000"/>
          <a:chExt cx="3200400" cy="31051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8F5A8DDE-780E-F244-4698-DFACA9439B17}"/>
              </a:ext>
            </a:extLst>
          </xdr:cNvPr>
          <xdr:cNvSpPr/>
        </xdr:nvSpPr>
        <xdr:spPr>
          <a:xfrm>
            <a:off x="4543425" y="762000"/>
            <a:ext cx="2628900" cy="2628900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95D5F73F-73EE-BE46-7EE4-B2D546EDBC81}"/>
              </a:ext>
            </a:extLst>
          </xdr:cNvPr>
          <xdr:cNvCxnSpPr/>
        </xdr:nvCxnSpPr>
        <xdr:spPr>
          <a:xfrm flipV="1">
            <a:off x="4552950" y="838200"/>
            <a:ext cx="2524125" cy="2552700"/>
          </a:xfrm>
          <a:prstGeom prst="straightConnector1">
            <a:avLst/>
          </a:prstGeom>
          <a:ln w="571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488A567-9A16-1814-C8C1-29FAD49DB516}"/>
              </a:ext>
            </a:extLst>
          </xdr:cNvPr>
          <xdr:cNvCxnSpPr/>
        </xdr:nvCxnSpPr>
        <xdr:spPr>
          <a:xfrm flipH="1" flipV="1">
            <a:off x="4600575" y="809625"/>
            <a:ext cx="2495550" cy="2514600"/>
          </a:xfrm>
          <a:prstGeom prst="straightConnector1">
            <a:avLst/>
          </a:prstGeom>
          <a:ln w="571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9EA9843-5A67-FEF3-B3DE-1ADB3262E00E}"/>
              </a:ext>
            </a:extLst>
          </xdr:cNvPr>
          <xdr:cNvSpPr txBox="1"/>
        </xdr:nvSpPr>
        <xdr:spPr>
          <a:xfrm>
            <a:off x="3971925" y="1158397"/>
            <a:ext cx="419101" cy="8799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Y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781BA62-D818-4468-95EE-C1D861DE718E}"/>
              </a:ext>
            </a:extLst>
          </xdr:cNvPr>
          <xdr:cNvSpPr txBox="1"/>
        </xdr:nvSpPr>
        <xdr:spPr>
          <a:xfrm>
            <a:off x="5514976" y="3206477"/>
            <a:ext cx="419101" cy="66067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X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B9F9516-5DDC-4F4B-867F-A597BDD93585}"/>
              </a:ext>
            </a:extLst>
          </xdr:cNvPr>
          <xdr:cNvSpPr txBox="1"/>
        </xdr:nvSpPr>
        <xdr:spPr>
          <a:xfrm>
            <a:off x="5006948" y="2215471"/>
            <a:ext cx="508028" cy="5563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/>
              <a:t>a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6E65A258-B99A-4968-976F-D1594AAD3B53}"/>
              </a:ext>
            </a:extLst>
          </xdr:cNvPr>
          <xdr:cNvSpPr txBox="1"/>
        </xdr:nvSpPr>
        <xdr:spPr>
          <a:xfrm>
            <a:off x="6327964" y="2182437"/>
            <a:ext cx="558609" cy="5798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/>
              <a:t>b</a:t>
            </a:r>
          </a:p>
        </xdr:txBody>
      </xdr:sp>
    </xdr:grpSp>
    <xdr:clientData/>
  </xdr:twoCellAnchor>
  <xdr:twoCellAnchor>
    <xdr:from>
      <xdr:col>23</xdr:col>
      <xdr:colOff>76200</xdr:colOff>
      <xdr:row>4</xdr:row>
      <xdr:rowOff>57152</xdr:rowOff>
    </xdr:from>
    <xdr:to>
      <xdr:col>25</xdr:col>
      <xdr:colOff>450562</xdr:colOff>
      <xdr:row>13</xdr:row>
      <xdr:rowOff>9527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84E7DA3-4494-472A-A53E-A203C8CB3EE1}"/>
            </a:ext>
          </a:extLst>
        </xdr:cNvPr>
        <xdr:cNvGrpSpPr/>
      </xdr:nvGrpSpPr>
      <xdr:grpSpPr>
        <a:xfrm>
          <a:off x="23287318" y="804211"/>
          <a:ext cx="2727597" cy="1663140"/>
          <a:chOff x="3971925" y="762000"/>
          <a:chExt cx="3200400" cy="3105152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8786DB35-4830-60AB-68B1-F7DF61212532}"/>
              </a:ext>
            </a:extLst>
          </xdr:cNvPr>
          <xdr:cNvSpPr/>
        </xdr:nvSpPr>
        <xdr:spPr>
          <a:xfrm>
            <a:off x="4543425" y="762000"/>
            <a:ext cx="2628900" cy="2628900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A6C11139-29F9-956F-5BE3-9ADA5C2D67BB}"/>
              </a:ext>
            </a:extLst>
          </xdr:cNvPr>
          <xdr:cNvCxnSpPr/>
        </xdr:nvCxnSpPr>
        <xdr:spPr>
          <a:xfrm flipV="1">
            <a:off x="4552950" y="838200"/>
            <a:ext cx="2524125" cy="2552700"/>
          </a:xfrm>
          <a:prstGeom prst="straightConnector1">
            <a:avLst/>
          </a:prstGeom>
          <a:ln w="571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8EBED123-3378-3BE3-094D-76311C256E24}"/>
              </a:ext>
            </a:extLst>
          </xdr:cNvPr>
          <xdr:cNvCxnSpPr/>
        </xdr:nvCxnSpPr>
        <xdr:spPr>
          <a:xfrm flipH="1" flipV="1">
            <a:off x="4600575" y="809625"/>
            <a:ext cx="2495550" cy="2514600"/>
          </a:xfrm>
          <a:prstGeom prst="straightConnector1">
            <a:avLst/>
          </a:prstGeom>
          <a:ln w="571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D3FFC9CF-011B-7897-AA76-8278ABF1C01E}"/>
              </a:ext>
            </a:extLst>
          </xdr:cNvPr>
          <xdr:cNvSpPr txBox="1"/>
        </xdr:nvSpPr>
        <xdr:spPr>
          <a:xfrm>
            <a:off x="3971925" y="1600201"/>
            <a:ext cx="668438" cy="844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Z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473458BD-3DB7-DD1B-FF19-5A5F719A9874}"/>
              </a:ext>
            </a:extLst>
          </xdr:cNvPr>
          <xdr:cNvSpPr txBox="1"/>
        </xdr:nvSpPr>
        <xdr:spPr>
          <a:xfrm>
            <a:off x="5514974" y="3086525"/>
            <a:ext cx="625298" cy="78062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X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6E976632-558B-DDDB-4C02-E35F2B4CC5E8}"/>
              </a:ext>
            </a:extLst>
          </xdr:cNvPr>
          <xdr:cNvSpPr txBox="1"/>
        </xdr:nvSpPr>
        <xdr:spPr>
          <a:xfrm>
            <a:off x="5047947" y="2045692"/>
            <a:ext cx="467029" cy="72608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/>
              <a:t>a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13E908C-152D-526B-D33E-0A1617159D94}"/>
              </a:ext>
            </a:extLst>
          </xdr:cNvPr>
          <xdr:cNvSpPr txBox="1"/>
        </xdr:nvSpPr>
        <xdr:spPr>
          <a:xfrm>
            <a:off x="6450037" y="2167121"/>
            <a:ext cx="436540" cy="5951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/>
              <a:t>b</a:t>
            </a:r>
          </a:p>
        </xdr:txBody>
      </xdr:sp>
    </xdr:grpSp>
    <xdr:clientData/>
  </xdr:twoCellAnchor>
  <xdr:twoCellAnchor>
    <xdr:from>
      <xdr:col>29</xdr:col>
      <xdr:colOff>95250</xdr:colOff>
      <xdr:row>4</xdr:row>
      <xdr:rowOff>152400</xdr:rowOff>
    </xdr:from>
    <xdr:to>
      <xdr:col>31</xdr:col>
      <xdr:colOff>387989</xdr:colOff>
      <xdr:row>13</xdr:row>
      <xdr:rowOff>91715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7F41C6BB-A337-490C-9009-8B331F0E9192}"/>
            </a:ext>
          </a:extLst>
        </xdr:cNvPr>
        <xdr:cNvGrpSpPr/>
      </xdr:nvGrpSpPr>
      <xdr:grpSpPr>
        <a:xfrm>
          <a:off x="28072603" y="899459"/>
          <a:ext cx="2631033" cy="1650080"/>
          <a:chOff x="3971923" y="762000"/>
          <a:chExt cx="3200402" cy="3105150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EA606E8A-D076-BC49-86EE-F22BA6C1ABA9}"/>
              </a:ext>
            </a:extLst>
          </xdr:cNvPr>
          <xdr:cNvSpPr/>
        </xdr:nvSpPr>
        <xdr:spPr>
          <a:xfrm>
            <a:off x="4543425" y="762000"/>
            <a:ext cx="2628900" cy="2628900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A60454CF-74D8-DA9C-2340-4AFCBEB756D5}"/>
              </a:ext>
            </a:extLst>
          </xdr:cNvPr>
          <xdr:cNvCxnSpPr/>
        </xdr:nvCxnSpPr>
        <xdr:spPr>
          <a:xfrm flipV="1">
            <a:off x="4552950" y="838200"/>
            <a:ext cx="2524125" cy="2552700"/>
          </a:xfrm>
          <a:prstGeom prst="straightConnector1">
            <a:avLst/>
          </a:prstGeom>
          <a:ln w="571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CE907D56-B100-1681-40EE-838C3CE2ADCF}"/>
              </a:ext>
            </a:extLst>
          </xdr:cNvPr>
          <xdr:cNvCxnSpPr/>
        </xdr:nvCxnSpPr>
        <xdr:spPr>
          <a:xfrm flipH="1" flipV="1">
            <a:off x="4600575" y="809625"/>
            <a:ext cx="2495550" cy="2514600"/>
          </a:xfrm>
          <a:prstGeom prst="straightConnector1">
            <a:avLst/>
          </a:prstGeom>
          <a:ln w="5715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D2ECBA2C-8BE4-B036-8031-B4866A9F8DD9}"/>
              </a:ext>
            </a:extLst>
          </xdr:cNvPr>
          <xdr:cNvSpPr txBox="1"/>
        </xdr:nvSpPr>
        <xdr:spPr>
          <a:xfrm>
            <a:off x="3971923" y="1600200"/>
            <a:ext cx="715996" cy="78754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Z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25319A73-5D42-9728-E3E8-DCD74E3D5E28}"/>
              </a:ext>
            </a:extLst>
          </xdr:cNvPr>
          <xdr:cNvSpPr txBox="1"/>
        </xdr:nvSpPr>
        <xdr:spPr>
          <a:xfrm>
            <a:off x="5514975" y="3121950"/>
            <a:ext cx="587893" cy="745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Y</a:t>
            </a:r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C4343FFD-D48E-9B82-EE8C-5D5BB7898D5F}"/>
              </a:ext>
            </a:extLst>
          </xdr:cNvPr>
          <xdr:cNvSpPr txBox="1"/>
        </xdr:nvSpPr>
        <xdr:spPr>
          <a:xfrm>
            <a:off x="5143499" y="2143008"/>
            <a:ext cx="584322" cy="62876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/>
              <a:t>a</a:t>
            </a:r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4DF25FA1-6B8E-3FFE-D771-31089ACBC9D0}"/>
              </a:ext>
            </a:extLst>
          </xdr:cNvPr>
          <xdr:cNvSpPr txBox="1"/>
        </xdr:nvSpPr>
        <xdr:spPr>
          <a:xfrm>
            <a:off x="6515100" y="2090564"/>
            <a:ext cx="525383" cy="67168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GB" sz="2400"/>
              <a:t>b</a:t>
            </a:r>
          </a:p>
        </xdr:txBody>
      </xdr:sp>
    </xdr:grpSp>
    <xdr:clientData/>
  </xdr:twoCellAnchor>
  <xdr:twoCellAnchor>
    <xdr:from>
      <xdr:col>15</xdr:col>
      <xdr:colOff>390525</xdr:colOff>
      <xdr:row>30</xdr:row>
      <xdr:rowOff>142875</xdr:rowOff>
    </xdr:from>
    <xdr:to>
      <xdr:col>15</xdr:col>
      <xdr:colOff>390525</xdr:colOff>
      <xdr:row>47</xdr:row>
      <xdr:rowOff>57150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78DF4EC-F025-0420-C047-C7DB26360A84}"/>
            </a:ext>
          </a:extLst>
        </xdr:cNvPr>
        <xdr:cNvCxnSpPr/>
      </xdr:nvCxnSpPr>
      <xdr:spPr>
        <a:xfrm flipV="1">
          <a:off x="15106650" y="5981700"/>
          <a:ext cx="0" cy="3162300"/>
        </a:xfrm>
        <a:prstGeom prst="line">
          <a:avLst/>
        </a:prstGeom>
        <a:ln w="57150">
          <a:prstDash val="sysDash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371475</xdr:colOff>
      <xdr:row>31</xdr:row>
      <xdr:rowOff>76200</xdr:rowOff>
    </xdr:from>
    <xdr:to>
      <xdr:col>16</xdr:col>
      <xdr:colOff>514350</xdr:colOff>
      <xdr:row>47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4F62C70-8F54-4070-842B-D426B305B1E5}"/>
            </a:ext>
          </a:extLst>
        </xdr:cNvPr>
        <xdr:cNvCxnSpPr/>
      </xdr:nvCxnSpPr>
      <xdr:spPr>
        <a:xfrm flipV="1">
          <a:off x="15087600" y="6105525"/>
          <a:ext cx="1076325" cy="3000375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31</xdr:row>
      <xdr:rowOff>76200</xdr:rowOff>
    </xdr:from>
    <xdr:to>
      <xdr:col>15</xdr:col>
      <xdr:colOff>390525</xdr:colOff>
      <xdr:row>47</xdr:row>
      <xdr:rowOff>19050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332A8FC-7401-4740-96C0-9F72DD28FD5D}"/>
            </a:ext>
          </a:extLst>
        </xdr:cNvPr>
        <xdr:cNvCxnSpPr/>
      </xdr:nvCxnSpPr>
      <xdr:spPr>
        <a:xfrm flipH="1" flipV="1">
          <a:off x="14011275" y="6105525"/>
          <a:ext cx="1095375" cy="3000375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390525</xdr:colOff>
      <xdr:row>31</xdr:row>
      <xdr:rowOff>104775</xdr:rowOff>
    </xdr:from>
    <xdr:to>
      <xdr:col>16</xdr:col>
      <xdr:colOff>333375</xdr:colOff>
      <xdr:row>32</xdr:row>
      <xdr:rowOff>171450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E625D10-958E-579F-F683-721E6F36426B}"/>
            </a:ext>
          </a:extLst>
        </xdr:cNvPr>
        <xdr:cNvCxnSpPr/>
      </xdr:nvCxnSpPr>
      <xdr:spPr>
        <a:xfrm>
          <a:off x="15106650" y="6134100"/>
          <a:ext cx="876300" cy="25717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31</xdr:row>
      <xdr:rowOff>114300</xdr:rowOff>
    </xdr:from>
    <xdr:to>
      <xdr:col>15</xdr:col>
      <xdr:colOff>381000</xdr:colOff>
      <xdr:row>32</xdr:row>
      <xdr:rowOff>142875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DC44CF-413A-4F88-ADA0-7C7A03054C83}"/>
            </a:ext>
          </a:extLst>
        </xdr:cNvPr>
        <xdr:cNvCxnSpPr/>
      </xdr:nvCxnSpPr>
      <xdr:spPr>
        <a:xfrm flipH="1">
          <a:off x="14116050" y="6143625"/>
          <a:ext cx="981075" cy="21907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742950</xdr:colOff>
      <xdr:row>29</xdr:row>
      <xdr:rowOff>161925</xdr:rowOff>
    </xdr:from>
    <xdr:to>
      <xdr:col>16</xdr:col>
      <xdr:colOff>419100</xdr:colOff>
      <xdr:row>31</xdr:row>
      <xdr:rowOff>101739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A97491-B2D1-4A3E-8800-C127157EEC0C}"/>
            </a:ext>
          </a:extLst>
        </xdr:cNvPr>
        <xdr:cNvSpPr txBox="1"/>
      </xdr:nvSpPr>
      <xdr:spPr>
        <a:xfrm>
          <a:off x="15459075" y="5810250"/>
          <a:ext cx="609600" cy="320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2400"/>
            <a:t>-ve</a:t>
          </a:r>
        </a:p>
      </xdr:txBody>
    </xdr:sp>
    <xdr:clientData/>
  </xdr:twoCellAnchor>
  <xdr:twoCellAnchor>
    <xdr:from>
      <xdr:col>14</xdr:col>
      <xdr:colOff>400050</xdr:colOff>
      <xdr:row>29</xdr:row>
      <xdr:rowOff>142875</xdr:rowOff>
    </xdr:from>
    <xdr:to>
      <xdr:col>15</xdr:col>
      <xdr:colOff>171450</xdr:colOff>
      <xdr:row>31</xdr:row>
      <xdr:rowOff>82689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DADAE95-68F2-4053-8CCD-6F6831D838D8}"/>
            </a:ext>
          </a:extLst>
        </xdr:cNvPr>
        <xdr:cNvSpPr txBox="1"/>
      </xdr:nvSpPr>
      <xdr:spPr>
        <a:xfrm>
          <a:off x="14201775" y="5791200"/>
          <a:ext cx="685800" cy="320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2400"/>
            <a:t>+ve</a:t>
          </a:r>
        </a:p>
      </xdr:txBody>
    </xdr:sp>
    <xdr:clientData/>
  </xdr:twoCellAnchor>
  <xdr:twoCellAnchor editAs="oneCell">
    <xdr:from>
      <xdr:col>4</xdr:col>
      <xdr:colOff>515471</xdr:colOff>
      <xdr:row>98</xdr:row>
      <xdr:rowOff>156884</xdr:rowOff>
    </xdr:from>
    <xdr:to>
      <xdr:col>8</xdr:col>
      <xdr:colOff>381067</xdr:colOff>
      <xdr:row>109</xdr:row>
      <xdr:rowOff>145676</xdr:rowOff>
    </xdr:to>
    <xdr:pic>
      <xdr:nvPicPr>
        <xdr:cNvPr id="5" name="Picture 4" descr="skew_lengths">
          <a:extLst>
            <a:ext uri="{FF2B5EF4-FFF2-40B4-BE49-F238E27FC236}">
              <a16:creationId xmlns:a16="http://schemas.microsoft.com/office/drawing/2014/main" id="{DD6C41EF-F0A9-CB53-63D4-173F2D676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5853" y="19027590"/>
          <a:ext cx="2846361" cy="2129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E97B-484C-49CC-958C-1D8C3FE146D4}">
  <sheetPr codeName="Sheet1"/>
  <dimension ref="A1:Q140"/>
  <sheetViews>
    <sheetView tabSelected="1" topLeftCell="A97" zoomScaleNormal="100" workbookViewId="0">
      <selection activeCell="C137" sqref="C137"/>
    </sheetView>
  </sheetViews>
  <sheetFormatPr defaultRowHeight="14.5" x14ac:dyDescent="0.35"/>
  <cols>
    <col min="1" max="1" width="13.26953125" customWidth="1"/>
    <col min="2" max="7" width="18.26953125" customWidth="1"/>
  </cols>
  <sheetData>
    <row r="1" spans="1:8" ht="36" x14ac:dyDescent="0.8">
      <c r="C1" s="44" t="s">
        <v>0</v>
      </c>
      <c r="F1" s="85" t="s">
        <v>186</v>
      </c>
    </row>
    <row r="2" spans="1:8" s="70" customFormat="1" ht="23.5" x14ac:dyDescent="0.55000000000000004">
      <c r="C2" s="83" t="s">
        <v>1</v>
      </c>
    </row>
    <row r="3" spans="1:8" s="70" customFormat="1" ht="23.5" x14ac:dyDescent="0.55000000000000004"/>
    <row r="4" spans="1:8" s="70" customFormat="1" ht="23.5" x14ac:dyDescent="0.55000000000000004">
      <c r="A4" s="43" t="s">
        <v>2</v>
      </c>
    </row>
    <row r="5" spans="1:8" ht="15.75" customHeight="1" x14ac:dyDescent="0.35">
      <c r="B5" s="7" t="s">
        <v>3</v>
      </c>
    </row>
    <row r="6" spans="1:8" ht="15.75" customHeight="1" x14ac:dyDescent="0.35">
      <c r="B6" t="s">
        <v>4</v>
      </c>
      <c r="C6" s="81" t="s">
        <v>5</v>
      </c>
      <c r="F6" s="34"/>
    </row>
    <row r="7" spans="1:8" ht="15.75" customHeight="1" x14ac:dyDescent="0.35">
      <c r="F7" s="34"/>
    </row>
    <row r="8" spans="1:8" ht="15.75" customHeight="1" x14ac:dyDescent="0.35">
      <c r="A8" s="7" t="s">
        <v>5</v>
      </c>
      <c r="F8" s="34"/>
    </row>
    <row r="9" spans="1:8" ht="15.75" customHeight="1" thickBot="1" x14ac:dyDescent="0.4">
      <c r="B9" s="27" t="s">
        <v>6</v>
      </c>
      <c r="C9" s="27" t="s">
        <v>7</v>
      </c>
      <c r="D9" s="27" t="s">
        <v>8</v>
      </c>
    </row>
    <row r="10" spans="1:8" ht="15.75" customHeight="1" thickTop="1" x14ac:dyDescent="0.35">
      <c r="A10" s="7"/>
      <c r="B10" s="109">
        <v>2.7137115591768898E-3</v>
      </c>
      <c r="C10" s="110">
        <v>0</v>
      </c>
      <c r="D10" s="110">
        <v>0</v>
      </c>
      <c r="F10" s="34"/>
      <c r="H10" s="22"/>
    </row>
    <row r="11" spans="1:8" ht="15.75" customHeight="1" x14ac:dyDescent="0.35">
      <c r="A11" s="7"/>
      <c r="C11" s="58"/>
      <c r="D11" s="34"/>
      <c r="E11" s="34"/>
      <c r="F11" s="34"/>
    </row>
    <row r="12" spans="1:8" ht="15.75" customHeight="1" thickBot="1" x14ac:dyDescent="0.4">
      <c r="A12" s="7" t="s">
        <v>9</v>
      </c>
      <c r="B12" s="27" t="s">
        <v>6</v>
      </c>
      <c r="C12" s="27" t="s">
        <v>10</v>
      </c>
      <c r="D12" s="27" t="s">
        <v>11</v>
      </c>
      <c r="E12" s="34"/>
    </row>
    <row r="13" spans="1:8" ht="15.75" customHeight="1" thickTop="1" x14ac:dyDescent="0.35">
      <c r="A13" s="7"/>
      <c r="B13" s="93">
        <v>0</v>
      </c>
      <c r="C13" s="93">
        <v>0</v>
      </c>
      <c r="D13" s="93">
        <v>0</v>
      </c>
      <c r="E13" s="34"/>
    </row>
    <row r="14" spans="1:8" ht="15.75" customHeight="1" x14ac:dyDescent="0.35">
      <c r="A14" s="7"/>
      <c r="C14" s="34"/>
      <c r="D14" s="34"/>
      <c r="E14" s="34"/>
      <c r="F14" s="34"/>
    </row>
    <row r="15" spans="1:8" ht="15.75" customHeight="1" x14ac:dyDescent="0.35">
      <c r="A15" s="7"/>
      <c r="C15" s="58"/>
      <c r="D15" s="34"/>
      <c r="E15" s="34"/>
      <c r="F15" s="34"/>
    </row>
    <row r="16" spans="1:8" ht="15.75" customHeight="1" thickBot="1" x14ac:dyDescent="0.4">
      <c r="A16" s="7" t="s">
        <v>12</v>
      </c>
      <c r="B16" s="27" t="s">
        <v>13</v>
      </c>
      <c r="C16" s="27" t="s">
        <v>14</v>
      </c>
      <c r="D16" s="27" t="s">
        <v>15</v>
      </c>
      <c r="E16" s="27" t="s">
        <v>16</v>
      </c>
    </row>
    <row r="17" spans="1:7" ht="15.75" customHeight="1" thickTop="1" x14ac:dyDescent="0.35">
      <c r="B17" s="88">
        <v>100</v>
      </c>
      <c r="C17" s="89">
        <v>0</v>
      </c>
      <c r="D17" s="89">
        <v>0</v>
      </c>
      <c r="E17" s="89">
        <v>0</v>
      </c>
      <c r="F17" s="34"/>
    </row>
    <row r="18" spans="1:7" ht="15.75" customHeight="1" x14ac:dyDescent="0.35"/>
    <row r="19" spans="1:7" ht="21" x14ac:dyDescent="0.5">
      <c r="A19" s="43" t="s">
        <v>17</v>
      </c>
    </row>
    <row r="20" spans="1:7" s="18" customFormat="1" ht="18" customHeight="1" x14ac:dyDescent="0.25">
      <c r="A20" s="26" t="s">
        <v>18</v>
      </c>
    </row>
    <row r="21" spans="1:7" s="18" customFormat="1" ht="17.25" customHeight="1" x14ac:dyDescent="0.25">
      <c r="A21" s="26"/>
      <c r="B21" s="36" t="s">
        <v>19</v>
      </c>
      <c r="C21" s="39">
        <v>1</v>
      </c>
    </row>
    <row r="22" spans="1:7" s="18" customFormat="1" ht="17.25" customHeight="1" x14ac:dyDescent="0.25">
      <c r="A22" s="26"/>
      <c r="B22" s="25" t="s">
        <v>20</v>
      </c>
      <c r="D22" s="25"/>
      <c r="E22" s="25"/>
      <c r="F22" s="25"/>
    </row>
    <row r="24" spans="1:7" ht="18.75" customHeight="1" thickBot="1" x14ac:dyDescent="0.6">
      <c r="A24" s="70"/>
      <c r="B24" s="27" t="s">
        <v>21</v>
      </c>
      <c r="C24" s="27" t="s">
        <v>22</v>
      </c>
      <c r="D24" s="27" t="s">
        <v>23</v>
      </c>
      <c r="E24" s="27" t="s">
        <v>24</v>
      </c>
      <c r="F24" s="27" t="s">
        <v>25</v>
      </c>
      <c r="G24" s="64" t="s">
        <v>26</v>
      </c>
    </row>
    <row r="25" spans="1:7" ht="16" thickTop="1" x14ac:dyDescent="0.35">
      <c r="A25" s="68">
        <v>1</v>
      </c>
      <c r="B25" s="34" t="s">
        <v>27</v>
      </c>
      <c r="C25" s="92">
        <v>100.04</v>
      </c>
      <c r="D25" s="42">
        <v>100.06</v>
      </c>
      <c r="E25" s="42">
        <v>100.07</v>
      </c>
      <c r="F25" s="99">
        <f>Data!I2</f>
        <v>100.05666666666667</v>
      </c>
      <c r="G25" s="63">
        <f>Data!P2</f>
        <v>1</v>
      </c>
    </row>
    <row r="26" spans="1:7" ht="15.5" x14ac:dyDescent="0.35">
      <c r="A26" s="68">
        <v>2</v>
      </c>
      <c r="B26" s="66" t="s">
        <v>27</v>
      </c>
      <c r="C26" s="90">
        <v>49.89</v>
      </c>
      <c r="D26" s="91">
        <v>49.96</v>
      </c>
      <c r="E26" s="91">
        <v>49.97</v>
      </c>
      <c r="F26" s="100">
        <f>Data!I3</f>
        <v>49.94</v>
      </c>
      <c r="G26" s="67">
        <f>Data!P3</f>
        <v>1</v>
      </c>
    </row>
    <row r="27" spans="1:7" ht="15.5" x14ac:dyDescent="0.35">
      <c r="A27" s="68">
        <v>3</v>
      </c>
      <c r="B27" s="34" t="s">
        <v>28</v>
      </c>
      <c r="C27" s="92">
        <v>100.16</v>
      </c>
      <c r="D27" s="42">
        <v>100.16</v>
      </c>
      <c r="E27" s="42">
        <v>100.16</v>
      </c>
      <c r="F27" s="101">
        <f>Data!I4</f>
        <v>100.16000000000001</v>
      </c>
      <c r="G27" s="63">
        <f>Data!P4</f>
        <v>1</v>
      </c>
    </row>
    <row r="28" spans="1:7" ht="15.5" x14ac:dyDescent="0.35">
      <c r="A28" s="68">
        <v>4</v>
      </c>
      <c r="B28" s="66" t="s">
        <v>28</v>
      </c>
      <c r="C28" s="90">
        <v>50.09</v>
      </c>
      <c r="D28" s="91">
        <v>50.1</v>
      </c>
      <c r="E28" s="91">
        <v>50.09</v>
      </c>
      <c r="F28" s="100">
        <f>Data!I5</f>
        <v>50.093333333333334</v>
      </c>
      <c r="G28" s="67">
        <f>Data!P5</f>
        <v>1</v>
      </c>
    </row>
    <row r="29" spans="1:7" ht="15.5" x14ac:dyDescent="0.35">
      <c r="A29" s="68">
        <v>5</v>
      </c>
      <c r="B29" s="34" t="s">
        <v>27</v>
      </c>
      <c r="C29" s="92">
        <v>100.07</v>
      </c>
      <c r="D29" s="42">
        <v>100.03</v>
      </c>
      <c r="E29" s="42">
        <v>100.04</v>
      </c>
      <c r="F29" s="101">
        <f>Data!I6</f>
        <v>100.04666666666667</v>
      </c>
      <c r="G29" s="63">
        <f>Data!P6</f>
        <v>1</v>
      </c>
    </row>
    <row r="30" spans="1:7" ht="15.5" x14ac:dyDescent="0.35">
      <c r="A30" s="68">
        <v>6</v>
      </c>
      <c r="B30" s="66" t="s">
        <v>27</v>
      </c>
      <c r="C30" s="90">
        <v>49.99</v>
      </c>
      <c r="D30" s="91">
        <v>49.99</v>
      </c>
      <c r="E30" s="91">
        <v>49.99</v>
      </c>
      <c r="F30" s="100">
        <f>Data!I7</f>
        <v>49.99</v>
      </c>
      <c r="G30" s="67">
        <f>Data!P7</f>
        <v>1</v>
      </c>
    </row>
    <row r="31" spans="1:7" ht="15.5" x14ac:dyDescent="0.35">
      <c r="A31" s="68">
        <v>7</v>
      </c>
      <c r="B31" s="34" t="s">
        <v>28</v>
      </c>
      <c r="C31" s="92">
        <v>100</v>
      </c>
      <c r="D31" s="42">
        <v>99.97</v>
      </c>
      <c r="E31" s="42">
        <v>99.97</v>
      </c>
      <c r="F31" s="101">
        <f>Data!I8</f>
        <v>99.98</v>
      </c>
      <c r="G31" s="63">
        <f>Data!P8</f>
        <v>1</v>
      </c>
    </row>
    <row r="32" spans="1:7" ht="15.5" x14ac:dyDescent="0.35">
      <c r="A32" s="68">
        <v>8</v>
      </c>
      <c r="B32" s="66" t="s">
        <v>28</v>
      </c>
      <c r="C32" s="90">
        <v>50.01</v>
      </c>
      <c r="D32" s="91">
        <v>50</v>
      </c>
      <c r="E32" s="91">
        <v>50.02</v>
      </c>
      <c r="F32" s="100">
        <f>Data!I9</f>
        <v>50.01</v>
      </c>
      <c r="G32" s="67">
        <f>Data!P9</f>
        <v>1</v>
      </c>
    </row>
    <row r="33" spans="1:7" ht="15.5" x14ac:dyDescent="0.35">
      <c r="A33" s="68">
        <v>9</v>
      </c>
      <c r="B33" s="34" t="s">
        <v>27</v>
      </c>
      <c r="C33" s="92">
        <v>89.76</v>
      </c>
      <c r="D33" s="42">
        <v>89.82</v>
      </c>
      <c r="E33" s="42">
        <v>89.82</v>
      </c>
      <c r="F33" s="101">
        <f>Data!I10</f>
        <v>89.8</v>
      </c>
      <c r="G33" s="63">
        <f>Data!P10</f>
        <v>1</v>
      </c>
    </row>
    <row r="34" spans="1:7" ht="15.5" x14ac:dyDescent="0.35">
      <c r="A34" s="68">
        <v>10</v>
      </c>
      <c r="B34" s="66" t="s">
        <v>27</v>
      </c>
      <c r="C34" s="90">
        <v>44.87</v>
      </c>
      <c r="D34" s="91">
        <v>44.86</v>
      </c>
      <c r="E34" s="91">
        <v>44.84</v>
      </c>
      <c r="F34" s="100">
        <f>Data!I11</f>
        <v>44.856666666666662</v>
      </c>
      <c r="G34" s="67">
        <f>Data!P11</f>
        <v>1</v>
      </c>
    </row>
    <row r="35" spans="1:7" ht="15.5" x14ac:dyDescent="0.35">
      <c r="A35" s="68">
        <v>11</v>
      </c>
      <c r="B35" s="34" t="s">
        <v>27</v>
      </c>
      <c r="C35" s="92">
        <v>99.91</v>
      </c>
      <c r="D35" s="42">
        <v>99.89</v>
      </c>
      <c r="E35" s="42">
        <v>99.87</v>
      </c>
      <c r="F35" s="101">
        <f>Data!I12</f>
        <v>99.89</v>
      </c>
      <c r="G35" s="63">
        <f>Data!P12</f>
        <v>1</v>
      </c>
    </row>
    <row r="36" spans="1:7" ht="15.5" x14ac:dyDescent="0.35">
      <c r="A36" s="68">
        <v>12</v>
      </c>
      <c r="B36" s="66" t="s">
        <v>28</v>
      </c>
      <c r="C36" s="90">
        <v>100.35</v>
      </c>
      <c r="D36" s="91">
        <v>100.31</v>
      </c>
      <c r="E36" s="91">
        <v>100.34</v>
      </c>
      <c r="F36" s="100">
        <f>Data!I13</f>
        <v>100.33333333333333</v>
      </c>
      <c r="G36" s="67">
        <f>Data!P13</f>
        <v>1</v>
      </c>
    </row>
    <row r="37" spans="1:7" ht="15.5" x14ac:dyDescent="0.35">
      <c r="A37" s="68">
        <v>13</v>
      </c>
      <c r="B37" s="34" t="s">
        <v>27</v>
      </c>
      <c r="C37" s="92">
        <v>100.06</v>
      </c>
      <c r="D37" s="42">
        <v>100.03</v>
      </c>
      <c r="E37" s="42">
        <v>100.04</v>
      </c>
      <c r="F37" s="101">
        <f>Data!I14</f>
        <v>100.04333333333334</v>
      </c>
      <c r="G37" s="63">
        <f>Data!P14</f>
        <v>1</v>
      </c>
    </row>
    <row r="38" spans="1:7" ht="15.5" x14ac:dyDescent="0.35">
      <c r="A38" s="68">
        <v>14</v>
      </c>
      <c r="B38" s="66" t="s">
        <v>28</v>
      </c>
      <c r="C38" s="90">
        <v>100.52</v>
      </c>
      <c r="D38" s="91">
        <v>100.47</v>
      </c>
      <c r="E38" s="91">
        <v>100.47</v>
      </c>
      <c r="F38" s="100">
        <f>Data!I15</f>
        <v>100.48666666666668</v>
      </c>
      <c r="G38" s="67">
        <f>Data!P15</f>
        <v>1</v>
      </c>
    </row>
    <row r="39" spans="1:7" ht="15.5" x14ac:dyDescent="0.35">
      <c r="A39" s="68">
        <v>15</v>
      </c>
      <c r="B39" s="34" t="s">
        <v>27</v>
      </c>
      <c r="C39" s="92">
        <v>99.78</v>
      </c>
      <c r="D39" s="42">
        <v>99.78</v>
      </c>
      <c r="E39" s="42">
        <v>99.8</v>
      </c>
      <c r="F39" s="101">
        <f>Data!I16</f>
        <v>99.786666666666676</v>
      </c>
      <c r="G39" s="63">
        <f>Data!P16</f>
        <v>1</v>
      </c>
    </row>
    <row r="40" spans="1:7" ht="15.5" x14ac:dyDescent="0.35">
      <c r="A40" s="68">
        <v>16</v>
      </c>
      <c r="B40" s="66" t="s">
        <v>28</v>
      </c>
      <c r="C40" s="90">
        <v>100.01</v>
      </c>
      <c r="D40" s="91">
        <v>99.98</v>
      </c>
      <c r="E40" s="91">
        <v>100.05</v>
      </c>
      <c r="F40" s="100">
        <f>Data!I17</f>
        <v>100.01333333333334</v>
      </c>
      <c r="G40" s="67">
        <f>Data!P17</f>
        <v>1</v>
      </c>
    </row>
    <row r="41" spans="1:7" ht="15.5" x14ac:dyDescent="0.35">
      <c r="A41" s="68">
        <v>17</v>
      </c>
      <c r="B41" s="34" t="s">
        <v>27</v>
      </c>
      <c r="C41" s="92">
        <v>99.77</v>
      </c>
      <c r="D41" s="42">
        <v>99.77</v>
      </c>
      <c r="E41" s="42">
        <v>99.75</v>
      </c>
      <c r="F41" s="101">
        <f>Data!I18</f>
        <v>99.763333333333321</v>
      </c>
      <c r="G41" s="63">
        <f>Data!P18</f>
        <v>1</v>
      </c>
    </row>
    <row r="42" spans="1:7" ht="15.5" x14ac:dyDescent="0.35">
      <c r="A42" s="68">
        <v>18</v>
      </c>
      <c r="B42" s="66" t="s">
        <v>28</v>
      </c>
      <c r="C42" s="90">
        <v>99.96</v>
      </c>
      <c r="D42" s="91">
        <v>99.87</v>
      </c>
      <c r="E42" s="91">
        <v>99.95</v>
      </c>
      <c r="F42" s="100">
        <f>Data!I19</f>
        <v>99.926666666666662</v>
      </c>
      <c r="G42" s="67">
        <f>Data!P19</f>
        <v>1</v>
      </c>
    </row>
    <row r="43" spans="1:7" ht="15.5" x14ac:dyDescent="0.35">
      <c r="A43" s="68">
        <v>19</v>
      </c>
      <c r="B43" s="34" t="s">
        <v>27</v>
      </c>
      <c r="C43" s="92">
        <v>99.86</v>
      </c>
      <c r="D43" s="42">
        <v>99.87</v>
      </c>
      <c r="E43" s="42">
        <v>99.81</v>
      </c>
      <c r="F43" s="101">
        <f>Data!I20</f>
        <v>99.846666666666678</v>
      </c>
      <c r="G43" s="63">
        <f>Data!P20</f>
        <v>1</v>
      </c>
    </row>
    <row r="44" spans="1:7" ht="15.5" x14ac:dyDescent="0.35">
      <c r="A44" s="68">
        <v>20</v>
      </c>
      <c r="B44" s="66" t="s">
        <v>28</v>
      </c>
      <c r="C44" s="90">
        <v>99.94</v>
      </c>
      <c r="D44" s="91">
        <v>99.94</v>
      </c>
      <c r="E44" s="91">
        <v>99.95</v>
      </c>
      <c r="F44" s="100">
        <f>Data!I21</f>
        <v>99.943333333333328</v>
      </c>
      <c r="G44" s="67">
        <f>Data!P21</f>
        <v>1</v>
      </c>
    </row>
    <row r="45" spans="1:7" ht="15.5" x14ac:dyDescent="0.35">
      <c r="A45" s="68">
        <v>21</v>
      </c>
      <c r="B45" s="34" t="s">
        <v>27</v>
      </c>
      <c r="C45" s="92">
        <v>99.95</v>
      </c>
      <c r="D45" s="42">
        <v>99.95</v>
      </c>
      <c r="E45" s="42">
        <v>99.93</v>
      </c>
      <c r="F45" s="101">
        <f>Data!I22</f>
        <v>99.943333333333342</v>
      </c>
      <c r="G45" s="63">
        <f>Data!P22</f>
        <v>1</v>
      </c>
    </row>
    <row r="46" spans="1:7" ht="15.5" x14ac:dyDescent="0.35">
      <c r="A46" s="68">
        <v>22</v>
      </c>
      <c r="B46" s="66" t="s">
        <v>28</v>
      </c>
      <c r="C46" s="90">
        <v>99.67</v>
      </c>
      <c r="D46" s="91">
        <v>99.74</v>
      </c>
      <c r="E46" s="91">
        <v>99.78</v>
      </c>
      <c r="F46" s="100">
        <f>Data!I23</f>
        <v>99.73</v>
      </c>
      <c r="G46" s="67">
        <f>Data!P23</f>
        <v>1</v>
      </c>
    </row>
    <row r="48" spans="1:7" x14ac:dyDescent="0.35">
      <c r="B48" s="63">
        <v>1</v>
      </c>
      <c r="C48" s="15" t="s">
        <v>29</v>
      </c>
      <c r="D48" s="15"/>
      <c r="E48" s="15"/>
      <c r="F48" s="15"/>
      <c r="G48" s="15"/>
    </row>
    <row r="49" spans="1:10" x14ac:dyDescent="0.35">
      <c r="B49" s="63">
        <v>0.75</v>
      </c>
      <c r="C49" s="16" t="s">
        <v>30</v>
      </c>
      <c r="D49" s="16"/>
      <c r="E49" s="16"/>
      <c r="F49" s="16"/>
      <c r="G49" s="16"/>
    </row>
    <row r="50" spans="1:10" x14ac:dyDescent="0.35">
      <c r="B50" s="63">
        <v>0</v>
      </c>
      <c r="C50" s="17" t="s">
        <v>31</v>
      </c>
      <c r="D50" s="17"/>
      <c r="E50" s="17"/>
      <c r="F50" s="17"/>
      <c r="G50" s="17"/>
    </row>
    <row r="52" spans="1:10" ht="26" x14ac:dyDescent="0.6">
      <c r="A52" s="69" t="s">
        <v>32</v>
      </c>
      <c r="I52" s="70"/>
    </row>
    <row r="53" spans="1:10" ht="17.25" customHeight="1" x14ac:dyDescent="0.55000000000000004">
      <c r="A53" s="2" t="s">
        <v>33</v>
      </c>
      <c r="B53" s="84">
        <f>Data!E92</f>
        <v>839.74045161857134</v>
      </c>
      <c r="I53" s="70"/>
    </row>
    <row r="54" spans="1:10" ht="17.25" customHeight="1" x14ac:dyDescent="0.55000000000000004">
      <c r="I54" s="70"/>
    </row>
    <row r="55" spans="1:10" ht="17.25" customHeight="1" x14ac:dyDescent="0.6">
      <c r="A55" s="69"/>
      <c r="I55" s="70"/>
    </row>
    <row r="56" spans="1:10" ht="17.25" customHeight="1" x14ac:dyDescent="0.55000000000000004">
      <c r="A56" s="2" t="s">
        <v>34</v>
      </c>
      <c r="I56" s="70"/>
    </row>
    <row r="57" spans="1:10" ht="16" thickBot="1" x14ac:dyDescent="0.4">
      <c r="A57" s="28"/>
      <c r="B57" s="30" t="s">
        <v>35</v>
      </c>
      <c r="C57" s="27" t="s">
        <v>36</v>
      </c>
      <c r="I57" s="35"/>
    </row>
    <row r="58" spans="1:10" ht="16" thickTop="1" x14ac:dyDescent="0.35">
      <c r="A58" s="29" t="s">
        <v>14</v>
      </c>
      <c r="B58" s="6">
        <f>Data!B70</f>
        <v>7.0833333333336418E-4</v>
      </c>
      <c r="C58" s="1">
        <f>B58*-1</f>
        <v>-7.0833333333336418E-4</v>
      </c>
      <c r="E58" s="35"/>
      <c r="I58" s="35"/>
    </row>
    <row r="59" spans="1:10" ht="15.5" x14ac:dyDescent="0.35">
      <c r="A59" s="29" t="s">
        <v>15</v>
      </c>
      <c r="B59" s="6">
        <f>Data!C70</f>
        <v>6.6666666666677078E-5</v>
      </c>
      <c r="C59" s="1">
        <f>B59*-1</f>
        <v>-6.6666666666677078E-5</v>
      </c>
      <c r="I59" s="35"/>
    </row>
    <row r="60" spans="1:10" ht="15.5" x14ac:dyDescent="0.35">
      <c r="A60" s="29" t="s">
        <v>16</v>
      </c>
      <c r="B60" s="6">
        <f>Data!D70</f>
        <v>-2.703703703703771E-3</v>
      </c>
      <c r="C60" s="1">
        <f>B60*-1</f>
        <v>2.703703703703771E-3</v>
      </c>
      <c r="I60" s="35"/>
    </row>
    <row r="61" spans="1:10" ht="15.5" x14ac:dyDescent="0.35">
      <c r="A61" s="9"/>
      <c r="B61" s="6"/>
      <c r="C61" s="1"/>
      <c r="I61" s="35"/>
    </row>
    <row r="62" spans="1:10" ht="15.5" x14ac:dyDescent="0.35">
      <c r="A62" s="2" t="s">
        <v>3</v>
      </c>
    </row>
    <row r="63" spans="1:10" ht="31.5" thickBot="1" x14ac:dyDescent="0.4">
      <c r="A63" s="2"/>
      <c r="B63" s="30" t="s">
        <v>193</v>
      </c>
      <c r="C63" s="30" t="s">
        <v>3</v>
      </c>
      <c r="D63" s="104" t="s">
        <v>198</v>
      </c>
      <c r="E63" s="104" t="s">
        <v>199</v>
      </c>
      <c r="F63" s="106"/>
      <c r="G63" s="105"/>
      <c r="J63" s="35"/>
    </row>
    <row r="64" spans="1:10" ht="16" thickTop="1" x14ac:dyDescent="0.35">
      <c r="A64" s="29" t="s">
        <v>38</v>
      </c>
      <c r="B64" s="87">
        <f>Data!S28</f>
        <v>90.087688606076341</v>
      </c>
      <c r="C64" s="87">
        <f>Data!S29</f>
        <v>8.7688606076341102E-2</v>
      </c>
      <c r="D64" s="87">
        <f>Data!B53</f>
        <v>0.15548421915670194</v>
      </c>
      <c r="E64" s="87">
        <f>Data!S35</f>
        <v>9.9416299430666405E-2</v>
      </c>
      <c r="F64" s="51"/>
      <c r="J64" s="35"/>
    </row>
    <row r="65" spans="1:17" ht="15.5" x14ac:dyDescent="0.35">
      <c r="A65" s="29" t="s">
        <v>39</v>
      </c>
      <c r="B65" s="87">
        <f>Data!Y28</f>
        <v>89.968446842750794</v>
      </c>
      <c r="C65" s="87">
        <f>Data!Y29</f>
        <v>-3.1553157249206265E-2</v>
      </c>
      <c r="D65" s="87">
        <f>Data!C53</f>
        <v>0</v>
      </c>
      <c r="E65" s="87">
        <f>Data!Y35</f>
        <v>3.1553157249206265E-2</v>
      </c>
      <c r="F65" s="51"/>
      <c r="J65" s="35"/>
    </row>
    <row r="66" spans="1:17" ht="15.5" x14ac:dyDescent="0.35">
      <c r="A66" s="29" t="s">
        <v>40</v>
      </c>
      <c r="B66" s="87">
        <f>Data!AE28</f>
        <v>89.966532427457039</v>
      </c>
      <c r="C66" s="87">
        <f>Data!AE29</f>
        <v>-3.3467572542960511E-2</v>
      </c>
      <c r="D66" s="87">
        <f>Data!D53</f>
        <v>0</v>
      </c>
      <c r="E66" s="87">
        <f>Data!AE35</f>
        <v>3.3467572542960511E-2</v>
      </c>
      <c r="F66" s="51"/>
      <c r="J66" s="35"/>
    </row>
    <row r="67" spans="1:17" ht="15.5" x14ac:dyDescent="0.35">
      <c r="A67" s="9"/>
      <c r="B67" s="8"/>
      <c r="C67" s="8"/>
      <c r="I67" s="35"/>
    </row>
    <row r="68" spans="1:17" ht="15.5" x14ac:dyDescent="0.35">
      <c r="A68" s="2" t="s">
        <v>41</v>
      </c>
      <c r="B68" s="8"/>
      <c r="C68" s="8"/>
      <c r="I68" s="35"/>
    </row>
    <row r="69" spans="1:17" ht="16" thickBot="1" x14ac:dyDescent="0.4">
      <c r="A69" s="2"/>
      <c r="B69" s="30" t="s">
        <v>35</v>
      </c>
      <c r="C69" s="8"/>
      <c r="I69" s="35"/>
    </row>
    <row r="70" spans="1:17" ht="16" thickTop="1" x14ac:dyDescent="0.35">
      <c r="A70" s="29" t="s">
        <v>28</v>
      </c>
      <c r="B70" s="1">
        <f>Data!E70</f>
        <v>7.8000000000001516E-4</v>
      </c>
      <c r="I70" s="35"/>
    </row>
    <row r="71" spans="1:17" ht="15.5" x14ac:dyDescent="0.35">
      <c r="A71" s="29" t="s">
        <v>27</v>
      </c>
      <c r="B71" s="1">
        <f>Data!F70</f>
        <v>-1.0867283950617178E-3</v>
      </c>
      <c r="C71" s="8"/>
      <c r="I71" s="35"/>
    </row>
    <row r="72" spans="1:17" ht="15.5" x14ac:dyDescent="0.35">
      <c r="A72" s="2"/>
      <c r="B72" s="8"/>
      <c r="C72" s="8"/>
      <c r="I72" s="35"/>
    </row>
    <row r="73" spans="1:17" ht="15.5" x14ac:dyDescent="0.35">
      <c r="A73" s="9"/>
      <c r="B73" s="8"/>
      <c r="C73" s="8"/>
      <c r="I73" s="35"/>
    </row>
    <row r="75" spans="1:17" ht="21" x14ac:dyDescent="0.5">
      <c r="A75" s="43" t="s">
        <v>42</v>
      </c>
    </row>
    <row r="76" spans="1:17" ht="23.5" x14ac:dyDescent="0.55000000000000004">
      <c r="A76" s="7" t="s">
        <v>43</v>
      </c>
      <c r="I76" s="70"/>
      <c r="J76" s="35"/>
      <c r="K76" s="35"/>
      <c r="L76" s="35"/>
      <c r="M76" s="35"/>
      <c r="N76" s="35"/>
      <c r="O76" s="35"/>
      <c r="P76" s="35"/>
      <c r="Q76" s="71"/>
    </row>
    <row r="77" spans="1:17" ht="15" customHeight="1" x14ac:dyDescent="0.35">
      <c r="I77" s="35"/>
      <c r="J77" s="35"/>
      <c r="K77" s="35"/>
      <c r="L77" s="35"/>
      <c r="M77" s="35"/>
      <c r="N77" s="35"/>
      <c r="O77" s="35"/>
      <c r="P77" s="35"/>
      <c r="Q77" s="71"/>
    </row>
    <row r="78" spans="1:17" ht="15" customHeight="1" x14ac:dyDescent="0.35">
      <c r="B78" s="23" t="s">
        <v>44</v>
      </c>
      <c r="C78" s="40" t="s">
        <v>45</v>
      </c>
      <c r="D78" s="22"/>
      <c r="E78" s="22"/>
      <c r="F78" s="22"/>
      <c r="G78" s="24" t="s">
        <v>46</v>
      </c>
      <c r="I78" s="35"/>
      <c r="J78" s="35"/>
      <c r="K78" s="35"/>
      <c r="L78" s="35"/>
      <c r="M78" s="35"/>
      <c r="N78" s="35"/>
      <c r="O78" s="35"/>
      <c r="P78" s="35"/>
      <c r="Q78" s="35"/>
    </row>
    <row r="79" spans="1:17" ht="15" customHeight="1" x14ac:dyDescent="0.35">
      <c r="B79" s="23" t="s">
        <v>47</v>
      </c>
      <c r="C79" s="40" t="str">
        <f>Data!A107</f>
        <v>SET_SKEW XY=141.299,141.544,100 XZ=141.382,141.46,100 YZ=141.38,141.463,100</v>
      </c>
      <c r="D79" s="22"/>
      <c r="E79" s="22"/>
      <c r="F79" s="22"/>
      <c r="G79" s="24" t="s">
        <v>48</v>
      </c>
      <c r="I79" s="35"/>
      <c r="J79" s="35"/>
      <c r="K79" s="35"/>
      <c r="L79" s="35"/>
      <c r="M79" s="35"/>
      <c r="N79" s="35"/>
      <c r="O79" s="35"/>
      <c r="P79" s="35"/>
      <c r="Q79" s="35"/>
    </row>
    <row r="80" spans="1:17" ht="15" customHeight="1" x14ac:dyDescent="0.35">
      <c r="B80" s="23" t="s">
        <v>47</v>
      </c>
      <c r="C80" s="40" t="str">
        <f>Data!A108</f>
        <v>SKEW_PROFILE SAVE=calilantern_skew_profile</v>
      </c>
      <c r="D80" s="22"/>
      <c r="E80" s="22"/>
      <c r="F80" s="22"/>
      <c r="G80" s="24" t="s">
        <v>48</v>
      </c>
      <c r="I80" s="35"/>
      <c r="J80" s="35"/>
      <c r="K80" s="35"/>
      <c r="L80" s="35"/>
      <c r="M80" s="35"/>
      <c r="N80" s="35"/>
      <c r="O80" s="35"/>
      <c r="P80" s="35"/>
      <c r="Q80" s="35"/>
    </row>
    <row r="81" spans="1:17" ht="15" customHeight="1" x14ac:dyDescent="0.35">
      <c r="B81" s="23" t="s">
        <v>47</v>
      </c>
      <c r="C81" s="40" t="str">
        <f>Data!A109</f>
        <v>SAVE_CONFIG</v>
      </c>
      <c r="D81" s="22"/>
      <c r="E81" s="22"/>
      <c r="F81" s="22"/>
      <c r="G81" s="24" t="s">
        <v>48</v>
      </c>
      <c r="I81" s="35"/>
      <c r="J81" s="35"/>
      <c r="K81" s="35"/>
      <c r="L81" s="35"/>
      <c r="M81" s="35"/>
      <c r="N81" s="35"/>
      <c r="O81" s="35"/>
      <c r="P81" s="35"/>
      <c r="Q81" s="35"/>
    </row>
    <row r="82" spans="1:17" x14ac:dyDescent="0.35">
      <c r="B82" s="21" t="s">
        <v>49</v>
      </c>
      <c r="C82" s="40" t="str">
        <f>Data!A110</f>
        <v>SKEW_PROFILE LOAD=calilantern_skew_profile</v>
      </c>
      <c r="D82" s="22"/>
      <c r="E82" s="22"/>
      <c r="F82" s="22"/>
      <c r="G82" s="24" t="s">
        <v>50</v>
      </c>
      <c r="I82" s="72"/>
      <c r="J82" s="72"/>
      <c r="K82" s="72"/>
      <c r="L82" s="72"/>
      <c r="M82" s="72"/>
      <c r="N82" s="72"/>
      <c r="O82" s="72"/>
      <c r="P82" s="72"/>
    </row>
    <row r="83" spans="1:17" x14ac:dyDescent="0.35">
      <c r="B83" s="21" t="s">
        <v>49</v>
      </c>
      <c r="C83" s="40" t="str">
        <f>Data!A111</f>
        <v>SET_SKEW CLEAR=1</v>
      </c>
      <c r="D83" s="22"/>
      <c r="E83" s="22"/>
      <c r="F83" s="22"/>
      <c r="G83" s="24" t="s">
        <v>51</v>
      </c>
      <c r="I83" s="35"/>
      <c r="J83" s="72"/>
      <c r="K83" s="72"/>
      <c r="L83" s="72"/>
      <c r="M83" s="72"/>
      <c r="N83" s="72"/>
      <c r="O83" s="72"/>
      <c r="P83" s="72"/>
    </row>
    <row r="84" spans="1:17" x14ac:dyDescent="0.35">
      <c r="B84" s="22"/>
      <c r="C84" s="22"/>
      <c r="D84" s="22"/>
      <c r="E84" s="22"/>
      <c r="F84" s="22"/>
      <c r="G84" s="22"/>
      <c r="I84" s="35"/>
      <c r="J84" s="72"/>
      <c r="K84" s="72"/>
      <c r="L84" s="72"/>
      <c r="M84" s="72"/>
      <c r="N84" s="72"/>
      <c r="O84" s="72"/>
      <c r="P84" s="72"/>
    </row>
    <row r="85" spans="1:17" x14ac:dyDescent="0.35">
      <c r="A85" s="7" t="s">
        <v>52</v>
      </c>
    </row>
    <row r="87" spans="1:17" x14ac:dyDescent="0.35">
      <c r="B87" s="21" t="s">
        <v>49</v>
      </c>
      <c r="C87" s="11" t="str">
        <f>Data!A114</f>
        <v>#define XY_DIAG_AC 141.299</v>
      </c>
      <c r="G87" s="20" t="s">
        <v>53</v>
      </c>
    </row>
    <row r="88" spans="1:17" x14ac:dyDescent="0.35">
      <c r="B88" s="21" t="s">
        <v>49</v>
      </c>
      <c r="C88" s="11" t="str">
        <f>Data!A115</f>
        <v>#define XY_DIAG_BD 141.544</v>
      </c>
      <c r="G88" s="20" t="s">
        <v>53</v>
      </c>
    </row>
    <row r="89" spans="1:17" x14ac:dyDescent="0.35">
      <c r="B89" s="21" t="s">
        <v>49</v>
      </c>
      <c r="C89" s="11" t="str">
        <f>Data!A116</f>
        <v>#define XY_SIDE_AD 100</v>
      </c>
      <c r="G89" s="20" t="s">
        <v>53</v>
      </c>
    </row>
    <row r="90" spans="1:17" x14ac:dyDescent="0.35">
      <c r="G90" s="20"/>
    </row>
    <row r="91" spans="1:17" x14ac:dyDescent="0.35">
      <c r="B91" s="21" t="s">
        <v>49</v>
      </c>
      <c r="C91" s="11" t="str">
        <f>Data!A122</f>
        <v>#define XZ_DIAG_AC 141.382</v>
      </c>
      <c r="G91" s="20" t="s">
        <v>53</v>
      </c>
    </row>
    <row r="92" spans="1:17" x14ac:dyDescent="0.35">
      <c r="B92" s="21" t="s">
        <v>49</v>
      </c>
      <c r="C92" s="11" t="str">
        <f>Data!A123</f>
        <v>#define XZ_DIAG_BD 141.46</v>
      </c>
      <c r="G92" s="20" t="s">
        <v>53</v>
      </c>
    </row>
    <row r="93" spans="1:17" x14ac:dyDescent="0.35">
      <c r="B93" s="21" t="s">
        <v>49</v>
      </c>
      <c r="C93" s="11" t="str">
        <f>Data!A124</f>
        <v>#define YZ_DIAG_AC 141.38</v>
      </c>
      <c r="G93" s="20" t="s">
        <v>53</v>
      </c>
    </row>
    <row r="94" spans="1:17" x14ac:dyDescent="0.35">
      <c r="B94" s="21" t="s">
        <v>49</v>
      </c>
      <c r="C94" s="11" t="str">
        <f>Data!A125</f>
        <v>#define YZ_DIAG_BD 141.463</v>
      </c>
      <c r="G94" s="20" t="s">
        <v>53</v>
      </c>
    </row>
    <row r="95" spans="1:17" x14ac:dyDescent="0.35">
      <c r="B95" s="21" t="s">
        <v>49</v>
      </c>
      <c r="C95" s="11" t="str">
        <f>Data!A126</f>
        <v>#define YZ_SIDE_AD 100</v>
      </c>
      <c r="G95" s="20" t="s">
        <v>53</v>
      </c>
    </row>
    <row r="96" spans="1:17" x14ac:dyDescent="0.35">
      <c r="C96" s="11"/>
      <c r="G96" s="20"/>
    </row>
    <row r="97" spans="1:9" x14ac:dyDescent="0.35">
      <c r="B97" s="21"/>
      <c r="G97" s="20"/>
    </row>
    <row r="98" spans="1:9" x14ac:dyDescent="0.35">
      <c r="A98" s="7" t="s">
        <v>54</v>
      </c>
      <c r="B98" s="21"/>
      <c r="G98" s="20"/>
    </row>
    <row r="99" spans="1:9" x14ac:dyDescent="0.35">
      <c r="A99" s="7"/>
      <c r="B99" s="21"/>
      <c r="G99" s="20"/>
    </row>
    <row r="100" spans="1:9" x14ac:dyDescent="0.35">
      <c r="B100" s="21" t="s">
        <v>49</v>
      </c>
      <c r="C100" s="11" t="str">
        <f>Data!A118</f>
        <v>#define XY_SKEW_FACTOR -0.00173241</v>
      </c>
      <c r="G100" s="20" t="s">
        <v>53</v>
      </c>
    </row>
    <row r="101" spans="1:9" x14ac:dyDescent="0.35">
      <c r="B101" s="21" t="s">
        <v>49</v>
      </c>
      <c r="C101" s="11" t="str">
        <f>Data!A119</f>
        <v>#define XZ_SKEW_FACTOR -0.00055154</v>
      </c>
      <c r="G101" s="20" t="s">
        <v>53</v>
      </c>
    </row>
    <row r="102" spans="1:9" x14ac:dyDescent="0.35">
      <c r="B102" s="21" t="s">
        <v>49</v>
      </c>
      <c r="C102" s="11" t="str">
        <f>Data!A120</f>
        <v>#define YZ_SKEW_FACTOR -0.0005869</v>
      </c>
      <c r="G102" s="20" t="s">
        <v>53</v>
      </c>
    </row>
    <row r="103" spans="1:9" x14ac:dyDescent="0.35">
      <c r="B103" s="21"/>
      <c r="G103" s="20"/>
    </row>
    <row r="104" spans="1:9" x14ac:dyDescent="0.35">
      <c r="B104" s="21"/>
      <c r="G104" s="20"/>
    </row>
    <row r="105" spans="1:9" x14ac:dyDescent="0.35">
      <c r="A105" s="7" t="s">
        <v>55</v>
      </c>
      <c r="B105" s="21"/>
      <c r="G105" s="20"/>
    </row>
    <row r="106" spans="1:9" x14ac:dyDescent="0.35">
      <c r="B106" s="21"/>
      <c r="G106" s="20"/>
    </row>
    <row r="107" spans="1:9" x14ac:dyDescent="0.35">
      <c r="B107" s="23" t="s">
        <v>56</v>
      </c>
      <c r="C107" s="11" t="str">
        <f>Data!B128</f>
        <v>#define SKEW_CORRECTION_GCODE</v>
      </c>
      <c r="G107" s="24" t="s">
        <v>57</v>
      </c>
    </row>
    <row r="108" spans="1:9" x14ac:dyDescent="0.35">
      <c r="B108" s="23" t="s">
        <v>47</v>
      </c>
      <c r="C108" s="11" t="str">
        <f>Data!B129</f>
        <v>M852 I-0.00173241 J-0.00055154 K-0.0005869</v>
      </c>
      <c r="G108" s="24" t="s">
        <v>48</v>
      </c>
    </row>
    <row r="109" spans="1:9" x14ac:dyDescent="0.35">
      <c r="B109" s="23" t="s">
        <v>47</v>
      </c>
      <c r="C109" s="11" t="str">
        <f>Data!B130</f>
        <v>M500</v>
      </c>
      <c r="G109" s="24" t="s">
        <v>48</v>
      </c>
    </row>
    <row r="110" spans="1:9" x14ac:dyDescent="0.35">
      <c r="G110" s="20"/>
    </row>
    <row r="111" spans="1:9" ht="23.5" x14ac:dyDescent="0.55000000000000004">
      <c r="A111" s="7" t="s">
        <v>58</v>
      </c>
      <c r="G111" s="20"/>
      <c r="I111" s="70"/>
    </row>
    <row r="112" spans="1:9" x14ac:dyDescent="0.35">
      <c r="G112" s="20"/>
    </row>
    <row r="113" spans="1:7" x14ac:dyDescent="0.35">
      <c r="B113" s="21" t="s">
        <v>49</v>
      </c>
      <c r="C113" s="11" t="str">
        <f>Data!A138</f>
        <v>M556 S100 X0.174 Y0.058 Z0.055</v>
      </c>
      <c r="G113" s="20" t="s">
        <v>59</v>
      </c>
    </row>
    <row r="115" spans="1:7" ht="21" x14ac:dyDescent="0.5">
      <c r="A115" s="43" t="s">
        <v>60</v>
      </c>
    </row>
    <row r="116" spans="1:7" x14ac:dyDescent="0.35">
      <c r="A116" s="7" t="s">
        <v>61</v>
      </c>
    </row>
    <row r="117" spans="1:7" x14ac:dyDescent="0.35">
      <c r="A117" s="20" t="s">
        <v>62</v>
      </c>
      <c r="C117" s="34"/>
    </row>
    <row r="118" spans="1:7" x14ac:dyDescent="0.35">
      <c r="B118" s="31" t="s">
        <v>63</v>
      </c>
      <c r="C118" s="10">
        <v>100</v>
      </c>
    </row>
    <row r="119" spans="1:7" x14ac:dyDescent="0.35">
      <c r="B119" s="31" t="s">
        <v>64</v>
      </c>
      <c r="C119" s="42">
        <f>Data!B142</f>
        <v>100.04</v>
      </c>
    </row>
    <row r="121" spans="1:7" x14ac:dyDescent="0.35">
      <c r="A121" t="s">
        <v>65</v>
      </c>
    </row>
    <row r="122" spans="1:7" x14ac:dyDescent="0.35">
      <c r="B122" s="31" t="s">
        <v>66</v>
      </c>
      <c r="C122" s="76">
        <v>1</v>
      </c>
    </row>
    <row r="123" spans="1:7" x14ac:dyDescent="0.35">
      <c r="B123" s="31" t="s">
        <v>67</v>
      </c>
      <c r="C123" s="76">
        <f>Data!B143</f>
        <v>0.99961250000000001</v>
      </c>
    </row>
    <row r="124" spans="1:7" x14ac:dyDescent="0.35">
      <c r="B124" s="33" t="s">
        <v>68</v>
      </c>
      <c r="C124" s="76">
        <f>Data!B144</f>
        <v>1.0027037037037039</v>
      </c>
    </row>
    <row r="126" spans="1:7" x14ac:dyDescent="0.35">
      <c r="A126" s="7" t="s">
        <v>69</v>
      </c>
    </row>
    <row r="127" spans="1:7" ht="15" thickBot="1" x14ac:dyDescent="0.4">
      <c r="B127" s="28"/>
      <c r="C127" s="32" t="s">
        <v>70</v>
      </c>
    </row>
    <row r="128" spans="1:7" ht="15" thickTop="1" x14ac:dyDescent="0.35">
      <c r="B128" s="31" t="s">
        <v>71</v>
      </c>
      <c r="C128" s="10">
        <v>100</v>
      </c>
    </row>
    <row r="129" spans="1:7" x14ac:dyDescent="0.35">
      <c r="B129" s="31" t="s">
        <v>72</v>
      </c>
      <c r="C129" s="10">
        <v>100</v>
      </c>
      <c r="G129" s="3"/>
    </row>
    <row r="130" spans="1:7" x14ac:dyDescent="0.35">
      <c r="B130" s="33"/>
      <c r="C130" s="34"/>
    </row>
    <row r="131" spans="1:7" x14ac:dyDescent="0.35">
      <c r="B131" s="31" t="s">
        <v>73</v>
      </c>
      <c r="C131" s="12">
        <f>Data!B147</f>
        <v>99.929166666666674</v>
      </c>
      <c r="G131" s="3"/>
    </row>
    <row r="132" spans="1:7" x14ac:dyDescent="0.35">
      <c r="B132" s="31" t="s">
        <v>74</v>
      </c>
      <c r="C132" s="12">
        <f>Data!B148</f>
        <v>99.993333333333339</v>
      </c>
    </row>
    <row r="134" spans="1:7" x14ac:dyDescent="0.35">
      <c r="A134" s="7" t="s">
        <v>75</v>
      </c>
    </row>
    <row r="135" spans="1:7" ht="15" thickBot="1" x14ac:dyDescent="0.4">
      <c r="C135" s="32" t="s">
        <v>70</v>
      </c>
    </row>
    <row r="136" spans="1:7" ht="15" thickTop="1" x14ac:dyDescent="0.35">
      <c r="B136" s="31" t="s">
        <v>76</v>
      </c>
      <c r="C136" s="10">
        <v>31.85</v>
      </c>
    </row>
    <row r="137" spans="1:7" x14ac:dyDescent="0.35">
      <c r="B137" s="31" t="s">
        <v>77</v>
      </c>
      <c r="C137" s="10">
        <v>31.85</v>
      </c>
    </row>
    <row r="138" spans="1:7" x14ac:dyDescent="0.35">
      <c r="B138" s="33"/>
      <c r="C138" s="34"/>
    </row>
    <row r="139" spans="1:7" x14ac:dyDescent="0.35">
      <c r="B139" s="31" t="s">
        <v>78</v>
      </c>
      <c r="C139" s="12">
        <f>Data!B151</f>
        <v>31.872560416666666</v>
      </c>
    </row>
    <row r="140" spans="1:7" x14ac:dyDescent="0.35">
      <c r="B140" s="31" t="s">
        <v>79</v>
      </c>
      <c r="C140" s="12">
        <f>Data!B152</f>
        <v>31.852123333333335</v>
      </c>
    </row>
  </sheetData>
  <sheetProtection algorithmName="SHA-512" hashValue="S6KP3TkCdpf77klELl0wLZ8AxyJRqqiBkD5/m9kozztLIkH0PpUbJojcA+PVAFyo+Z1Y09/yAp2gordKpXOVnw==" saltValue="0Tc7RYAIIYdnoQ1UgJWDeA==" spinCount="100000" sheet="1" selectLockedCells="1"/>
  <dataConsolidate/>
  <conditionalFormatting sqref="B48:B50">
    <cfRule type="iconSet" priority="1">
      <iconSet iconSet="3Symbols" showValue="0">
        <cfvo type="percent" val="0"/>
        <cfvo type="num" val="0.5"/>
        <cfvo type="num" val="0.99"/>
      </iconSet>
    </cfRule>
  </conditionalFormatting>
  <conditionalFormatting sqref="G25:G46">
    <cfRule type="iconSet" priority="2">
      <iconSet iconSet="3Symbols" showValue="0">
        <cfvo type="percent" val="0"/>
        <cfvo type="num" val="0.5"/>
        <cfvo type="num" val="0.99"/>
      </iconSet>
    </cfRule>
  </conditionalFormatting>
  <dataValidations count="7">
    <dataValidation type="decimal" operator="greaterThanOrEqual" allowBlank="1" showInputMessage="1" showErrorMessage="1" sqref="C21" xr:uid="{C7A8C0C4-92C8-40D1-B605-D7B5AAD899F4}">
      <formula1>0.5</formula1>
    </dataValidation>
    <dataValidation type="decimal" operator="greaterThan" allowBlank="1" showErrorMessage="1" errorTitle="Input Error" error="Value must be a decimal greater than zero." sqref="C128:C129 C136:C137" xr:uid="{C0A9B6DF-D6AE-4DEE-8770-0F6457B7E7DC}">
      <formula1>0</formula1>
    </dataValidation>
    <dataValidation type="custom" allowBlank="1" showInputMessage="1" showErrorMessage="1" error="Value cannot be changed" sqref="C78" xr:uid="{B6A7E163-2A93-4694-ABD8-FD15403B7BBD}">
      <formula1>"[skew_correction] "</formula1>
    </dataValidation>
    <dataValidation type="custom" allowBlank="1" showInputMessage="1" showErrorMessage="1" sqref="G129" xr:uid="{4C8845A7-5AE1-4F82-AC4E-A63F20D239EE}">
      <formula1>C119</formula1>
    </dataValidation>
    <dataValidation type="decimal" allowBlank="1" showInputMessage="1" showErrorMessage="1" error="Value must be a decimal between 0 and 1000." sqref="B48:B50 C25:G46" xr:uid="{731A9A1B-77ED-464E-B0CB-5058C0E885E1}">
      <formula1>0</formula1>
      <formula2>1000</formula2>
    </dataValidation>
    <dataValidation type="decimal" allowBlank="1" showInputMessage="1" showErrorMessage="1" error="Value must be a decimal between 0 and 1000" sqref="B48:B50 C25:G46" xr:uid="{58A81E11-ED5F-433D-8C44-645679BE8C92}">
      <formula1>0</formula1>
      <formula2>1000</formula2>
    </dataValidation>
    <dataValidation allowBlank="1" showInputMessage="1" showErrorMessage="1" error="Cell cannot be changed" sqref="C100:C102 J12:J15" xr:uid="{9A1CEAED-65F7-4B35-ACB4-21285127BD97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custom" allowBlank="1" showInputMessage="1" showErrorMessage="1" error="Cell cannot be changed" xr:uid="{16F0F8FB-A72B-4968-81A0-857809666F8A}">
          <x14:formula1>
            <xm:f>Data!#REF!</xm:f>
          </x14:formula1>
          <xm:sqref>H10</xm:sqref>
        </x14:dataValidation>
        <x14:dataValidation type="list" allowBlank="1" showInputMessage="1" showErrorMessage="1" xr:uid="{4B6363F6-81F1-43FE-92EE-A412F670A3F6}">
          <x14:formula1>
            <xm:f>Data!$A$30:$A$33</xm:f>
          </x14:formula1>
          <xm:sqref>C6</xm:sqref>
        </x14:dataValidation>
        <x14:dataValidation type="custom" allowBlank="1" showInputMessage="1" showErrorMessage="1" xr:uid="{829FF8E1-4DE4-44B9-9759-206FADEF11A7}">
          <x14:formula1>
            <xm:f>Data!D147</xm:f>
          </x14:formula1>
          <xm:sqref>G131</xm:sqref>
        </x14:dataValidation>
        <x14:dataValidation type="custom" allowBlank="1" showInputMessage="1" showErrorMessage="1" error="Value cannot be changed." xr:uid="{48EEACB0-11F2-4B3A-A87B-78D683CEF29F}">
          <x14:formula1>
            <xm:f>Data!B151</xm:f>
          </x14:formula1>
          <xm:sqref>C139:C140</xm:sqref>
        </x14:dataValidation>
        <x14:dataValidation type="custom" allowBlank="1" showInputMessage="1" showErrorMessage="1" error="Value cannot be changed" xr:uid="{0567E271-80A8-4C25-9167-92E7998A5AB4}">
          <x14:formula1>
            <xm:f>Data!B142</xm:f>
          </x14:formula1>
          <xm:sqref>C119</xm:sqref>
        </x14:dataValidation>
        <x14:dataValidation type="custom" allowBlank="1" showInputMessage="1" showErrorMessage="1" error="Value Cannot be changed" xr:uid="{5695CB17-CE84-4078-8EB8-7D206F6E646D}">
          <x14:formula1>
            <xm:f>Data!A138</xm:f>
          </x14:formula1>
          <xm:sqref>C113</xm:sqref>
        </x14:dataValidation>
        <x14:dataValidation type="custom" allowBlank="1" showInputMessage="1" showErrorMessage="1" xr:uid="{E5B1B4BE-DF54-4126-AA9C-7BCAE07AF479}">
          <x14:formula1>
            <xm:f>Data!B128</xm:f>
          </x14:formula1>
          <xm:sqref>C107:C109</xm:sqref>
        </x14:dataValidation>
        <x14:dataValidation type="custom" allowBlank="1" showInputMessage="1" showErrorMessage="1" error="Cell cannot be changed" xr:uid="{8CCD21F2-830E-414A-B69C-17E624C7E636}">
          <x14:formula1>
            <xm:f>Data!A128</xm:f>
          </x14:formula1>
          <xm:sqref>C96</xm:sqref>
        </x14:dataValidation>
        <x14:dataValidation type="custom" allowBlank="1" showInputMessage="1" showErrorMessage="1" error="Cell cannot be changed" xr:uid="{2C231BFB-4639-4784-930D-4AB00911758E}">
          <x14:formula1>
            <xm:f>Data!A122</xm:f>
          </x14:formula1>
          <xm:sqref>C91:C95</xm:sqref>
        </x14:dataValidation>
        <x14:dataValidation type="custom" allowBlank="1" showInputMessage="1" showErrorMessage="1" error="Cell cannot be changed" xr:uid="{03B2F568-3EB2-48B3-85AF-7E5267933FA2}">
          <x14:formula1>
            <xm:f>Data!A118</xm:f>
          </x14:formula1>
          <xm:sqref>C103:C104</xm:sqref>
        </x14:dataValidation>
        <x14:dataValidation type="custom" allowBlank="1" showInputMessage="1" showErrorMessage="1" error="Cell cannot be changed" xr:uid="{46476494-075C-4E5A-8C01-ED4F7E7238FC}">
          <x14:formula1>
            <xm:f>Data!H114</xm:f>
          </x14:formula1>
          <xm:sqref>C106</xm:sqref>
        </x14:dataValidation>
        <x14:dataValidation type="custom" allowBlank="1" showInputMessage="1" showErrorMessage="1" error="Cell cannot be changed" xr:uid="{BD1AF4C4-B918-4DBA-953D-E9728317E428}">
          <x14:formula1>
            <xm:f>Data!A118</xm:f>
          </x14:formula1>
          <xm:sqref>C97:C99</xm:sqref>
        </x14:dataValidation>
        <x14:dataValidation type="custom" allowBlank="1" showInputMessage="1" showErrorMessage="1" error="Cell cannot be changed" xr:uid="{7813AEA7-DDC5-4DB6-818A-477C5F9DB5C3}">
          <x14:formula1>
            <xm:f>Data!A114</xm:f>
          </x14:formula1>
          <xm:sqref>C87:C89</xm:sqref>
        </x14:dataValidation>
        <x14:dataValidation type="custom" allowBlank="1" showInputMessage="1" showErrorMessage="1" error="Cell cannot be changed" xr:uid="{062992A1-4F01-4AB5-9481-195ACEA1C05C}">
          <x14:formula1>
            <xm:f>Data!A107</xm:f>
          </x14:formula1>
          <xm:sqref>C79:C83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14C2-2CC2-465E-A1D4-A42848F58353}">
  <sheetPr codeName="Sheet2"/>
  <dimension ref="A1:AI152"/>
  <sheetViews>
    <sheetView topLeftCell="A21" zoomScale="85" zoomScaleNormal="85" workbookViewId="0">
      <selection activeCell="F62" sqref="F62"/>
    </sheetView>
  </sheetViews>
  <sheetFormatPr defaultRowHeight="14.5" x14ac:dyDescent="0.35"/>
  <cols>
    <col min="1" max="1" width="16.81640625" customWidth="1"/>
    <col min="2" max="2" width="21.54296875" customWidth="1"/>
    <col min="3" max="3" width="19.7265625" customWidth="1"/>
    <col min="4" max="4" width="21.453125" customWidth="1"/>
    <col min="5" max="5" width="12" customWidth="1"/>
    <col min="6" max="6" width="11.54296875" customWidth="1"/>
    <col min="7" max="7" width="10.54296875" customWidth="1"/>
    <col min="8" max="8" width="10.54296875" bestFit="1" customWidth="1"/>
    <col min="9" max="9" width="13.7265625" bestFit="1" customWidth="1"/>
    <col min="10" max="11" width="12.54296875" customWidth="1"/>
    <col min="12" max="12" width="15.54296875" customWidth="1"/>
    <col min="13" max="14" width="14.1796875" customWidth="1"/>
    <col min="15" max="15" width="13.7265625" customWidth="1"/>
    <col min="16" max="16" width="14" customWidth="1"/>
    <col min="17" max="17" width="19.54296875" bestFit="1" customWidth="1"/>
    <col min="18" max="18" width="27" customWidth="1"/>
    <col min="19" max="19" width="10.81640625" customWidth="1"/>
    <col min="20" max="20" width="13.453125" customWidth="1"/>
    <col min="21" max="23" width="9" customWidth="1"/>
    <col min="24" max="24" width="22.1796875" customWidth="1"/>
    <col min="25" max="25" width="11.54296875" customWidth="1"/>
    <col min="26" max="26" width="10.54296875" customWidth="1"/>
    <col min="27" max="27" width="6.453125" customWidth="1"/>
    <col min="30" max="30" width="23.453125" customWidth="1"/>
    <col min="31" max="31" width="10" bestFit="1" customWidth="1"/>
    <col min="33" max="33" width="6.26953125" customWidth="1"/>
  </cols>
  <sheetData>
    <row r="1" spans="1:35" s="37" customFormat="1" x14ac:dyDescent="0.35">
      <c r="B1" s="37" t="s">
        <v>80</v>
      </c>
      <c r="C1" s="37" t="s">
        <v>81</v>
      </c>
      <c r="D1" s="37" t="s">
        <v>82</v>
      </c>
      <c r="E1" s="37" t="s">
        <v>83</v>
      </c>
      <c r="F1" s="37" t="s">
        <v>84</v>
      </c>
      <c r="G1" s="37" t="s">
        <v>85</v>
      </c>
      <c r="H1" s="37" t="s">
        <v>86</v>
      </c>
      <c r="I1" s="37" t="s">
        <v>87</v>
      </c>
      <c r="J1" s="37" t="s">
        <v>35</v>
      </c>
      <c r="K1" s="37" t="s">
        <v>88</v>
      </c>
      <c r="L1" s="37" t="s">
        <v>89</v>
      </c>
      <c r="M1" s="37" t="s">
        <v>90</v>
      </c>
      <c r="N1" s="37" t="s">
        <v>91</v>
      </c>
      <c r="O1" s="37" t="s">
        <v>92</v>
      </c>
      <c r="P1" s="37" t="s">
        <v>93</v>
      </c>
    </row>
    <row r="2" spans="1:35" x14ac:dyDescent="0.35">
      <c r="A2" s="112" t="s">
        <v>14</v>
      </c>
      <c r="C2" t="s">
        <v>27</v>
      </c>
      <c r="D2" s="37">
        <v>1</v>
      </c>
      <c r="E2" s="34">
        <f>XTravel</f>
        <v>100</v>
      </c>
      <c r="F2" s="3">
        <f>Calculator!C25</f>
        <v>100.04</v>
      </c>
      <c r="G2" s="3">
        <f>Calculator!D25</f>
        <v>100.06</v>
      </c>
      <c r="H2" s="3">
        <f>Calculator!E25</f>
        <v>100.07</v>
      </c>
      <c r="I2" s="3">
        <f>AVERAGE(F2:H2)</f>
        <v>100.05666666666667</v>
      </c>
      <c r="J2" s="3">
        <f>I2-E2</f>
        <v>5.6666666666671972E-2</v>
      </c>
      <c r="K2" s="1">
        <f t="shared" ref="K2:K23" si="0">(I2-E2)/E2</f>
        <v>5.6666666666671972E-4</v>
      </c>
      <c r="L2" s="12">
        <f>ABS(E2-I2)</f>
        <v>5.6666666666671972E-2</v>
      </c>
      <c r="M2" s="34">
        <f>IF(L2&lt;$B$27,1,IF(L2&lt;$C$27,0.5,0))</f>
        <v>1</v>
      </c>
      <c r="N2" s="12">
        <f>MAX(F2:H2)-MIN(F2:H2)</f>
        <v>2.9999999999986926E-2</v>
      </c>
      <c r="O2" s="34">
        <f>IF(N2&lt;$B$26,1,IF(N2&lt;$C$26,0.5,0))</f>
        <v>1</v>
      </c>
      <c r="P2" s="55">
        <f>MIN(M2,O2)</f>
        <v>1</v>
      </c>
      <c r="AI2" s="7" t="s">
        <v>94</v>
      </c>
    </row>
    <row r="3" spans="1:35" x14ac:dyDescent="0.35">
      <c r="A3" s="112"/>
      <c r="C3" t="s">
        <v>27</v>
      </c>
      <c r="D3" s="37">
        <v>2</v>
      </c>
      <c r="E3" s="34">
        <f>XTravelHalf</f>
        <v>50</v>
      </c>
      <c r="F3" s="3">
        <f>Calculator!C26</f>
        <v>49.89</v>
      </c>
      <c r="G3" s="3">
        <f>Calculator!D26</f>
        <v>49.96</v>
      </c>
      <c r="H3" s="3">
        <f>Calculator!E26</f>
        <v>49.97</v>
      </c>
      <c r="I3" s="3">
        <f t="shared" ref="I3:I23" si="1">AVERAGE(F3:H3)</f>
        <v>49.94</v>
      </c>
      <c r="J3" s="3">
        <f t="shared" ref="J3:J23" si="2">I3-E3</f>
        <v>-6.0000000000002274E-2</v>
      </c>
      <c r="K3" s="1">
        <f t="shared" si="0"/>
        <v>-1.2000000000000454E-3</v>
      </c>
      <c r="L3" s="12">
        <f t="shared" ref="L3:L23" si="3">ABS(E3-I3)</f>
        <v>6.0000000000002274E-2</v>
      </c>
      <c r="M3" s="34">
        <f t="shared" ref="M3:M23" si="4">IF(L3&lt;$B$27,1,IF(L3&lt;$C$27,0.5,0))</f>
        <v>1</v>
      </c>
      <c r="N3" s="12">
        <f t="shared" ref="N3:N23" si="5">MAX(F3:H3)-MIN(F3:H3)</f>
        <v>7.9999999999998295E-2</v>
      </c>
      <c r="O3" s="34">
        <f t="shared" ref="O3:O23" si="6">IF(N3&lt;$B$26,1,IF(N3&lt;$C$26,0.5,0))</f>
        <v>1</v>
      </c>
      <c r="P3" s="55">
        <f t="shared" ref="P3:P23" si="7">MIN(M3,O3)</f>
        <v>1</v>
      </c>
      <c r="AI3" t="s">
        <v>95</v>
      </c>
    </row>
    <row r="4" spans="1:35" x14ac:dyDescent="0.35">
      <c r="A4" s="112"/>
      <c r="C4" t="s">
        <v>28</v>
      </c>
      <c r="D4" s="37">
        <v>3</v>
      </c>
      <c r="E4" s="34">
        <f>XTravel</f>
        <v>100</v>
      </c>
      <c r="F4" s="3">
        <f>Calculator!C27</f>
        <v>100.16</v>
      </c>
      <c r="G4" s="3">
        <f>Calculator!D27</f>
        <v>100.16</v>
      </c>
      <c r="H4" s="3">
        <f>Calculator!E27</f>
        <v>100.16</v>
      </c>
      <c r="I4" s="3">
        <f t="shared" si="1"/>
        <v>100.16000000000001</v>
      </c>
      <c r="J4" s="3">
        <f t="shared" si="2"/>
        <v>0.1600000000000108</v>
      </c>
      <c r="K4" s="1">
        <f t="shared" si="0"/>
        <v>1.6000000000001081E-3</v>
      </c>
      <c r="L4" s="12">
        <f t="shared" si="3"/>
        <v>0.1600000000000108</v>
      </c>
      <c r="M4" s="34">
        <f t="shared" si="4"/>
        <v>1</v>
      </c>
      <c r="N4" s="12">
        <f t="shared" si="5"/>
        <v>0</v>
      </c>
      <c r="O4" s="34">
        <f t="shared" si="6"/>
        <v>1</v>
      </c>
      <c r="P4" s="55">
        <f t="shared" si="7"/>
        <v>1</v>
      </c>
      <c r="AI4" t="s">
        <v>96</v>
      </c>
    </row>
    <row r="5" spans="1:35" x14ac:dyDescent="0.35">
      <c r="A5" s="112"/>
      <c r="C5" t="s">
        <v>28</v>
      </c>
      <c r="D5" s="37">
        <v>4</v>
      </c>
      <c r="E5" s="34">
        <f>XTravelHalf</f>
        <v>50</v>
      </c>
      <c r="F5" s="3">
        <f>Calculator!C28</f>
        <v>50.09</v>
      </c>
      <c r="G5" s="3">
        <f>Calculator!D28</f>
        <v>50.1</v>
      </c>
      <c r="H5" s="3">
        <f>Calculator!E28</f>
        <v>50.09</v>
      </c>
      <c r="I5" s="3">
        <f t="shared" si="1"/>
        <v>50.093333333333334</v>
      </c>
      <c r="J5" s="3">
        <f t="shared" si="2"/>
        <v>9.3333333333333712E-2</v>
      </c>
      <c r="K5" s="1">
        <f t="shared" si="0"/>
        <v>1.8666666666666742E-3</v>
      </c>
      <c r="L5" s="12">
        <f t="shared" si="3"/>
        <v>9.3333333333333712E-2</v>
      </c>
      <c r="M5" s="34">
        <f t="shared" si="4"/>
        <v>1</v>
      </c>
      <c r="N5" s="12">
        <f t="shared" si="5"/>
        <v>9.9999999999980105E-3</v>
      </c>
      <c r="O5" s="34">
        <f t="shared" si="6"/>
        <v>1</v>
      </c>
      <c r="P5" s="55">
        <f t="shared" si="7"/>
        <v>1</v>
      </c>
      <c r="AI5" t="s">
        <v>97</v>
      </c>
    </row>
    <row r="6" spans="1:35" x14ac:dyDescent="0.35">
      <c r="A6" s="112" t="s">
        <v>15</v>
      </c>
      <c r="C6" t="s">
        <v>27</v>
      </c>
      <c r="D6" s="37">
        <v>5</v>
      </c>
      <c r="E6" s="34">
        <f>YTravel</f>
        <v>100</v>
      </c>
      <c r="F6" s="3">
        <f>Calculator!C29</f>
        <v>100.07</v>
      </c>
      <c r="G6" s="3">
        <f>Calculator!D29</f>
        <v>100.03</v>
      </c>
      <c r="H6" s="3">
        <f>Calculator!E29</f>
        <v>100.04</v>
      </c>
      <c r="I6" s="3">
        <f t="shared" si="1"/>
        <v>100.04666666666667</v>
      </c>
      <c r="J6" s="3">
        <f t="shared" si="2"/>
        <v>4.6666666666666856E-2</v>
      </c>
      <c r="K6" s="1">
        <f t="shared" si="0"/>
        <v>4.6666666666666856E-4</v>
      </c>
      <c r="L6" s="12">
        <f t="shared" si="3"/>
        <v>4.6666666666666856E-2</v>
      </c>
      <c r="M6" s="34">
        <f t="shared" si="4"/>
        <v>1</v>
      </c>
      <c r="N6" s="12">
        <f t="shared" si="5"/>
        <v>3.9999999999992042E-2</v>
      </c>
      <c r="O6" s="34">
        <f t="shared" si="6"/>
        <v>1</v>
      </c>
      <c r="P6" s="55">
        <f t="shared" si="7"/>
        <v>1</v>
      </c>
      <c r="AI6" t="s">
        <v>98</v>
      </c>
    </row>
    <row r="7" spans="1:35" x14ac:dyDescent="0.35">
      <c r="A7" s="112"/>
      <c r="C7" t="s">
        <v>27</v>
      </c>
      <c r="D7" s="37">
        <v>6</v>
      </c>
      <c r="E7" s="34">
        <f>YTravelHalf</f>
        <v>50</v>
      </c>
      <c r="F7" s="3">
        <f>Calculator!C30</f>
        <v>49.99</v>
      </c>
      <c r="G7" s="3">
        <f>Calculator!D30</f>
        <v>49.99</v>
      </c>
      <c r="H7" s="3">
        <f>Calculator!E30</f>
        <v>49.99</v>
      </c>
      <c r="I7" s="3">
        <f t="shared" si="1"/>
        <v>49.99</v>
      </c>
      <c r="J7" s="3">
        <f t="shared" si="2"/>
        <v>-9.9999999999980105E-3</v>
      </c>
      <c r="K7" s="1">
        <f t="shared" si="0"/>
        <v>-1.9999999999996022E-4</v>
      </c>
      <c r="L7" s="12">
        <f t="shared" si="3"/>
        <v>9.9999999999980105E-3</v>
      </c>
      <c r="M7" s="34">
        <f t="shared" si="4"/>
        <v>1</v>
      </c>
      <c r="N7" s="12">
        <f t="shared" si="5"/>
        <v>0</v>
      </c>
      <c r="O7" s="34">
        <f t="shared" si="6"/>
        <v>1</v>
      </c>
      <c r="P7" s="55">
        <f t="shared" si="7"/>
        <v>1</v>
      </c>
      <c r="AI7" t="s">
        <v>99</v>
      </c>
    </row>
    <row r="8" spans="1:35" x14ac:dyDescent="0.35">
      <c r="A8" s="112"/>
      <c r="C8" t="s">
        <v>28</v>
      </c>
      <c r="D8" s="37">
        <v>7</v>
      </c>
      <c r="E8" s="34">
        <f>YTravel</f>
        <v>100</v>
      </c>
      <c r="F8" s="3">
        <f>Calculator!C31</f>
        <v>100</v>
      </c>
      <c r="G8" s="3">
        <f>Calculator!D31</f>
        <v>99.97</v>
      </c>
      <c r="H8" s="3">
        <f>Calculator!E31</f>
        <v>99.97</v>
      </c>
      <c r="I8" s="3">
        <f t="shared" si="1"/>
        <v>99.98</v>
      </c>
      <c r="J8" s="3">
        <f t="shared" si="2"/>
        <v>-1.9999999999996021E-2</v>
      </c>
      <c r="K8" s="1">
        <f t="shared" si="0"/>
        <v>-1.9999999999996022E-4</v>
      </c>
      <c r="L8" s="12">
        <f t="shared" si="3"/>
        <v>1.9999999999996021E-2</v>
      </c>
      <c r="M8" s="34">
        <f t="shared" si="4"/>
        <v>1</v>
      </c>
      <c r="N8" s="12">
        <f t="shared" si="5"/>
        <v>3.0000000000001137E-2</v>
      </c>
      <c r="O8" s="34">
        <f t="shared" si="6"/>
        <v>1</v>
      </c>
      <c r="P8" s="55">
        <f t="shared" si="7"/>
        <v>1</v>
      </c>
      <c r="AI8" t="s">
        <v>100</v>
      </c>
    </row>
    <row r="9" spans="1:35" x14ac:dyDescent="0.35">
      <c r="A9" s="112"/>
      <c r="C9" t="s">
        <v>28</v>
      </c>
      <c r="D9" s="37">
        <v>8</v>
      </c>
      <c r="E9" s="34">
        <f>YTravelHalf</f>
        <v>50</v>
      </c>
      <c r="F9" s="3">
        <f>Calculator!C32</f>
        <v>50.01</v>
      </c>
      <c r="G9" s="3">
        <f>Calculator!D32</f>
        <v>50</v>
      </c>
      <c r="H9" s="3">
        <f>Calculator!E32</f>
        <v>50.02</v>
      </c>
      <c r="I9" s="3">
        <f t="shared" si="1"/>
        <v>50.01</v>
      </c>
      <c r="J9" s="3">
        <f t="shared" si="2"/>
        <v>9.9999999999980105E-3</v>
      </c>
      <c r="K9" s="1">
        <f t="shared" si="0"/>
        <v>1.9999999999996022E-4</v>
      </c>
      <c r="L9" s="12">
        <f t="shared" si="3"/>
        <v>9.9999999999980105E-3</v>
      </c>
      <c r="M9" s="34">
        <f t="shared" si="4"/>
        <v>1</v>
      </c>
      <c r="N9" s="12">
        <f t="shared" si="5"/>
        <v>2.0000000000003126E-2</v>
      </c>
      <c r="O9" s="34">
        <f t="shared" si="6"/>
        <v>1</v>
      </c>
      <c r="P9" s="55">
        <f t="shared" si="7"/>
        <v>1</v>
      </c>
      <c r="AI9" t="s">
        <v>101</v>
      </c>
    </row>
    <row r="10" spans="1:35" ht="15.75" customHeight="1" x14ac:dyDescent="0.35">
      <c r="A10" s="112" t="s">
        <v>16</v>
      </c>
      <c r="C10" t="s">
        <v>27</v>
      </c>
      <c r="D10" s="37">
        <v>9</v>
      </c>
      <c r="E10" s="34">
        <f>ZVertical</f>
        <v>90</v>
      </c>
      <c r="F10" s="3">
        <f>Calculator!C33</f>
        <v>89.76</v>
      </c>
      <c r="G10" s="3">
        <f>Calculator!D33</f>
        <v>89.82</v>
      </c>
      <c r="H10" s="3">
        <f>Calculator!E33</f>
        <v>89.82</v>
      </c>
      <c r="I10" s="3">
        <f t="shared" si="1"/>
        <v>89.8</v>
      </c>
      <c r="J10" s="3">
        <f t="shared" si="2"/>
        <v>-0.20000000000000284</v>
      </c>
      <c r="K10" s="56">
        <f t="shared" si="0"/>
        <v>-2.2222222222222539E-3</v>
      </c>
      <c r="L10" s="12">
        <f t="shared" si="3"/>
        <v>0.20000000000000284</v>
      </c>
      <c r="M10" s="34">
        <f t="shared" si="4"/>
        <v>1</v>
      </c>
      <c r="N10" s="12">
        <f t="shared" si="5"/>
        <v>5.9999999999988063E-2</v>
      </c>
      <c r="O10" s="34">
        <f t="shared" si="6"/>
        <v>1</v>
      </c>
      <c r="P10" s="55">
        <f t="shared" si="7"/>
        <v>1</v>
      </c>
      <c r="AI10" t="s">
        <v>102</v>
      </c>
    </row>
    <row r="11" spans="1:35" ht="15.75" customHeight="1" x14ac:dyDescent="0.35">
      <c r="A11" s="112"/>
      <c r="C11" t="s">
        <v>27</v>
      </c>
      <c r="D11" s="37">
        <v>10</v>
      </c>
      <c r="E11" s="34">
        <f>ZVerticalHalf</f>
        <v>45</v>
      </c>
      <c r="F11" s="3">
        <f>Calculator!C34</f>
        <v>44.87</v>
      </c>
      <c r="G11" s="3">
        <f>Calculator!D34</f>
        <v>44.86</v>
      </c>
      <c r="H11" s="3">
        <f>Calculator!E34</f>
        <v>44.84</v>
      </c>
      <c r="I11" s="3">
        <f t="shared" si="1"/>
        <v>44.856666666666662</v>
      </c>
      <c r="J11" s="3">
        <f t="shared" si="2"/>
        <v>-0.14333333333333798</v>
      </c>
      <c r="K11" s="56">
        <f t="shared" si="0"/>
        <v>-3.1851851851852882E-3</v>
      </c>
      <c r="L11" s="12">
        <f t="shared" si="3"/>
        <v>0.14333333333333798</v>
      </c>
      <c r="M11" s="34">
        <f t="shared" si="4"/>
        <v>1</v>
      </c>
      <c r="N11" s="12">
        <f t="shared" si="5"/>
        <v>2.9999999999994031E-2</v>
      </c>
      <c r="O11" s="34">
        <f t="shared" si="6"/>
        <v>1</v>
      </c>
      <c r="P11" s="55">
        <f t="shared" si="7"/>
        <v>1</v>
      </c>
    </row>
    <row r="12" spans="1:35" ht="15.75" customHeight="1" x14ac:dyDescent="0.35">
      <c r="A12" s="111" t="s">
        <v>103</v>
      </c>
      <c r="B12" s="61" t="s">
        <v>105</v>
      </c>
      <c r="C12" t="s">
        <v>27</v>
      </c>
      <c r="D12" s="37">
        <v>11</v>
      </c>
      <c r="E12" s="34">
        <f>XYDiag</f>
        <v>100</v>
      </c>
      <c r="F12" s="3">
        <f>Calculator!C35</f>
        <v>99.91</v>
      </c>
      <c r="G12" s="3">
        <f>Calculator!D35</f>
        <v>99.89</v>
      </c>
      <c r="H12" s="3">
        <f>Calculator!E35</f>
        <v>99.87</v>
      </c>
      <c r="I12" s="3">
        <f t="shared" si="1"/>
        <v>99.89</v>
      </c>
      <c r="J12" s="3">
        <f t="shared" si="2"/>
        <v>-0.10999999999999943</v>
      </c>
      <c r="K12" s="1">
        <f t="shared" si="0"/>
        <v>-1.0999999999999942E-3</v>
      </c>
      <c r="L12" s="12">
        <f t="shared" si="3"/>
        <v>0.10999999999999943</v>
      </c>
      <c r="M12" s="34">
        <f t="shared" si="4"/>
        <v>1</v>
      </c>
      <c r="N12" s="12">
        <f>MAX(F12:H12)-MIN(F12:H12)</f>
        <v>3.9999999999992042E-2</v>
      </c>
      <c r="O12" s="34">
        <f t="shared" si="6"/>
        <v>1</v>
      </c>
      <c r="P12" s="55">
        <f t="shared" si="7"/>
        <v>1</v>
      </c>
    </row>
    <row r="13" spans="1:35" ht="15.75" customHeight="1" x14ac:dyDescent="0.35">
      <c r="A13" s="111"/>
      <c r="B13" s="61" t="s">
        <v>105</v>
      </c>
      <c r="C13" t="s">
        <v>28</v>
      </c>
      <c r="D13" s="37">
        <v>12</v>
      </c>
      <c r="E13" s="34">
        <f>XYDiag</f>
        <v>100</v>
      </c>
      <c r="F13" s="3">
        <f>Calculator!C36</f>
        <v>100.35</v>
      </c>
      <c r="G13" s="3">
        <f>Calculator!D36</f>
        <v>100.31</v>
      </c>
      <c r="H13" s="3">
        <f>Calculator!E36</f>
        <v>100.34</v>
      </c>
      <c r="I13" s="3">
        <f t="shared" si="1"/>
        <v>100.33333333333333</v>
      </c>
      <c r="J13" s="3">
        <f t="shared" si="2"/>
        <v>0.3333333333333286</v>
      </c>
      <c r="K13" s="1">
        <f t="shared" si="0"/>
        <v>3.3333333333332858E-3</v>
      </c>
      <c r="L13" s="12">
        <f t="shared" si="3"/>
        <v>0.3333333333333286</v>
      </c>
      <c r="M13" s="34">
        <f>IF(L13&lt;$B$27,1,IF(L13&lt;$C$27,0.5,0))</f>
        <v>1</v>
      </c>
      <c r="N13" s="12">
        <f t="shared" si="5"/>
        <v>3.9999999999992042E-2</v>
      </c>
      <c r="O13" s="34">
        <f t="shared" si="6"/>
        <v>1</v>
      </c>
      <c r="P13" s="55">
        <f t="shared" si="7"/>
        <v>1</v>
      </c>
    </row>
    <row r="14" spans="1:35" ht="15.75" customHeight="1" x14ac:dyDescent="0.35">
      <c r="A14" s="111"/>
      <c r="B14" s="61" t="s">
        <v>104</v>
      </c>
      <c r="C14" t="s">
        <v>27</v>
      </c>
      <c r="D14" s="37">
        <v>13</v>
      </c>
      <c r="E14" s="34">
        <f>XYDiag</f>
        <v>100</v>
      </c>
      <c r="F14" s="3">
        <f>Calculator!C37</f>
        <v>100.06</v>
      </c>
      <c r="G14" s="3">
        <f>Calculator!D37</f>
        <v>100.03</v>
      </c>
      <c r="H14" s="3">
        <f>Calculator!E37</f>
        <v>100.04</v>
      </c>
      <c r="I14" s="3">
        <f t="shared" si="1"/>
        <v>100.04333333333334</v>
      </c>
      <c r="J14" s="3">
        <f t="shared" si="2"/>
        <v>4.3333333333336554E-2</v>
      </c>
      <c r="K14" s="1">
        <f t="shared" si="0"/>
        <v>4.3333333333336557E-4</v>
      </c>
      <c r="L14" s="12">
        <f t="shared" si="3"/>
        <v>4.3333333333336554E-2</v>
      </c>
      <c r="M14" s="34">
        <f t="shared" si="4"/>
        <v>1</v>
      </c>
      <c r="N14" s="12">
        <f t="shared" si="5"/>
        <v>3.0000000000001137E-2</v>
      </c>
      <c r="O14" s="34">
        <f t="shared" si="6"/>
        <v>1</v>
      </c>
      <c r="P14" s="55">
        <f t="shared" si="7"/>
        <v>1</v>
      </c>
    </row>
    <row r="15" spans="1:35" ht="15.75" customHeight="1" x14ac:dyDescent="0.35">
      <c r="A15" s="111"/>
      <c r="B15" s="60" t="s">
        <v>104</v>
      </c>
      <c r="C15" t="s">
        <v>28</v>
      </c>
      <c r="D15" s="37">
        <v>14</v>
      </c>
      <c r="E15" s="34">
        <f>XYDiag</f>
        <v>100</v>
      </c>
      <c r="F15" s="3">
        <f>Calculator!C38</f>
        <v>100.52</v>
      </c>
      <c r="G15" s="3">
        <f>Calculator!D38</f>
        <v>100.47</v>
      </c>
      <c r="H15" s="3">
        <f>Calculator!E38</f>
        <v>100.47</v>
      </c>
      <c r="I15" s="3">
        <f t="shared" si="1"/>
        <v>100.48666666666668</v>
      </c>
      <c r="J15" s="3">
        <f t="shared" si="2"/>
        <v>0.48666666666667879</v>
      </c>
      <c r="K15" s="1">
        <f t="shared" si="0"/>
        <v>4.8666666666667881E-3</v>
      </c>
      <c r="L15" s="12">
        <f t="shared" si="3"/>
        <v>0.48666666666667879</v>
      </c>
      <c r="M15" s="34">
        <f t="shared" si="4"/>
        <v>1</v>
      </c>
      <c r="N15" s="12">
        <f t="shared" si="5"/>
        <v>4.9999999999997158E-2</v>
      </c>
      <c r="O15" s="34">
        <f t="shared" si="6"/>
        <v>1</v>
      </c>
      <c r="P15" s="55">
        <f t="shared" si="7"/>
        <v>1</v>
      </c>
      <c r="R15" s="7" t="s">
        <v>38</v>
      </c>
      <c r="S15" s="7" t="s">
        <v>37</v>
      </c>
      <c r="T15" s="9"/>
      <c r="X15" s="7" t="s">
        <v>39</v>
      </c>
      <c r="Y15" s="7" t="s">
        <v>37</v>
      </c>
      <c r="Z15" s="9"/>
      <c r="AD15" s="7" t="s">
        <v>40</v>
      </c>
      <c r="AE15" s="7" t="s">
        <v>37</v>
      </c>
      <c r="AF15" s="9"/>
    </row>
    <row r="16" spans="1:35" ht="15.75" customHeight="1" x14ac:dyDescent="0.35">
      <c r="A16" s="111" t="s">
        <v>106</v>
      </c>
      <c r="B16" s="61" t="s">
        <v>105</v>
      </c>
      <c r="C16" t="s">
        <v>27</v>
      </c>
      <c r="D16" s="37">
        <v>15</v>
      </c>
      <c r="E16" s="34">
        <f>ZXDiag</f>
        <v>100</v>
      </c>
      <c r="F16" s="3">
        <f>Calculator!C39</f>
        <v>99.78</v>
      </c>
      <c r="G16" s="3">
        <f>Calculator!D39</f>
        <v>99.78</v>
      </c>
      <c r="H16" s="3">
        <f>Calculator!E39</f>
        <v>99.8</v>
      </c>
      <c r="I16" s="3">
        <f t="shared" si="1"/>
        <v>99.786666666666676</v>
      </c>
      <c r="J16" s="3">
        <f t="shared" si="2"/>
        <v>-0.21333333333332405</v>
      </c>
      <c r="K16" s="1">
        <f t="shared" si="0"/>
        <v>-2.1333333333332406E-3</v>
      </c>
      <c r="L16" s="12">
        <f t="shared" si="3"/>
        <v>0.21333333333332405</v>
      </c>
      <c r="M16" s="34">
        <f t="shared" si="4"/>
        <v>1</v>
      </c>
      <c r="N16" s="12">
        <f t="shared" si="5"/>
        <v>1.9999999999996021E-2</v>
      </c>
      <c r="O16" s="34">
        <f t="shared" si="6"/>
        <v>1</v>
      </c>
      <c r="P16" s="55">
        <f t="shared" si="7"/>
        <v>1</v>
      </c>
      <c r="Q16" s="85" t="s">
        <v>105</v>
      </c>
      <c r="R16" s="37">
        <v>11</v>
      </c>
      <c r="S16" s="12">
        <f>I12</f>
        <v>99.89</v>
      </c>
      <c r="T16" s="46"/>
      <c r="V16" s="5"/>
      <c r="W16" s="85" t="s">
        <v>105</v>
      </c>
      <c r="X16" s="37">
        <v>15</v>
      </c>
      <c r="Y16" s="12">
        <f>I16</f>
        <v>99.786666666666676</v>
      </c>
      <c r="Z16" s="46"/>
      <c r="AC16" s="79" t="s">
        <v>105</v>
      </c>
      <c r="AD16" s="37">
        <v>19</v>
      </c>
      <c r="AE16" s="12">
        <f>I20</f>
        <v>99.846666666666678</v>
      </c>
      <c r="AF16" s="46"/>
    </row>
    <row r="17" spans="1:35" x14ac:dyDescent="0.35">
      <c r="A17" s="111"/>
      <c r="B17" s="61" t="s">
        <v>105</v>
      </c>
      <c r="C17" t="s">
        <v>28</v>
      </c>
      <c r="D17" s="37">
        <v>16</v>
      </c>
      <c r="E17" s="34">
        <f>ZXDiag</f>
        <v>100</v>
      </c>
      <c r="F17" s="3">
        <f>Calculator!C40</f>
        <v>100.01</v>
      </c>
      <c r="G17" s="3">
        <f>Calculator!D40</f>
        <v>99.98</v>
      </c>
      <c r="H17" s="3">
        <f>Calculator!E40</f>
        <v>100.05</v>
      </c>
      <c r="I17" s="3">
        <f t="shared" si="1"/>
        <v>100.01333333333334</v>
      </c>
      <c r="J17" s="3">
        <f t="shared" si="2"/>
        <v>1.3333333333335418E-2</v>
      </c>
      <c r="K17" s="1">
        <f t="shared" si="0"/>
        <v>1.3333333333335418E-4</v>
      </c>
      <c r="L17" s="12">
        <f t="shared" si="3"/>
        <v>1.3333333333335418E-2</v>
      </c>
      <c r="M17" s="34">
        <f t="shared" si="4"/>
        <v>1</v>
      </c>
      <c r="N17" s="12">
        <f t="shared" si="5"/>
        <v>6.9999999999993179E-2</v>
      </c>
      <c r="O17" s="34">
        <f t="shared" si="6"/>
        <v>1</v>
      </c>
      <c r="P17" s="55">
        <f t="shared" si="7"/>
        <v>1</v>
      </c>
      <c r="Q17" s="85" t="s">
        <v>105</v>
      </c>
      <c r="R17" s="37">
        <v>12</v>
      </c>
      <c r="S17" s="12">
        <f>I13</f>
        <v>100.33333333333333</v>
      </c>
      <c r="T17" s="46"/>
      <c r="W17" s="85" t="s">
        <v>105</v>
      </c>
      <c r="X17" s="37">
        <v>16</v>
      </c>
      <c r="Y17" s="12">
        <f>I17</f>
        <v>100.01333333333334</v>
      </c>
      <c r="Z17" s="46"/>
      <c r="AC17" s="79" t="s">
        <v>105</v>
      </c>
      <c r="AD17" s="37">
        <v>20</v>
      </c>
      <c r="AE17" s="12">
        <f>I21</f>
        <v>99.943333333333328</v>
      </c>
      <c r="AF17" s="46"/>
      <c r="AI17" s="7" t="s">
        <v>107</v>
      </c>
    </row>
    <row r="18" spans="1:35" ht="16.5" customHeight="1" x14ac:dyDescent="0.35">
      <c r="A18" s="111"/>
      <c r="B18" s="61" t="s">
        <v>104</v>
      </c>
      <c r="C18" t="s">
        <v>27</v>
      </c>
      <c r="D18" s="37">
        <v>17</v>
      </c>
      <c r="E18" s="34">
        <f>ZXDiag</f>
        <v>100</v>
      </c>
      <c r="F18" s="3">
        <f>Calculator!C41</f>
        <v>99.77</v>
      </c>
      <c r="G18" s="3">
        <f>Calculator!D41</f>
        <v>99.77</v>
      </c>
      <c r="H18" s="3">
        <f>Calculator!E41</f>
        <v>99.75</v>
      </c>
      <c r="I18" s="3">
        <f t="shared" si="1"/>
        <v>99.763333333333321</v>
      </c>
      <c r="J18" s="3">
        <f t="shared" si="2"/>
        <v>-0.23666666666667879</v>
      </c>
      <c r="K18" s="1">
        <f t="shared" si="0"/>
        <v>-2.3666666666667881E-3</v>
      </c>
      <c r="L18" s="12">
        <f t="shared" si="3"/>
        <v>0.23666666666667879</v>
      </c>
      <c r="M18" s="34">
        <f t="shared" si="4"/>
        <v>1</v>
      </c>
      <c r="N18" s="12">
        <f t="shared" si="5"/>
        <v>1.9999999999996021E-2</v>
      </c>
      <c r="O18" s="34">
        <f t="shared" si="6"/>
        <v>1</v>
      </c>
      <c r="P18" s="55">
        <f t="shared" si="7"/>
        <v>1</v>
      </c>
      <c r="Q18" s="85" t="s">
        <v>104</v>
      </c>
      <c r="R18" s="37">
        <v>13</v>
      </c>
      <c r="S18" s="12">
        <f>I14</f>
        <v>100.04333333333334</v>
      </c>
      <c r="T18" s="46"/>
      <c r="W18" s="85" t="s">
        <v>104</v>
      </c>
      <c r="X18" s="37">
        <v>17</v>
      </c>
      <c r="Y18" s="12">
        <f>I18</f>
        <v>99.763333333333321</v>
      </c>
      <c r="Z18" s="46"/>
      <c r="AC18" s="79" t="s">
        <v>104</v>
      </c>
      <c r="AD18" s="37">
        <v>21</v>
      </c>
      <c r="AE18" s="12">
        <f>I22</f>
        <v>99.943333333333342</v>
      </c>
      <c r="AF18" s="46"/>
      <c r="AI18" t="s">
        <v>108</v>
      </c>
    </row>
    <row r="19" spans="1:35" x14ac:dyDescent="0.35">
      <c r="A19" s="111"/>
      <c r="B19" s="60" t="s">
        <v>104</v>
      </c>
      <c r="C19" t="s">
        <v>28</v>
      </c>
      <c r="D19" s="37">
        <v>18</v>
      </c>
      <c r="E19" s="34">
        <f>ZXDiag</f>
        <v>100</v>
      </c>
      <c r="F19" s="3">
        <f>Calculator!C42</f>
        <v>99.96</v>
      </c>
      <c r="G19" s="3">
        <f>Calculator!D42</f>
        <v>99.87</v>
      </c>
      <c r="H19" s="3">
        <f>Calculator!E42</f>
        <v>99.95</v>
      </c>
      <c r="I19" s="3">
        <f t="shared" si="1"/>
        <v>99.926666666666662</v>
      </c>
      <c r="J19" s="3">
        <f t="shared" si="2"/>
        <v>-7.3333333333337691E-2</v>
      </c>
      <c r="K19" s="1">
        <f t="shared" si="0"/>
        <v>-7.3333333333337693E-4</v>
      </c>
      <c r="L19" s="12">
        <f t="shared" si="3"/>
        <v>7.3333333333337691E-2</v>
      </c>
      <c r="M19" s="34">
        <f t="shared" si="4"/>
        <v>1</v>
      </c>
      <c r="N19" s="12">
        <f t="shared" si="5"/>
        <v>8.99999999999892E-2</v>
      </c>
      <c r="O19" s="34">
        <f t="shared" si="6"/>
        <v>1</v>
      </c>
      <c r="P19" s="55">
        <f t="shared" si="7"/>
        <v>1</v>
      </c>
      <c r="Q19" s="94" t="s">
        <v>104</v>
      </c>
      <c r="R19" s="37">
        <v>14</v>
      </c>
      <c r="S19" s="12">
        <f>I15</f>
        <v>100.48666666666668</v>
      </c>
      <c r="T19" s="46"/>
      <c r="W19" s="94" t="s">
        <v>104</v>
      </c>
      <c r="X19" s="37">
        <v>18</v>
      </c>
      <c r="Y19" s="12">
        <f>I19</f>
        <v>99.926666666666662</v>
      </c>
      <c r="Z19" s="46"/>
      <c r="AC19" s="79" t="s">
        <v>104</v>
      </c>
      <c r="AD19" s="37">
        <v>22</v>
      </c>
      <c r="AE19" s="12">
        <f>I23</f>
        <v>99.73</v>
      </c>
      <c r="AF19" s="46"/>
      <c r="AI19" t="s">
        <v>109</v>
      </c>
    </row>
    <row r="20" spans="1:35" x14ac:dyDescent="0.35">
      <c r="A20" s="111" t="s">
        <v>110</v>
      </c>
      <c r="B20" s="61" t="s">
        <v>105</v>
      </c>
      <c r="C20" t="s">
        <v>27</v>
      </c>
      <c r="D20" s="37">
        <v>19</v>
      </c>
      <c r="E20" s="34">
        <f>ZYDiag</f>
        <v>100</v>
      </c>
      <c r="F20" s="3">
        <f>Calculator!C43</f>
        <v>99.86</v>
      </c>
      <c r="G20" s="3">
        <f>Calculator!D43</f>
        <v>99.87</v>
      </c>
      <c r="H20" s="3">
        <f>Calculator!E43</f>
        <v>99.81</v>
      </c>
      <c r="I20" s="3">
        <f t="shared" si="1"/>
        <v>99.846666666666678</v>
      </c>
      <c r="J20" s="3">
        <f t="shared" si="2"/>
        <v>-0.15333333333332178</v>
      </c>
      <c r="K20" s="1">
        <f t="shared" si="0"/>
        <v>-1.5333333333332178E-3</v>
      </c>
      <c r="L20" s="12">
        <f t="shared" si="3"/>
        <v>0.15333333333332178</v>
      </c>
      <c r="M20" s="34">
        <f t="shared" si="4"/>
        <v>1</v>
      </c>
      <c r="N20" s="12">
        <f t="shared" si="5"/>
        <v>6.0000000000002274E-2</v>
      </c>
      <c r="O20" s="34">
        <f t="shared" si="6"/>
        <v>1</v>
      </c>
      <c r="P20" s="55">
        <f t="shared" si="7"/>
        <v>1</v>
      </c>
      <c r="AI20" t="s">
        <v>111</v>
      </c>
    </row>
    <row r="21" spans="1:35" x14ac:dyDescent="0.35">
      <c r="A21" s="111"/>
      <c r="B21" s="61" t="s">
        <v>105</v>
      </c>
      <c r="C21" t="s">
        <v>28</v>
      </c>
      <c r="D21" s="37">
        <v>20</v>
      </c>
      <c r="E21" s="34">
        <f>ZYDiag</f>
        <v>100</v>
      </c>
      <c r="F21" s="3">
        <f>Calculator!C44</f>
        <v>99.94</v>
      </c>
      <c r="G21" s="3">
        <f>Calculator!D44</f>
        <v>99.94</v>
      </c>
      <c r="H21" s="3">
        <f>Calculator!E44</f>
        <v>99.95</v>
      </c>
      <c r="I21" s="3">
        <f t="shared" si="1"/>
        <v>99.943333333333328</v>
      </c>
      <c r="J21" s="3">
        <f t="shared" si="2"/>
        <v>-5.6666666666671972E-2</v>
      </c>
      <c r="K21" s="1">
        <f t="shared" si="0"/>
        <v>-5.6666666666671972E-4</v>
      </c>
      <c r="L21" s="12">
        <f t="shared" si="3"/>
        <v>5.6666666666671972E-2</v>
      </c>
      <c r="M21" s="34">
        <f t="shared" si="4"/>
        <v>1</v>
      </c>
      <c r="N21" s="12">
        <f t="shared" si="5"/>
        <v>1.0000000000005116E-2</v>
      </c>
      <c r="O21" s="34">
        <f t="shared" si="6"/>
        <v>1</v>
      </c>
      <c r="P21" s="55">
        <f t="shared" si="7"/>
        <v>1</v>
      </c>
      <c r="AI21" t="s">
        <v>112</v>
      </c>
    </row>
    <row r="22" spans="1:35" ht="15" customHeight="1" x14ac:dyDescent="0.35">
      <c r="A22" s="111"/>
      <c r="B22" s="61" t="s">
        <v>104</v>
      </c>
      <c r="C22" t="s">
        <v>27</v>
      </c>
      <c r="D22" s="37">
        <v>21</v>
      </c>
      <c r="E22" s="34">
        <f>ZYDiag</f>
        <v>100</v>
      </c>
      <c r="F22" s="3">
        <f>Calculator!C45</f>
        <v>99.95</v>
      </c>
      <c r="G22" s="3">
        <f>Calculator!D45</f>
        <v>99.95</v>
      </c>
      <c r="H22" s="3">
        <f>Calculator!E45</f>
        <v>99.93</v>
      </c>
      <c r="I22" s="3">
        <f t="shared" si="1"/>
        <v>99.943333333333342</v>
      </c>
      <c r="J22" s="3">
        <f t="shared" si="2"/>
        <v>-5.6666666666657761E-2</v>
      </c>
      <c r="K22" s="1">
        <f t="shared" si="0"/>
        <v>-5.6666666666657759E-4</v>
      </c>
      <c r="L22" s="12">
        <f t="shared" si="3"/>
        <v>5.6666666666657761E-2</v>
      </c>
      <c r="M22" s="34">
        <f t="shared" si="4"/>
        <v>1</v>
      </c>
      <c r="N22" s="12">
        <f t="shared" si="5"/>
        <v>1.9999999999996021E-2</v>
      </c>
      <c r="O22" s="34">
        <f t="shared" si="6"/>
        <v>1</v>
      </c>
      <c r="P22" s="55">
        <f t="shared" si="7"/>
        <v>1</v>
      </c>
      <c r="Q22" s="5"/>
      <c r="R22" t="s">
        <v>115</v>
      </c>
      <c r="S22" s="41">
        <f>AVERAGE(S16:S17)</f>
        <v>100.11166666666666</v>
      </c>
      <c r="X22" t="s">
        <v>115</v>
      </c>
      <c r="Y22" s="41">
        <f>AVERAGE(Y16:Y17)</f>
        <v>99.9</v>
      </c>
      <c r="Z22" s="41"/>
      <c r="AD22" t="s">
        <v>115</v>
      </c>
      <c r="AE22" s="41">
        <f>AVERAGE(AE16:AE17)</f>
        <v>99.89500000000001</v>
      </c>
      <c r="AF22" s="41"/>
      <c r="AI22" t="s">
        <v>114</v>
      </c>
    </row>
    <row r="23" spans="1:35" x14ac:dyDescent="0.35">
      <c r="A23" s="111"/>
      <c r="B23" s="60" t="s">
        <v>104</v>
      </c>
      <c r="C23" t="s">
        <v>28</v>
      </c>
      <c r="D23" s="37">
        <v>22</v>
      </c>
      <c r="E23" s="34">
        <f>ZYDiag</f>
        <v>100</v>
      </c>
      <c r="F23" s="3">
        <f>Calculator!C46</f>
        <v>99.67</v>
      </c>
      <c r="G23" s="3">
        <f>Calculator!D46</f>
        <v>99.74</v>
      </c>
      <c r="H23" s="3">
        <f>Calculator!E46</f>
        <v>99.78</v>
      </c>
      <c r="I23" s="3">
        <f t="shared" si="1"/>
        <v>99.73</v>
      </c>
      <c r="J23" s="3">
        <f t="shared" si="2"/>
        <v>-0.26999999999999602</v>
      </c>
      <c r="K23" s="1">
        <f t="shared" si="0"/>
        <v>-2.6999999999999602E-3</v>
      </c>
      <c r="L23" s="12">
        <f t="shared" si="3"/>
        <v>0.26999999999999602</v>
      </c>
      <c r="M23" s="34">
        <f t="shared" si="4"/>
        <v>1</v>
      </c>
      <c r="N23" s="12">
        <f t="shared" si="5"/>
        <v>0.10999999999999943</v>
      </c>
      <c r="O23" s="34">
        <f t="shared" si="6"/>
        <v>1</v>
      </c>
      <c r="P23" s="55">
        <f t="shared" si="7"/>
        <v>1</v>
      </c>
      <c r="Q23" s="5"/>
      <c r="R23" t="s">
        <v>113</v>
      </c>
      <c r="S23" s="41">
        <f>AVERAGE(S18:S19)</f>
        <v>100.26500000000001</v>
      </c>
      <c r="X23" t="s">
        <v>113</v>
      </c>
      <c r="Y23" s="41">
        <f>AVERAGE(Y18:Y19)</f>
        <v>99.844999999999999</v>
      </c>
      <c r="Z23" s="41"/>
      <c r="AD23" t="s">
        <v>113</v>
      </c>
      <c r="AE23" s="41">
        <f>AVERAGE(AE18:AE19)</f>
        <v>99.836666666666673</v>
      </c>
      <c r="AF23" s="41"/>
      <c r="AI23" t="s">
        <v>116</v>
      </c>
    </row>
    <row r="24" spans="1:35" x14ac:dyDescent="0.35">
      <c r="G24" s="1"/>
      <c r="H24" s="1"/>
      <c r="I24" s="1"/>
      <c r="J24" s="1"/>
      <c r="K24" s="1"/>
      <c r="L24" s="1"/>
      <c r="M24" s="1"/>
      <c r="N24" s="1"/>
      <c r="O24" s="1"/>
      <c r="P24" s="1"/>
      <c r="Q24" s="78"/>
      <c r="R24" t="s">
        <v>157</v>
      </c>
      <c r="S24" s="41">
        <f>S22*SQRT(2)</f>
        <v>141.5792767517745</v>
      </c>
      <c r="T24" s="41"/>
      <c r="X24" t="s">
        <v>157</v>
      </c>
      <c r="Y24" s="41">
        <f>Y22*SQRT(2)</f>
        <v>141.27993488107222</v>
      </c>
      <c r="Z24" s="41"/>
      <c r="AD24" t="s">
        <v>157</v>
      </c>
      <c r="AE24" s="41">
        <f>AE22*SQRT(2)</f>
        <v>141.27286381326036</v>
      </c>
      <c r="AF24" s="41"/>
    </row>
    <row r="25" spans="1:35" x14ac:dyDescent="0.35">
      <c r="B25" s="62" t="s">
        <v>117</v>
      </c>
      <c r="C25" s="37" t="s">
        <v>118</v>
      </c>
      <c r="D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79"/>
      <c r="R25" t="s">
        <v>158</v>
      </c>
      <c r="S25" s="41">
        <f>S23*SQRT(2)</f>
        <v>141.79612283133841</v>
      </c>
      <c r="T25" s="51"/>
      <c r="U25" s="3"/>
      <c r="V25" s="3"/>
      <c r="W25" s="79"/>
      <c r="X25" t="s">
        <v>158</v>
      </c>
      <c r="Y25" s="41">
        <f>Y23*SQRT(2)</f>
        <v>141.20215313514169</v>
      </c>
      <c r="Z25" s="51"/>
      <c r="AA25" s="3"/>
      <c r="AC25" s="79"/>
      <c r="AD25" t="s">
        <v>158</v>
      </c>
      <c r="AE25" s="41">
        <f>AE23*SQRT(2)</f>
        <v>141.19036802212193</v>
      </c>
      <c r="AF25" s="51"/>
      <c r="AG25" s="3"/>
    </row>
    <row r="26" spans="1:35" ht="15.75" customHeight="1" x14ac:dyDescent="0.35">
      <c r="A26" s="7" t="s">
        <v>119</v>
      </c>
      <c r="B26" s="34">
        <v>0.15</v>
      </c>
      <c r="C26" s="34">
        <v>0.5</v>
      </c>
      <c r="D26" s="34"/>
      <c r="E26" s="3"/>
      <c r="F26" s="1"/>
      <c r="G26" s="1"/>
      <c r="H26" s="1"/>
      <c r="I26" s="1"/>
      <c r="J26" s="1"/>
      <c r="K26" s="7" t="s">
        <v>120</v>
      </c>
      <c r="M26" s="1"/>
      <c r="N26" s="1"/>
      <c r="O26" s="1"/>
      <c r="P26" s="1"/>
      <c r="Q26" s="79"/>
      <c r="R26" s="95" t="s">
        <v>191</v>
      </c>
      <c r="S26" s="96">
        <f>50*SQRT(2)*(1+$B$70)*scale</f>
        <v>70.760764848988799</v>
      </c>
      <c r="T26" s="51"/>
      <c r="X26" s="95" t="s">
        <v>191</v>
      </c>
      <c r="Y26" s="96">
        <f>50*SQRT(2)*(1+$B$70)*scale</f>
        <v>70.760764848988799</v>
      </c>
      <c r="Z26" s="51"/>
      <c r="AD26" s="95" t="s">
        <v>191</v>
      </c>
      <c r="AE26" s="96">
        <f>50*SQRT(2)*(1+$C$70)*scale</f>
        <v>70.71539216386266</v>
      </c>
      <c r="AF26" s="51"/>
    </row>
    <row r="27" spans="1:35" ht="15.75" customHeight="1" x14ac:dyDescent="0.35">
      <c r="A27" s="7" t="s">
        <v>121</v>
      </c>
      <c r="B27" s="34">
        <v>0.8</v>
      </c>
      <c r="C27" s="34">
        <v>1.2</v>
      </c>
      <c r="D27" s="34"/>
      <c r="F27" s="1"/>
      <c r="G27" s="1"/>
      <c r="H27" s="1"/>
      <c r="I27" s="1"/>
      <c r="J27" s="1"/>
      <c r="K27" s="52">
        <f>90-DEGREES(ATAN(B58/B60))</f>
        <v>38.659808254090088</v>
      </c>
      <c r="L27" s="52">
        <f>90-K27</f>
        <v>51.340191745909912</v>
      </c>
      <c r="M27" s="1"/>
      <c r="N27" s="1"/>
      <c r="O27" s="1"/>
      <c r="P27" s="1"/>
      <c r="Q27" s="79"/>
      <c r="R27" s="95" t="s">
        <v>192</v>
      </c>
      <c r="S27" s="97">
        <f>SQRT(((S22^2)+(S23^2)-2*(S26^2))/2)</f>
        <v>70.926879050716749</v>
      </c>
      <c r="T27" s="51"/>
      <c r="X27" s="95" t="s">
        <v>192</v>
      </c>
      <c r="Y27" s="97">
        <f>SQRT(((Y22^2)+(Y23^2)-2*(Y26^2))/2)</f>
        <v>70.480005465990928</v>
      </c>
      <c r="Z27" s="51"/>
      <c r="AD27" s="95" t="s">
        <v>192</v>
      </c>
      <c r="AE27" s="97">
        <f>SQRT(((AE22^2)+(AE23^2)-2*(AE26^2))/2)</f>
        <v>70.516089151105575</v>
      </c>
      <c r="AF27" s="47"/>
      <c r="AI27" t="s">
        <v>122</v>
      </c>
    </row>
    <row r="28" spans="1:35" ht="15.75" customHeight="1" x14ac:dyDescent="0.35">
      <c r="C28" s="7"/>
      <c r="D28" s="34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79"/>
      <c r="R28" s="95" t="s">
        <v>193</v>
      </c>
      <c r="S28" s="103">
        <f>DEGREES(ACOS(((S22^2)-(S26^2)-(S27^2))/(2*S26*S27)))</f>
        <v>90.087688606076341</v>
      </c>
      <c r="X28" s="95" t="s">
        <v>193</v>
      </c>
      <c r="Y28" s="96">
        <f>DEGREES(ACOS(((Y22^2)-(Y26^2)-(Y27^2))/(2*Y26*Y27)))</f>
        <v>89.968446842750794</v>
      </c>
      <c r="AD28" s="95" t="s">
        <v>193</v>
      </c>
      <c r="AE28" s="96">
        <f>DEGREES(ACOS(((AE22^2)-(AE26^2)-(AE27^2))/(2*AE26*AE27)))</f>
        <v>89.966532427457039</v>
      </c>
      <c r="AF28" s="47"/>
    </row>
    <row r="29" spans="1:35" ht="15.75" customHeight="1" x14ac:dyDescent="0.35">
      <c r="A29" s="80" t="s">
        <v>123</v>
      </c>
      <c r="C29" s="7"/>
      <c r="D29" s="34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95" t="s">
        <v>3</v>
      </c>
      <c r="S29" s="103">
        <f>S28-90</f>
        <v>8.7688606076341102E-2</v>
      </c>
      <c r="X29" s="95" t="s">
        <v>3</v>
      </c>
      <c r="Y29" s="96">
        <f>Y28-90</f>
        <v>-3.1553157249206265E-2</v>
      </c>
      <c r="AD29" s="95" t="s">
        <v>3</v>
      </c>
      <c r="AE29" s="96">
        <f>AE28-90</f>
        <v>-3.3467572542960511E-2</v>
      </c>
      <c r="AF29" s="51"/>
    </row>
    <row r="30" spans="1:35" x14ac:dyDescent="0.35">
      <c r="A30" s="58" t="s">
        <v>5</v>
      </c>
      <c r="C30" s="7"/>
      <c r="D30" s="34"/>
      <c r="E30" s="3"/>
      <c r="G30" s="1"/>
      <c r="H30" s="1"/>
      <c r="AF30" s="51"/>
    </row>
    <row r="31" spans="1:35" x14ac:dyDescent="0.35">
      <c r="A31" s="58" t="s">
        <v>9</v>
      </c>
      <c r="C31" s="7"/>
      <c r="E31" s="4"/>
      <c r="R31" t="s">
        <v>185</v>
      </c>
      <c r="S31" s="51">
        <f>S29</f>
        <v>8.7688606076341102E-2</v>
      </c>
      <c r="X31" t="s">
        <v>185</v>
      </c>
      <c r="Y31" s="41">
        <f>Y29</f>
        <v>-3.1553157249206265E-2</v>
      </c>
      <c r="AD31" t="s">
        <v>185</v>
      </c>
      <c r="AE31" s="41">
        <f>AE29</f>
        <v>-3.3467572542960511E-2</v>
      </c>
      <c r="AF31" s="51"/>
    </row>
    <row r="32" spans="1:35" x14ac:dyDescent="0.35">
      <c r="A32" s="58" t="s">
        <v>12</v>
      </c>
      <c r="C32" s="7"/>
      <c r="R32" t="s">
        <v>196</v>
      </c>
      <c r="S32" s="51">
        <f>B53</f>
        <v>0.15548421915670194</v>
      </c>
      <c r="X32" t="s">
        <v>196</v>
      </c>
      <c r="Y32" s="41">
        <f>C53</f>
        <v>0</v>
      </c>
      <c r="AD32" t="s">
        <v>196</v>
      </c>
      <c r="AE32" s="41">
        <f>D53</f>
        <v>0</v>
      </c>
    </row>
    <row r="33" spans="1:31" x14ac:dyDescent="0.35">
      <c r="A33" s="58" t="s">
        <v>124</v>
      </c>
      <c r="R33" t="s">
        <v>197</v>
      </c>
      <c r="S33" s="51">
        <f>S32-S31</f>
        <v>6.7795613080360834E-2</v>
      </c>
      <c r="X33" t="s">
        <v>197</v>
      </c>
      <c r="Y33" s="41">
        <f>Y32-Y31</f>
        <v>3.1553157249206265E-2</v>
      </c>
      <c r="AD33" t="s">
        <v>197</v>
      </c>
      <c r="AE33" s="41">
        <f>AE32-AE31</f>
        <v>3.3467572542960511E-2</v>
      </c>
    </row>
    <row r="34" spans="1:31" x14ac:dyDescent="0.35">
      <c r="C34" s="7"/>
      <c r="D34" s="52"/>
      <c r="M34" t="s">
        <v>190</v>
      </c>
      <c r="R34" t="s">
        <v>194</v>
      </c>
      <c r="S34" s="102">
        <f>IF(S32=0,1,(S32+S31)/S32)</f>
        <v>1.563971099780652</v>
      </c>
      <c r="X34" t="s">
        <v>194</v>
      </c>
      <c r="Y34" s="102">
        <f>IF(Y32=0,1,(Y32+Y31)/Y32)</f>
        <v>1</v>
      </c>
      <c r="AD34" t="s">
        <v>194</v>
      </c>
      <c r="AE34" s="102">
        <f>IF(AE32=0,1,(AE32+AE31)/AE32)</f>
        <v>1</v>
      </c>
    </row>
    <row r="35" spans="1:31" x14ac:dyDescent="0.35">
      <c r="C35" s="7"/>
      <c r="D35" s="52"/>
      <c r="H35" s="92">
        <v>100</v>
      </c>
      <c r="I35" s="42">
        <v>100</v>
      </c>
      <c r="J35" s="42">
        <v>100</v>
      </c>
      <c r="K35" s="10">
        <v>1</v>
      </c>
      <c r="L35" s="92">
        <v>99.98</v>
      </c>
      <c r="M35" s="42">
        <v>99.99</v>
      </c>
      <c r="N35" s="42">
        <v>99.97</v>
      </c>
      <c r="R35" s="7" t="s">
        <v>195</v>
      </c>
      <c r="S35" s="107">
        <f>IF(S32=0,S33,S32/S34)</f>
        <v>9.9416299430666405E-2</v>
      </c>
      <c r="X35" s="7" t="s">
        <v>195</v>
      </c>
      <c r="Y35" s="107">
        <f>IF(Y32=0,Y33,Y32/Y34)</f>
        <v>3.1553157249206265E-2</v>
      </c>
      <c r="AD35" s="7" t="s">
        <v>195</v>
      </c>
      <c r="AE35" s="107">
        <f>IF(AE32=0,AE33,AE32/AE34)</f>
        <v>3.3467572542960511E-2</v>
      </c>
    </row>
    <row r="36" spans="1:31" ht="15.5" x14ac:dyDescent="0.35">
      <c r="A36" s="59" t="s">
        <v>184</v>
      </c>
      <c r="H36" s="90">
        <v>50</v>
      </c>
      <c r="I36" s="91">
        <v>50</v>
      </c>
      <c r="J36" s="91">
        <v>50</v>
      </c>
      <c r="K36" s="10">
        <v>2</v>
      </c>
      <c r="L36" s="90">
        <v>49.97</v>
      </c>
      <c r="M36" s="91">
        <v>49.98</v>
      </c>
      <c r="N36" s="91">
        <v>49.97</v>
      </c>
    </row>
    <row r="37" spans="1:31" x14ac:dyDescent="0.35">
      <c r="A37" t="str">
        <f>Calculator!A8</f>
        <v>Klipper</v>
      </c>
      <c r="B37" s="37" t="s">
        <v>6</v>
      </c>
      <c r="C37" s="37" t="s">
        <v>10</v>
      </c>
      <c r="D37" s="37" t="s">
        <v>11</v>
      </c>
      <c r="E37" s="34"/>
      <c r="H37" s="92">
        <v>100</v>
      </c>
      <c r="I37" s="42">
        <v>100</v>
      </c>
      <c r="J37" s="42">
        <v>100</v>
      </c>
      <c r="K37" s="10">
        <v>3</v>
      </c>
      <c r="L37" s="92">
        <v>99.67</v>
      </c>
      <c r="M37" s="42">
        <v>99.67</v>
      </c>
      <c r="N37" s="42">
        <v>99.65</v>
      </c>
      <c r="R37" t="s">
        <v>200</v>
      </c>
      <c r="S37" s="51">
        <f>90+S35</f>
        <v>90.099416299430672</v>
      </c>
      <c r="X37" t="s">
        <v>200</v>
      </c>
      <c r="Y37" s="51">
        <f>90+Y35</f>
        <v>90.031553157249206</v>
      </c>
      <c r="AD37" t="s">
        <v>200</v>
      </c>
      <c r="AE37" s="51">
        <f>90+AE35</f>
        <v>90.033467572542961</v>
      </c>
    </row>
    <row r="38" spans="1:31" x14ac:dyDescent="0.35">
      <c r="A38" t="s">
        <v>126</v>
      </c>
      <c r="B38" s="86">
        <f>Calculator!B10</f>
        <v>2.7137115591768898E-3</v>
      </c>
      <c r="C38" s="86">
        <f>Calculator!C10</f>
        <v>0</v>
      </c>
      <c r="D38" s="86">
        <f>Calculator!D10</f>
        <v>0</v>
      </c>
      <c r="E38" s="34"/>
      <c r="H38" s="90">
        <v>50</v>
      </c>
      <c r="I38" s="91">
        <v>50</v>
      </c>
      <c r="J38" s="91">
        <v>50</v>
      </c>
      <c r="K38" s="10">
        <v>4</v>
      </c>
      <c r="L38" s="90">
        <v>49.96</v>
      </c>
      <c r="M38" s="91">
        <v>49.94</v>
      </c>
      <c r="N38" s="91">
        <v>49.9</v>
      </c>
      <c r="R38" t="s">
        <v>201</v>
      </c>
      <c r="S38">
        <f>200*COS(RADIANS(S37/2))</f>
        <v>141.2986099801025</v>
      </c>
      <c r="X38" t="s">
        <v>201</v>
      </c>
      <c r="Y38">
        <f>200*COS(RADIANS(Y37/2))</f>
        <v>141.38241004767445</v>
      </c>
      <c r="AD38" t="s">
        <v>201</v>
      </c>
      <c r="AE38">
        <f>200*COS(RADIANS(AE37/2))</f>
        <v>141.38004673218154</v>
      </c>
    </row>
    <row r="39" spans="1:31" x14ac:dyDescent="0.35">
      <c r="A39" t="s">
        <v>3</v>
      </c>
      <c r="B39" s="77">
        <f>DEGREES(B38)</f>
        <v>0.15548421915670194</v>
      </c>
      <c r="C39" s="77">
        <f>DEGREES(C38)</f>
        <v>0</v>
      </c>
      <c r="D39" s="77">
        <f>DEGREES(D38)</f>
        <v>0</v>
      </c>
      <c r="E39" s="34"/>
      <c r="H39" s="92">
        <v>100</v>
      </c>
      <c r="I39" s="42">
        <v>100</v>
      </c>
      <c r="J39" s="42">
        <v>100</v>
      </c>
      <c r="K39" s="10">
        <v>5</v>
      </c>
      <c r="L39" s="92">
        <v>100.02</v>
      </c>
      <c r="M39" s="42">
        <v>100.03</v>
      </c>
      <c r="N39" s="42">
        <v>100.02</v>
      </c>
      <c r="R39" t="s">
        <v>202</v>
      </c>
      <c r="S39">
        <f>200*SIN(RADIANS(S37/2))</f>
        <v>141.54399604960599</v>
      </c>
      <c r="X39" t="s">
        <v>202</v>
      </c>
      <c r="Y39">
        <f>200*SIN(RADIANS(Y37/2))</f>
        <v>141.46029170446116</v>
      </c>
      <c r="AD39" t="s">
        <v>202</v>
      </c>
      <c r="AE39">
        <f>200*SIN(RADIANS(AE37/2))</f>
        <v>141.46265367935865</v>
      </c>
    </row>
    <row r="40" spans="1:31" x14ac:dyDescent="0.35">
      <c r="E40" s="34"/>
      <c r="H40" s="90">
        <v>50</v>
      </c>
      <c r="I40" s="91">
        <v>50</v>
      </c>
      <c r="J40" s="91">
        <v>50</v>
      </c>
      <c r="K40" s="10">
        <v>6</v>
      </c>
      <c r="L40" s="90">
        <v>50.07</v>
      </c>
      <c r="M40" s="91">
        <v>50</v>
      </c>
      <c r="N40" s="91">
        <v>50.01</v>
      </c>
      <c r="R40" t="s">
        <v>203</v>
      </c>
      <c r="S40">
        <v>100</v>
      </c>
      <c r="X40" t="s">
        <v>203</v>
      </c>
      <c r="Y40">
        <v>100</v>
      </c>
      <c r="AD40" t="s">
        <v>203</v>
      </c>
      <c r="AE40">
        <v>100</v>
      </c>
    </row>
    <row r="41" spans="1:31" x14ac:dyDescent="0.35">
      <c r="A41" t="str">
        <f>Calculator!A12</f>
        <v>Marlin</v>
      </c>
      <c r="B41" s="37" t="s">
        <v>6</v>
      </c>
      <c r="C41" s="37" t="s">
        <v>10</v>
      </c>
      <c r="D41" s="37" t="s">
        <v>11</v>
      </c>
      <c r="E41" s="34"/>
      <c r="H41" s="92">
        <v>100</v>
      </c>
      <c r="I41" s="42">
        <v>100</v>
      </c>
      <c r="J41" s="42">
        <v>100</v>
      </c>
      <c r="K41" s="10">
        <v>7</v>
      </c>
      <c r="L41" s="92">
        <v>99.7</v>
      </c>
      <c r="M41" s="42">
        <v>99.76</v>
      </c>
      <c r="N41" s="42">
        <v>99.7</v>
      </c>
    </row>
    <row r="42" spans="1:31" x14ac:dyDescent="0.35">
      <c r="A42" t="s">
        <v>127</v>
      </c>
      <c r="B42" s="34">
        <f>Calculator!B13</f>
        <v>0</v>
      </c>
      <c r="C42" s="34">
        <f>Calculator!C13</f>
        <v>0</v>
      </c>
      <c r="D42" s="34">
        <f>Calculator!D13</f>
        <v>0</v>
      </c>
      <c r="E42" s="34"/>
      <c r="H42" s="90">
        <v>50</v>
      </c>
      <c r="I42" s="91">
        <v>50</v>
      </c>
      <c r="J42" s="91">
        <v>50</v>
      </c>
      <c r="K42" s="10">
        <v>8</v>
      </c>
      <c r="L42" s="90">
        <v>49.95</v>
      </c>
      <c r="M42" s="91">
        <v>49.93</v>
      </c>
      <c r="N42" s="91">
        <v>49.91</v>
      </c>
    </row>
    <row r="43" spans="1:31" x14ac:dyDescent="0.35">
      <c r="A43" t="s">
        <v>128</v>
      </c>
      <c r="B43" s="34">
        <v>100</v>
      </c>
      <c r="C43" s="34">
        <v>100</v>
      </c>
      <c r="D43" s="34">
        <v>100</v>
      </c>
      <c r="H43" s="92">
        <v>90</v>
      </c>
      <c r="I43" s="42">
        <v>90</v>
      </c>
      <c r="J43" s="42">
        <v>90</v>
      </c>
      <c r="K43" s="10">
        <v>9</v>
      </c>
      <c r="L43" s="92">
        <v>90.14</v>
      </c>
      <c r="M43" s="42">
        <v>90.14</v>
      </c>
      <c r="N43" s="42">
        <v>90.14</v>
      </c>
    </row>
    <row r="44" spans="1:31" x14ac:dyDescent="0.35">
      <c r="A44" t="s">
        <v>129</v>
      </c>
      <c r="B44" s="34">
        <v>100</v>
      </c>
      <c r="C44" s="34">
        <v>100</v>
      </c>
      <c r="D44" s="34">
        <v>100</v>
      </c>
      <c r="H44" s="90">
        <v>45</v>
      </c>
      <c r="I44" s="91">
        <v>45</v>
      </c>
      <c r="J44" s="91">
        <v>45</v>
      </c>
      <c r="K44" s="10">
        <v>10</v>
      </c>
      <c r="L44" s="90">
        <v>45.19</v>
      </c>
      <c r="M44" s="91">
        <v>45.12</v>
      </c>
      <c r="N44" s="91">
        <v>45.23</v>
      </c>
    </row>
    <row r="45" spans="1:31" x14ac:dyDescent="0.35">
      <c r="A45" t="s">
        <v>130</v>
      </c>
      <c r="B45" s="77">
        <f>SQRT(20000*COS(PI()/2-ATAN(B42))+20000)</f>
        <v>141.42135623730951</v>
      </c>
      <c r="C45" s="77">
        <f>SQRT(20000*COS(PI()/2-ATAN(C42))+20000)</f>
        <v>141.42135623730951</v>
      </c>
      <c r="D45" s="77">
        <f>SQRT(20000*COS(PI()/2-ATAN(D42))+20000)</f>
        <v>141.42135623730951</v>
      </c>
      <c r="H45" s="92">
        <v>100</v>
      </c>
      <c r="I45" s="42">
        <v>100</v>
      </c>
      <c r="J45" s="42">
        <v>100</v>
      </c>
      <c r="K45" s="10">
        <v>11</v>
      </c>
      <c r="L45" s="92">
        <v>100.13</v>
      </c>
      <c r="M45" s="42">
        <v>100.14</v>
      </c>
      <c r="N45" s="42">
        <v>100.16</v>
      </c>
    </row>
    <row r="46" spans="1:31" x14ac:dyDescent="0.35">
      <c r="A46" t="s">
        <v>3</v>
      </c>
      <c r="B46" s="77">
        <f>90-2*DEGREES(ACOS((B43^2+B45^2-B44^2)/(2*B43*B45)))</f>
        <v>0</v>
      </c>
      <c r="C46" s="77">
        <f t="shared" ref="C46:D46" si="8">90-2*DEGREES(ACOS((C43^2+C45^2-C44^2)/(2*C43*C45)))</f>
        <v>0</v>
      </c>
      <c r="D46" s="77">
        <f t="shared" si="8"/>
        <v>0</v>
      </c>
      <c r="H46" s="90">
        <v>100</v>
      </c>
      <c r="I46" s="91">
        <v>100</v>
      </c>
      <c r="J46" s="91">
        <v>100</v>
      </c>
      <c r="K46" s="10">
        <v>12</v>
      </c>
      <c r="L46" s="90">
        <v>100.04</v>
      </c>
      <c r="M46" s="91">
        <v>100.04</v>
      </c>
      <c r="N46" s="91">
        <v>100.04</v>
      </c>
    </row>
    <row r="47" spans="1:31" x14ac:dyDescent="0.35">
      <c r="H47" s="92">
        <v>100</v>
      </c>
      <c r="I47" s="42">
        <v>100</v>
      </c>
      <c r="J47" s="42">
        <v>100</v>
      </c>
      <c r="K47" s="10">
        <v>13</v>
      </c>
      <c r="L47" s="92">
        <v>100.01</v>
      </c>
      <c r="M47" s="42">
        <v>100.03</v>
      </c>
      <c r="N47" s="42">
        <v>100.02</v>
      </c>
    </row>
    <row r="48" spans="1:31" x14ac:dyDescent="0.35">
      <c r="B48" s="37" t="s">
        <v>6</v>
      </c>
      <c r="C48" s="37" t="s">
        <v>10</v>
      </c>
      <c r="D48" s="37" t="s">
        <v>11</v>
      </c>
      <c r="E48" s="37" t="str">
        <f>Calculator!B16</f>
        <v>S</v>
      </c>
      <c r="H48" s="90">
        <v>100</v>
      </c>
      <c r="I48" s="91">
        <v>100</v>
      </c>
      <c r="J48" s="91">
        <v>100</v>
      </c>
      <c r="K48" s="10">
        <v>14</v>
      </c>
      <c r="L48" s="90">
        <v>99.99</v>
      </c>
      <c r="M48" s="91">
        <v>99.96</v>
      </c>
      <c r="N48" s="91">
        <v>99.92</v>
      </c>
    </row>
    <row r="49" spans="1:14" x14ac:dyDescent="0.35">
      <c r="A49" t="str">
        <f>Calculator!A16</f>
        <v>RRF</v>
      </c>
      <c r="B49" s="12">
        <f>Calculator!C17*-1</f>
        <v>0</v>
      </c>
      <c r="C49" s="12">
        <f>Calculator!E17*-1</f>
        <v>0</v>
      </c>
      <c r="D49" s="12">
        <f>Calculator!D17*-1</f>
        <v>0</v>
      </c>
      <c r="E49" s="34">
        <f>Calculator!B17</f>
        <v>100</v>
      </c>
      <c r="H49" s="92">
        <v>100</v>
      </c>
      <c r="I49" s="42">
        <v>100</v>
      </c>
      <c r="J49" s="42">
        <v>100</v>
      </c>
      <c r="K49" s="10">
        <v>15</v>
      </c>
      <c r="L49" s="92">
        <v>99.95</v>
      </c>
      <c r="M49" s="42">
        <v>99.96</v>
      </c>
      <c r="N49" s="42">
        <v>99.86</v>
      </c>
    </row>
    <row r="50" spans="1:14" x14ac:dyDescent="0.35">
      <c r="A50" t="s">
        <v>131</v>
      </c>
      <c r="B50" s="77">
        <f>DEGREES(ATAN(B49/$E$49))</f>
        <v>0</v>
      </c>
      <c r="C50" s="77">
        <f>DEGREES(ATAN(C49/$E$49))</f>
        <v>0</v>
      </c>
      <c r="D50" s="77">
        <f t="shared" ref="D50" si="9">DEGREES(ATAN(D49/$E$49))</f>
        <v>0</v>
      </c>
      <c r="H50" s="90">
        <v>100</v>
      </c>
      <c r="I50" s="91">
        <v>100</v>
      </c>
      <c r="J50" s="91">
        <v>100</v>
      </c>
      <c r="K50" s="10">
        <v>16</v>
      </c>
      <c r="L50" s="90">
        <v>99.84</v>
      </c>
      <c r="M50" s="91">
        <v>99.8</v>
      </c>
      <c r="N50" s="91">
        <v>99.82</v>
      </c>
    </row>
    <row r="51" spans="1:14" x14ac:dyDescent="0.35">
      <c r="B51" s="77"/>
      <c r="C51" s="77"/>
      <c r="D51" s="77"/>
      <c r="H51" s="92">
        <v>100</v>
      </c>
      <c r="I51" s="42">
        <v>100</v>
      </c>
      <c r="J51" s="42">
        <v>100</v>
      </c>
      <c r="K51" s="10">
        <v>17</v>
      </c>
      <c r="L51" s="92">
        <v>100.05</v>
      </c>
      <c r="M51" s="42">
        <v>100.06</v>
      </c>
      <c r="N51" s="42">
        <v>100.04</v>
      </c>
    </row>
    <row r="52" spans="1:14" x14ac:dyDescent="0.35">
      <c r="A52" t="s">
        <v>132</v>
      </c>
      <c r="B52" s="77" t="str">
        <f>Calculator!C6</f>
        <v>Klipper</v>
      </c>
      <c r="C52" s="77"/>
      <c r="D52" s="77"/>
      <c r="H52" s="90">
        <v>100</v>
      </c>
      <c r="I52" s="91">
        <v>100</v>
      </c>
      <c r="J52" s="91">
        <v>100</v>
      </c>
      <c r="K52" s="10">
        <v>18</v>
      </c>
      <c r="L52" s="90">
        <v>99.76</v>
      </c>
      <c r="M52" s="91">
        <v>99.7</v>
      </c>
      <c r="N52" s="91">
        <v>99.77</v>
      </c>
    </row>
    <row r="53" spans="1:14" x14ac:dyDescent="0.35">
      <c r="A53" t="s">
        <v>125</v>
      </c>
      <c r="B53" s="77">
        <f>IF($B$52="Klipper",B39,IF($B$52="Marlin",B46,IF($B$52="RRF",B50,0)))</f>
        <v>0.15548421915670194</v>
      </c>
      <c r="C53" s="77">
        <f>IF($B$52="Klipper",C39,IF($B$52="Marlin",C46,IF($B$52="RRF",C50,0)))</f>
        <v>0</v>
      </c>
      <c r="D53" s="77">
        <f>IF($B$52="Klipper",D39,IF($B$52="Marlin",D46,IF($B$52="RRF",D50,0)))</f>
        <v>0</v>
      </c>
      <c r="H53" s="92">
        <v>100</v>
      </c>
      <c r="I53" s="42">
        <v>100</v>
      </c>
      <c r="J53" s="42">
        <v>100</v>
      </c>
      <c r="K53" s="10">
        <v>19</v>
      </c>
      <c r="L53" s="92">
        <v>100.15</v>
      </c>
      <c r="M53" s="42">
        <v>100.14</v>
      </c>
      <c r="N53" s="42">
        <v>100.15</v>
      </c>
    </row>
    <row r="54" spans="1:14" x14ac:dyDescent="0.35">
      <c r="B54" s="77"/>
      <c r="C54" s="77"/>
      <c r="D54" s="77"/>
      <c r="H54" s="90">
        <v>100</v>
      </c>
      <c r="I54" s="91">
        <v>100</v>
      </c>
      <c r="J54" s="91">
        <v>100</v>
      </c>
      <c r="K54" s="10">
        <v>20</v>
      </c>
      <c r="L54" s="90">
        <v>100</v>
      </c>
      <c r="M54" s="91">
        <v>100.01</v>
      </c>
      <c r="N54" s="91">
        <v>100.02</v>
      </c>
    </row>
    <row r="55" spans="1:14" x14ac:dyDescent="0.35">
      <c r="B55" s="77"/>
      <c r="C55" s="77"/>
      <c r="D55" s="77"/>
      <c r="H55" s="92">
        <v>100</v>
      </c>
      <c r="I55" s="42">
        <v>100</v>
      </c>
      <c r="J55" s="42">
        <v>100</v>
      </c>
      <c r="K55" s="10">
        <v>21</v>
      </c>
      <c r="L55" s="92">
        <v>99.87</v>
      </c>
      <c r="M55" s="42">
        <v>99.87</v>
      </c>
      <c r="N55" s="42">
        <v>99.9</v>
      </c>
    </row>
    <row r="56" spans="1:14" x14ac:dyDescent="0.35">
      <c r="H56" s="90">
        <v>100</v>
      </c>
      <c r="I56" s="91">
        <v>100</v>
      </c>
      <c r="J56" s="91">
        <v>100</v>
      </c>
      <c r="K56" s="10">
        <v>22</v>
      </c>
      <c r="L56" s="90">
        <v>99.72</v>
      </c>
      <c r="M56" s="91">
        <v>99.74</v>
      </c>
      <c r="N56" s="91">
        <v>99.71</v>
      </c>
    </row>
    <row r="57" spans="1:14" x14ac:dyDescent="0.35">
      <c r="B57" s="37" t="s">
        <v>83</v>
      </c>
      <c r="C57" s="37" t="s">
        <v>133</v>
      </c>
    </row>
    <row r="58" spans="1:14" x14ac:dyDescent="0.35">
      <c r="A58" t="s">
        <v>134</v>
      </c>
      <c r="B58" s="34">
        <f>100*scale</f>
        <v>100</v>
      </c>
      <c r="C58" s="34">
        <f>B58/2</f>
        <v>50</v>
      </c>
    </row>
    <row r="59" spans="1:14" x14ac:dyDescent="0.35">
      <c r="A59" t="s">
        <v>135</v>
      </c>
      <c r="B59" s="34">
        <f>100*scale</f>
        <v>100</v>
      </c>
      <c r="C59" s="34">
        <f t="shared" ref="C59:C61" si="10">B59/2</f>
        <v>50</v>
      </c>
    </row>
    <row r="60" spans="1:14" x14ac:dyDescent="0.35">
      <c r="A60" t="s">
        <v>136</v>
      </c>
      <c r="B60" s="34">
        <f>80*scale</f>
        <v>80</v>
      </c>
      <c r="C60" s="34">
        <f t="shared" si="10"/>
        <v>40</v>
      </c>
      <c r="M60" t="s">
        <v>189</v>
      </c>
    </row>
    <row r="61" spans="1:14" x14ac:dyDescent="0.35">
      <c r="A61" t="s">
        <v>137</v>
      </c>
      <c r="B61" s="34">
        <f>90*scale</f>
        <v>90</v>
      </c>
      <c r="C61" s="34">
        <f t="shared" si="10"/>
        <v>45</v>
      </c>
      <c r="L61" s="92">
        <v>99.98</v>
      </c>
      <c r="M61" s="42">
        <v>99.99</v>
      </c>
      <c r="N61" s="42">
        <v>99.97</v>
      </c>
    </row>
    <row r="62" spans="1:14" x14ac:dyDescent="0.35">
      <c r="B62" s="34"/>
      <c r="C62" s="48"/>
      <c r="D62" s="48"/>
      <c r="L62" s="90">
        <v>49.97</v>
      </c>
      <c r="M62" s="91">
        <v>49.98</v>
      </c>
      <c r="N62" s="91">
        <v>49.97</v>
      </c>
    </row>
    <row r="63" spans="1:14" x14ac:dyDescent="0.35">
      <c r="B63" s="37" t="s">
        <v>138</v>
      </c>
      <c r="C63" s="49" t="s">
        <v>139</v>
      </c>
      <c r="D63" s="54" t="s">
        <v>140</v>
      </c>
      <c r="L63" s="92">
        <v>99.67</v>
      </c>
      <c r="M63" s="42">
        <v>99.67</v>
      </c>
      <c r="N63" s="42">
        <v>99.65</v>
      </c>
    </row>
    <row r="64" spans="1:14" x14ac:dyDescent="0.35">
      <c r="A64" t="s">
        <v>141</v>
      </c>
      <c r="B64" s="57">
        <f>SQRT(B58^2+B59^2)</f>
        <v>141.42135623730951</v>
      </c>
      <c r="C64" s="48">
        <f>100*scale</f>
        <v>100</v>
      </c>
      <c r="D64" s="53">
        <f>B64/C64</f>
        <v>1.4142135623730951</v>
      </c>
      <c r="L64" s="90">
        <v>49.96</v>
      </c>
      <c r="M64" s="91">
        <v>49.94</v>
      </c>
      <c r="N64" s="91">
        <v>49.9</v>
      </c>
    </row>
    <row r="65" spans="1:19" x14ac:dyDescent="0.35">
      <c r="A65" t="s">
        <v>187</v>
      </c>
      <c r="B65" s="57">
        <f>SQRT(B59^2+B60^2)</f>
        <v>128.06248474865697</v>
      </c>
      <c r="C65" s="48">
        <f>100*scale</f>
        <v>100</v>
      </c>
      <c r="D65" s="53">
        <f t="shared" ref="D65:D66" si="11">B65/C65</f>
        <v>1.2806248474865698</v>
      </c>
      <c r="L65" s="92">
        <v>100.02</v>
      </c>
      <c r="M65" s="42">
        <v>100.03</v>
      </c>
      <c r="N65" s="42">
        <v>100.02</v>
      </c>
    </row>
    <row r="66" spans="1:19" x14ac:dyDescent="0.35">
      <c r="A66" t="s">
        <v>188</v>
      </c>
      <c r="B66" s="57">
        <f>SQRT(B60^2+B58^2)</f>
        <v>128.06248474865697</v>
      </c>
      <c r="C66" s="48">
        <f>100*scale</f>
        <v>100</v>
      </c>
      <c r="D66" s="53">
        <f t="shared" si="11"/>
        <v>1.2806248474865698</v>
      </c>
      <c r="L66" s="90">
        <v>50.07</v>
      </c>
      <c r="M66" s="91">
        <v>50</v>
      </c>
      <c r="N66" s="91">
        <v>50.01</v>
      </c>
    </row>
    <row r="67" spans="1:19" x14ac:dyDescent="0.35">
      <c r="C67" s="7"/>
      <c r="E67" s="46"/>
      <c r="L67" s="92">
        <v>99.7</v>
      </c>
      <c r="M67" s="42">
        <v>99.76</v>
      </c>
      <c r="N67" s="42">
        <v>99.7</v>
      </c>
    </row>
    <row r="68" spans="1:19" x14ac:dyDescent="0.35">
      <c r="E68" s="4"/>
      <c r="L68" s="90">
        <v>49.95</v>
      </c>
      <c r="M68" s="91">
        <v>49.93</v>
      </c>
      <c r="N68" s="91">
        <v>49.91</v>
      </c>
    </row>
    <row r="69" spans="1:19" x14ac:dyDescent="0.35">
      <c r="B69" s="37" t="s">
        <v>142</v>
      </c>
      <c r="C69" s="38" t="s">
        <v>143</v>
      </c>
      <c r="D69" s="37" t="s">
        <v>144</v>
      </c>
      <c r="E69" s="37" t="s">
        <v>28</v>
      </c>
      <c r="F69" s="19" t="s">
        <v>27</v>
      </c>
      <c r="L69" s="92">
        <v>90.14</v>
      </c>
      <c r="M69" s="42">
        <v>90.14</v>
      </c>
      <c r="N69" s="42">
        <v>90.14</v>
      </c>
    </row>
    <row r="70" spans="1:19" x14ac:dyDescent="0.35">
      <c r="A70" t="s">
        <v>25</v>
      </c>
      <c r="B70" s="6">
        <f>AVERAGE(K2:K5)</f>
        <v>7.0833333333336418E-4</v>
      </c>
      <c r="C70" s="6">
        <f>AVERAGE(K6:K9)</f>
        <v>6.6666666666677078E-5</v>
      </c>
      <c r="D70" s="6">
        <f>AVERAGE(K10:K11)</f>
        <v>-2.703703703703771E-3</v>
      </c>
      <c r="E70" s="6">
        <f>AVERAGE(K4:K5,K8:K9,K13,K15,K17,K19,K21,K23)</f>
        <v>7.8000000000001516E-4</v>
      </c>
      <c r="F70" s="6">
        <f>AVERAGE(K2:K3,K6:K7,K10:K11,K12,K14,K16,K18,K20,K22)</f>
        <v>-1.0867283950617178E-3</v>
      </c>
      <c r="L70" s="90">
        <v>45.19</v>
      </c>
      <c r="M70" s="91">
        <v>45.12</v>
      </c>
      <c r="N70" s="91">
        <v>45.23</v>
      </c>
    </row>
    <row r="71" spans="1:19" x14ac:dyDescent="0.35">
      <c r="B71" s="6"/>
      <c r="C71" s="6"/>
      <c r="D71" s="6"/>
      <c r="E71" s="6"/>
      <c r="F71" s="6"/>
      <c r="L71" s="92">
        <v>100.01</v>
      </c>
      <c r="M71" s="42">
        <v>100.03</v>
      </c>
      <c r="N71" s="42">
        <v>100.02</v>
      </c>
    </row>
    <row r="72" spans="1:19" x14ac:dyDescent="0.35">
      <c r="B72" s="19" t="s">
        <v>14</v>
      </c>
      <c r="C72" s="19" t="s">
        <v>15</v>
      </c>
      <c r="D72" s="6"/>
      <c r="E72" s="6"/>
      <c r="F72" s="6"/>
      <c r="L72" s="90">
        <v>99.99</v>
      </c>
      <c r="M72" s="91">
        <v>99.96</v>
      </c>
      <c r="N72" s="91">
        <v>99.92</v>
      </c>
    </row>
    <row r="73" spans="1:19" x14ac:dyDescent="0.35">
      <c r="A73" t="s">
        <v>145</v>
      </c>
      <c r="B73" s="12">
        <f>B79-C79-XTravelHalf</f>
        <v>9.1666666666682772E-2</v>
      </c>
      <c r="C73" s="12">
        <f>B80-C80-YTravelHalf</f>
        <v>1.3333333333335418E-2</v>
      </c>
      <c r="D73" s="65" t="s">
        <v>146</v>
      </c>
      <c r="L73" s="92">
        <v>100.13</v>
      </c>
      <c r="M73" s="42">
        <v>100.14</v>
      </c>
      <c r="N73" s="42">
        <v>100.16</v>
      </c>
    </row>
    <row r="74" spans="1:19" x14ac:dyDescent="0.35">
      <c r="A74" t="s">
        <v>147</v>
      </c>
      <c r="B74" s="12">
        <f>C79-XTravelHalf-B73</f>
        <v>-7.5000000000017053E-2</v>
      </c>
      <c r="C74" s="12">
        <f>C80-YTravelHalf-C73</f>
        <v>-1.3333333333335418E-2</v>
      </c>
      <c r="D74" s="58" t="s">
        <v>146</v>
      </c>
      <c r="E74" s="4"/>
      <c r="L74" s="90">
        <v>100.04</v>
      </c>
      <c r="M74" s="91">
        <v>100.04</v>
      </c>
      <c r="N74" s="91">
        <v>100.04</v>
      </c>
    </row>
    <row r="75" spans="1:19" x14ac:dyDescent="0.35">
      <c r="A75" t="s">
        <v>148</v>
      </c>
      <c r="B75" s="1">
        <f>B73/XTravel</f>
        <v>9.1666666666682776E-4</v>
      </c>
      <c r="C75" s="1">
        <f>C73/YTravel</f>
        <v>1.3333333333335418E-4</v>
      </c>
      <c r="D75" s="65" t="s">
        <v>146</v>
      </c>
      <c r="E75" s="4"/>
      <c r="F75" s="58"/>
      <c r="L75" s="92">
        <v>100.05</v>
      </c>
      <c r="M75" s="42">
        <v>100.06</v>
      </c>
      <c r="N75" s="42">
        <v>100.04</v>
      </c>
    </row>
    <row r="76" spans="1:19" x14ac:dyDescent="0.35">
      <c r="A76" t="s">
        <v>149</v>
      </c>
      <c r="B76" s="1">
        <f>B74/XTravel</f>
        <v>-7.5000000000017056E-4</v>
      </c>
      <c r="C76" s="1">
        <f>C74/YTravel</f>
        <v>-1.3333333333335418E-4</v>
      </c>
      <c r="D76" s="58" t="s">
        <v>146</v>
      </c>
      <c r="E76" s="4"/>
      <c r="F76" s="58"/>
      <c r="L76" s="90">
        <v>99.76</v>
      </c>
      <c r="M76" s="91">
        <v>99.7</v>
      </c>
      <c r="N76" s="91">
        <v>99.77</v>
      </c>
    </row>
    <row r="77" spans="1:19" x14ac:dyDescent="0.35">
      <c r="B77" s="6"/>
      <c r="D77" s="6"/>
      <c r="E77" s="6"/>
      <c r="L77" s="92">
        <v>99.95</v>
      </c>
      <c r="M77" s="42">
        <v>99.96</v>
      </c>
      <c r="N77" s="42">
        <v>99.86</v>
      </c>
    </row>
    <row r="78" spans="1:19" x14ac:dyDescent="0.35">
      <c r="B78" s="37" t="s">
        <v>150</v>
      </c>
      <c r="C78" s="37" t="s">
        <v>151</v>
      </c>
      <c r="D78" s="50" t="s">
        <v>152</v>
      </c>
      <c r="E78" s="37" t="s">
        <v>140</v>
      </c>
      <c r="F78" s="19" t="s">
        <v>153</v>
      </c>
      <c r="G78" s="7" t="s">
        <v>154</v>
      </c>
      <c r="H78" s="19" t="s">
        <v>155</v>
      </c>
      <c r="I78" s="7" t="s">
        <v>156</v>
      </c>
      <c r="J78" s="7"/>
      <c r="K78" s="7"/>
      <c r="L78" s="90">
        <v>99.84</v>
      </c>
      <c r="M78" s="91">
        <v>99.8</v>
      </c>
      <c r="N78" s="91">
        <v>99.82</v>
      </c>
      <c r="O78" s="7"/>
      <c r="P78" s="7"/>
      <c r="Q78" s="7"/>
    </row>
    <row r="79" spans="1:19" x14ac:dyDescent="0.35">
      <c r="A79" s="7" t="s">
        <v>14</v>
      </c>
      <c r="B79" s="57">
        <f>AVERAGE(I2,I4)</f>
        <v>100.10833333333335</v>
      </c>
      <c r="C79" s="57">
        <f>AVERAGE(I3,I5)</f>
        <v>50.016666666666666</v>
      </c>
      <c r="D79" s="46">
        <f>B79*2</f>
        <v>200.2166666666667</v>
      </c>
      <c r="E79" s="57">
        <f>B79/C79</f>
        <v>2.0014995001666116</v>
      </c>
      <c r="F79" s="57">
        <f>AVERAGE(J2,J4)</f>
        <v>0.10833333333334139</v>
      </c>
      <c r="G79" s="6">
        <f>AVERAGE(K2,K4)</f>
        <v>1.0833333333334139E-3</v>
      </c>
      <c r="H79" s="57">
        <f>AVERAGE(J3,J5)</f>
        <v>1.6666666666665719E-2</v>
      </c>
      <c r="I79" s="6">
        <f>AVERAGE(K3,K5)</f>
        <v>3.333333333333144E-4</v>
      </c>
      <c r="J79" s="6"/>
      <c r="K79" s="6"/>
      <c r="L79" s="92">
        <v>100.15</v>
      </c>
      <c r="M79" s="42">
        <v>100.14</v>
      </c>
      <c r="N79" s="42">
        <v>100.15</v>
      </c>
      <c r="O79" s="6"/>
      <c r="P79" s="6"/>
      <c r="Q79" s="53"/>
      <c r="R79" s="7"/>
    </row>
    <row r="80" spans="1:19" x14ac:dyDescent="0.35">
      <c r="A80" s="7" t="s">
        <v>15</v>
      </c>
      <c r="B80" s="57">
        <f>AVERAGE(I6,I8)</f>
        <v>100.01333333333334</v>
      </c>
      <c r="C80" s="57">
        <f>AVERAGE(I7,I9)</f>
        <v>50</v>
      </c>
      <c r="D80" s="46">
        <f>B80*2</f>
        <v>200.02666666666667</v>
      </c>
      <c r="E80" s="57">
        <f t="shared" ref="E80:E81" si="12">B80/C80</f>
        <v>2.0002666666666666</v>
      </c>
      <c r="F80" s="57">
        <f>AVERAGE(J6,J8)</f>
        <v>1.3333333333335418E-2</v>
      </c>
      <c r="G80" s="6">
        <f>AVERAGE(K6,K8)</f>
        <v>1.3333333333335416E-4</v>
      </c>
      <c r="H80" s="57">
        <f>AVERAGE(J7,J9)</f>
        <v>0</v>
      </c>
      <c r="I80" s="6">
        <f>AVERAGE(K7,K9)</f>
        <v>0</v>
      </c>
      <c r="J80" s="6"/>
      <c r="K80" s="6"/>
      <c r="L80" s="90">
        <v>100</v>
      </c>
      <c r="M80" s="91">
        <v>100.01</v>
      </c>
      <c r="N80" s="91">
        <v>100.02</v>
      </c>
      <c r="O80" s="6"/>
      <c r="P80" s="6"/>
      <c r="Q80" s="53"/>
      <c r="R80" s="51"/>
      <c r="S80" s="51"/>
    </row>
    <row r="81" spans="1:19" x14ac:dyDescent="0.35">
      <c r="A81" s="7" t="s">
        <v>16</v>
      </c>
      <c r="B81" s="57">
        <f>I10</f>
        <v>89.8</v>
      </c>
      <c r="C81" s="57">
        <f>I11</f>
        <v>44.856666666666662</v>
      </c>
      <c r="D81" s="46">
        <f>B81*2</f>
        <v>179.6</v>
      </c>
      <c r="E81" s="57">
        <f t="shared" si="12"/>
        <v>2.0019320799583862</v>
      </c>
      <c r="F81" s="57">
        <f>J10</f>
        <v>-0.20000000000000284</v>
      </c>
      <c r="G81" s="6">
        <f>K10</f>
        <v>-2.2222222222222539E-3</v>
      </c>
      <c r="H81" s="57">
        <f>J11</f>
        <v>-0.14333333333333798</v>
      </c>
      <c r="I81" s="6">
        <f>K11</f>
        <v>-3.1851851851852882E-3</v>
      </c>
      <c r="J81" s="6"/>
      <c r="K81" s="6"/>
      <c r="L81" s="92">
        <v>99.87</v>
      </c>
      <c r="M81" s="42">
        <v>99.87</v>
      </c>
      <c r="N81" s="42">
        <v>99.9</v>
      </c>
      <c r="O81" s="6"/>
      <c r="P81" s="6"/>
      <c r="Q81" s="3"/>
      <c r="R81" s="51"/>
      <c r="S81" s="51"/>
    </row>
    <row r="82" spans="1:19" x14ac:dyDescent="0.35">
      <c r="A82" s="7" t="s">
        <v>136</v>
      </c>
      <c r="B82" s="57">
        <f>(F10/ZVertical)*ZDiag</f>
        <v>79.786666666666676</v>
      </c>
      <c r="C82" s="57">
        <v>40</v>
      </c>
      <c r="D82" s="46">
        <f>B82*2</f>
        <v>159.57333333333335</v>
      </c>
      <c r="E82" s="6"/>
      <c r="F82" s="6"/>
      <c r="L82" s="90">
        <v>99.72</v>
      </c>
      <c r="M82" s="91">
        <v>99.74</v>
      </c>
      <c r="N82" s="91">
        <v>99.71</v>
      </c>
      <c r="R82" s="13"/>
    </row>
    <row r="83" spans="1:19" x14ac:dyDescent="0.35">
      <c r="C83" s="45"/>
      <c r="E83" s="5"/>
      <c r="I83" s="5"/>
      <c r="J83" s="5"/>
      <c r="K83" s="5"/>
      <c r="L83" s="5"/>
      <c r="M83" s="5"/>
      <c r="N83" s="5"/>
      <c r="O83" s="5"/>
      <c r="P83" s="5"/>
    </row>
    <row r="84" spans="1:19" x14ac:dyDescent="0.35">
      <c r="C84" s="45"/>
      <c r="E84" s="5"/>
      <c r="I84" s="5"/>
      <c r="J84" s="5"/>
      <c r="K84" s="5"/>
      <c r="L84" s="5"/>
      <c r="M84" s="5"/>
      <c r="N84" s="5"/>
      <c r="O84" s="5"/>
      <c r="P84" s="5"/>
    </row>
    <row r="85" spans="1:19" ht="18.5" x14ac:dyDescent="0.45">
      <c r="A85" s="98" t="s">
        <v>33</v>
      </c>
      <c r="C85" s="45"/>
      <c r="E85">
        <v>1000</v>
      </c>
      <c r="I85" s="5"/>
      <c r="J85" s="5"/>
      <c r="K85" s="5"/>
      <c r="L85" s="5"/>
      <c r="M85" s="5"/>
      <c r="N85" s="5"/>
      <c r="O85" s="5"/>
      <c r="P85" s="5"/>
    </row>
    <row r="86" spans="1:19" x14ac:dyDescent="0.35">
      <c r="A86" s="7" t="s">
        <v>6</v>
      </c>
      <c r="B86" s="41">
        <f>ABS(S31)</f>
        <v>8.7688606076341102E-2</v>
      </c>
      <c r="C86" s="13">
        <v>0.4</v>
      </c>
      <c r="D86" s="82">
        <f>IF(B86&gt;C86,0,1-(B86/C86))</f>
        <v>0.78077848480914724</v>
      </c>
      <c r="E86" s="3">
        <f>D86*$E$85/6</f>
        <v>130.1297474681912</v>
      </c>
      <c r="I86" s="5"/>
      <c r="J86" s="5"/>
      <c r="K86" s="5"/>
      <c r="L86" s="5"/>
      <c r="M86" s="5"/>
      <c r="N86" s="5"/>
      <c r="O86" s="5"/>
      <c r="P86" s="5"/>
    </row>
    <row r="87" spans="1:19" x14ac:dyDescent="0.35">
      <c r="A87" s="7" t="s">
        <v>10</v>
      </c>
      <c r="B87" s="41">
        <f>ABS(Y31)</f>
        <v>3.1553157249206265E-2</v>
      </c>
      <c r="C87" s="13">
        <v>0.4</v>
      </c>
      <c r="D87" s="82">
        <f t="shared" ref="D87:D90" si="13">IF(B87&gt;C87,0,1-(B87/C87))</f>
        <v>0.92111710687698434</v>
      </c>
      <c r="E87" s="3">
        <f t="shared" ref="E87:E91" si="14">D87*$E$85/6</f>
        <v>153.51951781283071</v>
      </c>
      <c r="I87" s="5"/>
      <c r="J87" s="5"/>
      <c r="K87" s="5"/>
      <c r="L87" s="5"/>
      <c r="M87" s="5"/>
      <c r="N87" s="5"/>
      <c r="O87" s="5"/>
      <c r="P87" s="5"/>
    </row>
    <row r="88" spans="1:19" x14ac:dyDescent="0.35">
      <c r="A88" s="7" t="s">
        <v>11</v>
      </c>
      <c r="B88" s="41">
        <f>ABS(AE31)</f>
        <v>3.3467572542960511E-2</v>
      </c>
      <c r="C88" s="13">
        <v>0.4</v>
      </c>
      <c r="D88" s="82">
        <f t="shared" si="13"/>
        <v>0.91633106864259872</v>
      </c>
      <c r="E88" s="3">
        <f t="shared" si="14"/>
        <v>152.72184477376643</v>
      </c>
      <c r="I88" s="5"/>
      <c r="J88" s="5"/>
      <c r="K88" s="5"/>
      <c r="L88" s="5"/>
      <c r="M88" s="5"/>
      <c r="N88" s="5"/>
      <c r="O88" s="5"/>
      <c r="P88" s="5"/>
    </row>
    <row r="89" spans="1:19" x14ac:dyDescent="0.35">
      <c r="A89" s="7" t="s">
        <v>14</v>
      </c>
      <c r="B89" s="82">
        <f>ABS(B70)</f>
        <v>7.0833333333336418E-4</v>
      </c>
      <c r="C89" s="4">
        <v>6.0000000000000001E-3</v>
      </c>
      <c r="D89" s="82">
        <f>IF(B89&gt;C89,0,1-(B89/C89))</f>
        <v>0.88194444444443931</v>
      </c>
      <c r="E89" s="3">
        <f t="shared" si="14"/>
        <v>146.99074074073988</v>
      </c>
      <c r="I89" s="5"/>
      <c r="J89" s="5"/>
      <c r="K89" s="5"/>
      <c r="L89" s="5"/>
      <c r="M89" s="5"/>
      <c r="N89" s="5"/>
      <c r="O89" s="5"/>
      <c r="P89" s="5"/>
    </row>
    <row r="90" spans="1:19" x14ac:dyDescent="0.35">
      <c r="A90" s="7" t="s">
        <v>15</v>
      </c>
      <c r="B90" s="82">
        <f>ABS(C70)</f>
        <v>6.6666666666677078E-5</v>
      </c>
      <c r="C90" s="4">
        <v>6.0000000000000001E-3</v>
      </c>
      <c r="D90" s="82">
        <f t="shared" si="13"/>
        <v>0.98888888888888715</v>
      </c>
      <c r="E90" s="3">
        <f t="shared" si="14"/>
        <v>164.81481481481453</v>
      </c>
      <c r="I90" s="5"/>
      <c r="J90" s="5"/>
      <c r="K90" s="5"/>
      <c r="L90" s="5"/>
      <c r="M90" s="5"/>
      <c r="N90" s="5"/>
      <c r="O90" s="5"/>
      <c r="P90" s="5"/>
    </row>
    <row r="91" spans="1:19" x14ac:dyDescent="0.35">
      <c r="A91" s="7" t="s">
        <v>16</v>
      </c>
      <c r="B91" s="82">
        <f>ABS(D70)</f>
        <v>2.703703703703771E-3</v>
      </c>
      <c r="C91" s="4">
        <v>6.0000000000000001E-3</v>
      </c>
      <c r="D91" s="82">
        <f>IF(B91&gt;C91,0,1-(B91/C91))</f>
        <v>0.5493827160493715</v>
      </c>
      <c r="E91" s="3">
        <f t="shared" si="14"/>
        <v>91.56378600822859</v>
      </c>
      <c r="I91" s="5"/>
      <c r="J91" s="5"/>
      <c r="K91" s="5"/>
      <c r="L91" s="5"/>
      <c r="M91" s="5"/>
      <c r="N91" s="5"/>
      <c r="O91" s="5"/>
      <c r="P91" s="5"/>
    </row>
    <row r="92" spans="1:19" x14ac:dyDescent="0.35">
      <c r="A92" s="7"/>
      <c r="B92" s="41"/>
      <c r="C92" s="13"/>
      <c r="D92" s="82"/>
      <c r="E92" s="3">
        <f>SUM(E86:E91)</f>
        <v>839.74045161857134</v>
      </c>
      <c r="I92" s="5"/>
      <c r="J92" s="5"/>
      <c r="K92" s="5"/>
      <c r="L92" s="5"/>
      <c r="M92" s="5"/>
      <c r="N92" s="5"/>
      <c r="O92" s="5"/>
      <c r="P92" s="5"/>
    </row>
    <row r="93" spans="1:19" x14ac:dyDescent="0.35">
      <c r="B93" s="57"/>
      <c r="C93" s="12"/>
      <c r="D93" s="12"/>
      <c r="E93" s="5"/>
    </row>
    <row r="95" spans="1:19" x14ac:dyDescent="0.35">
      <c r="A95" s="7"/>
      <c r="B95" s="37" t="s">
        <v>157</v>
      </c>
      <c r="C95" s="37" t="s">
        <v>158</v>
      </c>
      <c r="D95" s="37" t="s">
        <v>159</v>
      </c>
      <c r="E95" s="62" t="s">
        <v>165</v>
      </c>
      <c r="F95" s="37" t="s">
        <v>127</v>
      </c>
    </row>
    <row r="96" spans="1:19" x14ac:dyDescent="0.35">
      <c r="A96" s="7" t="s">
        <v>6</v>
      </c>
      <c r="B96" s="57">
        <f>ROUND(S38,3)</f>
        <v>141.29900000000001</v>
      </c>
      <c r="C96" s="57">
        <f>ROUND(S39,3)</f>
        <v>141.54400000000001</v>
      </c>
      <c r="D96" s="57">
        <f>ROUND(S40,3)</f>
        <v>100</v>
      </c>
      <c r="E96" s="108">
        <f>SQRT((2*B96^2)+(2*C96^2)-(4*D96^2))/2</f>
        <v>100.00027834211264</v>
      </c>
      <c r="F96" s="74">
        <f>TAN(PI()/2-ACOS((B96*B96-E96*E96-D96*D96)/(2*E96*D96)))</f>
        <v>-1.7324111526697281E-3</v>
      </c>
    </row>
    <row r="97" spans="1:13" x14ac:dyDescent="0.35">
      <c r="A97" s="7" t="s">
        <v>7</v>
      </c>
      <c r="B97" s="57">
        <f>ROUND(Y38,3)</f>
        <v>141.38200000000001</v>
      </c>
      <c r="C97" s="57">
        <f>ROUND(Y39,3)</f>
        <v>141.46</v>
      </c>
      <c r="D97" s="57">
        <f>ROUND(Y40,3)</f>
        <v>100</v>
      </c>
      <c r="E97" s="108">
        <f>SQRT((2*B97^2)+(2*C97^2)-(4*D97^2))/2</f>
        <v>99.999503808768992</v>
      </c>
      <c r="F97" s="74">
        <f>TAN(PI()/2-ACOS((B97*B97-E97*E97-D97*D97)/(2*E97*D97)))</f>
        <v>-5.5154472060668527E-4</v>
      </c>
    </row>
    <row r="98" spans="1:13" x14ac:dyDescent="0.35">
      <c r="A98" s="7" t="s">
        <v>8</v>
      </c>
      <c r="B98" s="57">
        <f>ROUND(AE38,3)</f>
        <v>141.38</v>
      </c>
      <c r="C98" s="57">
        <f>ROUND(AE39,3)</f>
        <v>141.46299999999999</v>
      </c>
      <c r="D98" s="57">
        <f>ROUND(AE40,3)</f>
        <v>100</v>
      </c>
      <c r="E98" s="108">
        <f>SQRT((2*B98^2)+(2*C98^2)-(4*D98^2))/2</f>
        <v>100.00021192227543</v>
      </c>
      <c r="F98" s="74">
        <f>TAN(PI()/2-ACOS((B98*B98-E98*E98-D98*D98)/(2*E98*D98)))</f>
        <v>-5.8689808231082773E-4</v>
      </c>
    </row>
    <row r="99" spans="1:13" x14ac:dyDescent="0.35">
      <c r="A99" s="7"/>
      <c r="B99" s="57"/>
      <c r="C99" s="57"/>
      <c r="D99" s="57"/>
    </row>
    <row r="100" spans="1:13" ht="18.5" x14ac:dyDescent="0.45">
      <c r="A100" s="98" t="s">
        <v>5</v>
      </c>
      <c r="B100" s="57"/>
      <c r="C100" s="57"/>
      <c r="D100" s="57"/>
    </row>
    <row r="101" spans="1:13" x14ac:dyDescent="0.35">
      <c r="A101" t="str">
        <f>A96&amp;"="&amp;B96&amp;","&amp;C96&amp;","&amp;D96</f>
        <v>XY=141.299,141.544,100</v>
      </c>
      <c r="B101" s="57"/>
      <c r="C101" s="57"/>
      <c r="D101" s="57"/>
    </row>
    <row r="102" spans="1:13" x14ac:dyDescent="0.35">
      <c r="A102" t="str">
        <f>A97&amp;"="&amp;B97&amp;","&amp;C97&amp;","&amp;D97</f>
        <v>XZ=141.382,141.46,100</v>
      </c>
      <c r="B102" s="57"/>
      <c r="C102" s="57"/>
      <c r="D102" s="57"/>
    </row>
    <row r="103" spans="1:13" x14ac:dyDescent="0.35">
      <c r="A103" t="str">
        <f>A98&amp;"="&amp;B98&amp;","&amp;C98&amp;","&amp;D98</f>
        <v>YZ=141.38,141.463,100</v>
      </c>
      <c r="B103" s="57"/>
      <c r="C103" s="57"/>
      <c r="D103" s="57"/>
    </row>
    <row r="104" spans="1:13" x14ac:dyDescent="0.35">
      <c r="A104" s="7"/>
      <c r="B104" s="57"/>
      <c r="C104" s="57"/>
      <c r="D104" s="57"/>
    </row>
    <row r="105" spans="1:13" x14ac:dyDescent="0.35">
      <c r="A105" s="7"/>
      <c r="B105" s="57"/>
      <c r="C105" s="57"/>
      <c r="D105" s="57"/>
    </row>
    <row r="106" spans="1:13" x14ac:dyDescent="0.35">
      <c r="A106" t="s">
        <v>160</v>
      </c>
      <c r="B106" s="12"/>
      <c r="C106" s="12"/>
      <c r="D106" s="12"/>
    </row>
    <row r="107" spans="1:13" x14ac:dyDescent="0.35">
      <c r="A107" t="str">
        <f>"SET_SKEW"&amp;" "&amp;A101&amp;" "&amp;A102&amp;" "&amp;A103</f>
        <v>SET_SKEW XY=141.299,141.544,100 XZ=141.382,141.46,100 YZ=141.38,141.463,100</v>
      </c>
    </row>
    <row r="108" spans="1:13" x14ac:dyDescent="0.35">
      <c r="A108" t="s">
        <v>161</v>
      </c>
    </row>
    <row r="109" spans="1:13" x14ac:dyDescent="0.35">
      <c r="A109" s="40" t="s">
        <v>162</v>
      </c>
    </row>
    <row r="110" spans="1:13" x14ac:dyDescent="0.35">
      <c r="A110" s="40" t="s">
        <v>163</v>
      </c>
    </row>
    <row r="111" spans="1:13" x14ac:dyDescent="0.35">
      <c r="A111" s="40" t="s">
        <v>164</v>
      </c>
    </row>
    <row r="112" spans="1:13" x14ac:dyDescent="0.35">
      <c r="A112" s="7"/>
      <c r="B112" s="57"/>
      <c r="C112" s="57"/>
      <c r="D112" s="57"/>
      <c r="E112" s="51"/>
      <c r="F112" s="74"/>
      <c r="I112" s="73"/>
      <c r="J112" s="73"/>
      <c r="K112" s="73"/>
      <c r="L112" s="73"/>
      <c r="M112" s="73"/>
    </row>
    <row r="113" spans="1:17" ht="15.5" x14ac:dyDescent="0.35">
      <c r="A113" s="59" t="s">
        <v>9</v>
      </c>
    </row>
    <row r="114" spans="1:17" x14ac:dyDescent="0.35">
      <c r="A114" t="str">
        <f>"#define XY_DIAG_AC " &amp; ROUND(B96,4)</f>
        <v>#define XY_DIAG_AC 141.299</v>
      </c>
      <c r="D114" t="s">
        <v>166</v>
      </c>
      <c r="I114" s="3"/>
      <c r="J114" s="3"/>
      <c r="K114" s="3"/>
      <c r="L114" s="3"/>
      <c r="M114" s="3"/>
      <c r="N114" s="3"/>
      <c r="O114" s="3"/>
      <c r="P114" s="3"/>
      <c r="Q114" s="14"/>
    </row>
    <row r="115" spans="1:17" x14ac:dyDescent="0.35">
      <c r="A115" t="str">
        <f>"#define XY_DIAG_BD " &amp; ROUND(C96,4)</f>
        <v>#define XY_DIAG_BD 141.544</v>
      </c>
      <c r="D115" t="s">
        <v>167</v>
      </c>
      <c r="I115" s="3"/>
      <c r="J115" s="3"/>
      <c r="K115" s="3"/>
      <c r="L115" s="3"/>
      <c r="M115" s="3"/>
      <c r="N115" s="3"/>
      <c r="O115" s="3"/>
      <c r="P115" s="3"/>
      <c r="Q115" s="14"/>
    </row>
    <row r="116" spans="1:17" x14ac:dyDescent="0.35">
      <c r="A116" t="str">
        <f>"#define XY_SIDE_AD "&amp;ROUND(D96,4)</f>
        <v>#define XY_SIDE_AD 100</v>
      </c>
      <c r="D116" t="s">
        <v>168</v>
      </c>
      <c r="I116" s="3"/>
      <c r="J116" s="3"/>
      <c r="K116" s="3"/>
      <c r="L116" s="3"/>
      <c r="M116" s="3"/>
      <c r="N116" s="3"/>
      <c r="O116" s="3"/>
      <c r="P116" s="3"/>
      <c r="Q116" s="14"/>
    </row>
    <row r="117" spans="1:17" x14ac:dyDescent="0.35">
      <c r="D117" t="s">
        <v>170</v>
      </c>
      <c r="I117" s="3"/>
      <c r="J117" s="3"/>
      <c r="K117" s="3"/>
      <c r="L117" s="3"/>
      <c r="M117" s="3"/>
      <c r="N117" s="3"/>
      <c r="O117" s="3"/>
      <c r="P117" s="3"/>
      <c r="Q117" s="14"/>
    </row>
    <row r="118" spans="1:17" x14ac:dyDescent="0.35">
      <c r="A118" t="str">
        <f>IFERROR("#define XY_SKEW_FACTOR " &amp; ROUND(F96,8),"ERROR")</f>
        <v>#define XY_SKEW_FACTOR -0.00173241</v>
      </c>
      <c r="D118" t="s">
        <v>172</v>
      </c>
      <c r="I118" s="3"/>
      <c r="J118" s="3"/>
      <c r="K118" s="3"/>
      <c r="L118" s="3"/>
      <c r="M118" s="3"/>
      <c r="N118" s="3"/>
      <c r="O118" s="3"/>
      <c r="P118" s="3"/>
      <c r="Q118" s="14"/>
    </row>
    <row r="119" spans="1:17" x14ac:dyDescent="0.35">
      <c r="A119" t="str">
        <f>IFERROR("#define XZ_SKEW_FACTOR " &amp; ROUND(F97,8),"ERROR")</f>
        <v>#define XZ_SKEW_FACTOR -0.00055154</v>
      </c>
      <c r="I119" s="3"/>
      <c r="J119" s="3"/>
      <c r="K119" s="3"/>
      <c r="L119" s="3"/>
      <c r="M119" s="3"/>
      <c r="N119" s="3"/>
      <c r="O119" s="3"/>
      <c r="P119" s="3"/>
      <c r="Q119" s="14"/>
    </row>
    <row r="120" spans="1:17" x14ac:dyDescent="0.35">
      <c r="A120" t="str">
        <f>IFERROR("#define YZ_SKEW_FACTOR " &amp; ROUND(F98,8),"ERROR")</f>
        <v>#define YZ_SKEW_FACTOR -0.0005869</v>
      </c>
      <c r="I120" s="3"/>
      <c r="J120" s="3"/>
      <c r="K120" s="3"/>
      <c r="L120" s="3"/>
      <c r="M120" s="3"/>
      <c r="N120" s="3"/>
      <c r="O120" s="3"/>
      <c r="P120" s="3"/>
      <c r="Q120" s="14"/>
    </row>
    <row r="121" spans="1:17" x14ac:dyDescent="0.35">
      <c r="I121" s="3"/>
      <c r="J121" s="3"/>
      <c r="K121" s="3"/>
      <c r="L121" s="3"/>
      <c r="M121" s="3"/>
      <c r="N121" s="3"/>
      <c r="O121" s="3"/>
      <c r="P121" s="3"/>
      <c r="Q121" s="14"/>
    </row>
    <row r="122" spans="1:17" x14ac:dyDescent="0.35">
      <c r="A122" t="str">
        <f>"#define XZ_DIAG_AC " &amp;ROUND(B97,7)</f>
        <v>#define XZ_DIAG_AC 141.382</v>
      </c>
      <c r="I122" s="3"/>
      <c r="J122" s="3"/>
      <c r="K122" s="3"/>
      <c r="L122" s="3"/>
      <c r="M122" s="3"/>
      <c r="N122" s="3"/>
      <c r="O122" s="3"/>
      <c r="P122" s="3"/>
      <c r="Q122" s="14"/>
    </row>
    <row r="123" spans="1:17" x14ac:dyDescent="0.35">
      <c r="A123" t="str">
        <f>"#define XZ_DIAG_BD "&amp;ROUND(C97,7)</f>
        <v>#define XZ_DIAG_BD 141.46</v>
      </c>
      <c r="I123" s="3"/>
      <c r="J123" s="3"/>
      <c r="K123" s="3"/>
      <c r="L123" s="3"/>
      <c r="M123" s="3"/>
      <c r="N123" s="3"/>
      <c r="O123" s="3"/>
      <c r="P123" s="3"/>
      <c r="Q123" s="14"/>
    </row>
    <row r="124" spans="1:17" x14ac:dyDescent="0.35">
      <c r="A124" t="str">
        <f>"#define YZ_DIAG_AC "&amp; ROUND(B98,7)</f>
        <v>#define YZ_DIAG_AC 141.38</v>
      </c>
      <c r="I124" s="3"/>
      <c r="J124" s="3"/>
      <c r="K124" s="3"/>
      <c r="L124" s="3"/>
      <c r="M124" s="3"/>
      <c r="N124" s="3"/>
      <c r="O124" s="3"/>
      <c r="P124" s="3"/>
      <c r="Q124" s="14"/>
    </row>
    <row r="125" spans="1:17" x14ac:dyDescent="0.35">
      <c r="A125" t="str">
        <f>"#define YZ_DIAG_BD "&amp;ROUND( C98,7)</f>
        <v>#define YZ_DIAG_BD 141.463</v>
      </c>
      <c r="I125" s="3"/>
      <c r="J125" s="3"/>
      <c r="K125" s="3"/>
      <c r="L125" s="3"/>
      <c r="M125" s="3"/>
      <c r="N125" s="3"/>
      <c r="O125" s="3"/>
      <c r="P125" s="3"/>
      <c r="Q125" s="14"/>
    </row>
    <row r="126" spans="1:17" x14ac:dyDescent="0.35">
      <c r="A126" t="str">
        <f>"#define YZ_SIDE_AD "&amp; ROUND(D98,7)</f>
        <v>#define YZ_SIDE_AD 100</v>
      </c>
    </row>
    <row r="127" spans="1:17" x14ac:dyDescent="0.35">
      <c r="A127" s="7"/>
    </row>
    <row r="128" spans="1:17" x14ac:dyDescent="0.35">
      <c r="A128" s="7"/>
      <c r="B128" s="11" t="s">
        <v>169</v>
      </c>
    </row>
    <row r="129" spans="1:4" x14ac:dyDescent="0.35">
      <c r="A129" t="s">
        <v>171</v>
      </c>
      <c r="B129" t="str">
        <f>"M852 I"&amp;ROUND(F96,8)&amp;" J"&amp;ROUND(F97,8)&amp;" K"&amp;ROUND(F98,8)</f>
        <v>M852 I-0.00173241 J-0.00055154 K-0.0005869</v>
      </c>
    </row>
    <row r="130" spans="1:4" x14ac:dyDescent="0.35">
      <c r="A130" t="s">
        <v>173</v>
      </c>
      <c r="B130" t="s">
        <v>174</v>
      </c>
    </row>
    <row r="132" spans="1:4" ht="15.5" x14ac:dyDescent="0.35">
      <c r="A132" s="59" t="s">
        <v>12</v>
      </c>
    </row>
    <row r="133" spans="1:4" x14ac:dyDescent="0.35">
      <c r="A133" t="s">
        <v>175</v>
      </c>
      <c r="B133" t="s">
        <v>176</v>
      </c>
    </row>
    <row r="134" spans="1:4" x14ac:dyDescent="0.35">
      <c r="A134" t="s">
        <v>13</v>
      </c>
      <c r="B134">
        <v>100</v>
      </c>
    </row>
    <row r="135" spans="1:4" x14ac:dyDescent="0.35">
      <c r="A135" t="s">
        <v>177</v>
      </c>
      <c r="B135" s="41">
        <f>B134*TAN(RADIANS(S35))</f>
        <v>0.17351434965559984</v>
      </c>
      <c r="C135" s="41"/>
      <c r="D135" s="41"/>
    </row>
    <row r="136" spans="1:4" x14ac:dyDescent="0.35">
      <c r="A136" t="s">
        <v>178</v>
      </c>
      <c r="B136" s="41">
        <f>B134*TAN(RADIANS(Y35))</f>
        <v>5.5070653907049225E-2</v>
      </c>
    </row>
    <row r="137" spans="1:4" x14ac:dyDescent="0.35">
      <c r="A137" t="s">
        <v>179</v>
      </c>
      <c r="B137" s="41">
        <f>B134*TAN(RADIANS(AE35))</f>
        <v>5.8411939995766382E-2</v>
      </c>
    </row>
    <row r="138" spans="1:4" x14ac:dyDescent="0.35">
      <c r="A138" t="str">
        <f>"M556 S100 X"&amp;ROUND(B135,3)&amp;" Y"&amp;ROUND(B137,3)&amp;" Z"&amp;ROUND(B136,3)</f>
        <v>M556 S100 X0.174 Y0.058 Z0.055</v>
      </c>
    </row>
    <row r="141" spans="1:4" ht="15.5" x14ac:dyDescent="0.35">
      <c r="A141" s="59" t="s">
        <v>180</v>
      </c>
    </row>
    <row r="142" spans="1:4" x14ac:dyDescent="0.35">
      <c r="A142" t="s">
        <v>181</v>
      </c>
      <c r="B142" s="13">
        <f>ROUND((1+AVERAGE(B70,C70))*Calculator!C118,2)</f>
        <v>100.04</v>
      </c>
    </row>
    <row r="143" spans="1:4" x14ac:dyDescent="0.35">
      <c r="A143" t="s">
        <v>182</v>
      </c>
      <c r="B143" s="75">
        <f>Calculator!C122-AVERAGE(B70:C70)</f>
        <v>0.99961250000000001</v>
      </c>
    </row>
    <row r="144" spans="1:4" x14ac:dyDescent="0.35">
      <c r="A144" t="s">
        <v>183</v>
      </c>
      <c r="B144" s="75">
        <f>Calculator!C122-D70</f>
        <v>1.0027037037037039</v>
      </c>
    </row>
    <row r="146" spans="1:2" ht="15.5" x14ac:dyDescent="0.35">
      <c r="A146" s="59" t="s">
        <v>69</v>
      </c>
    </row>
    <row r="147" spans="1:2" x14ac:dyDescent="0.35">
      <c r="A147" t="s">
        <v>14</v>
      </c>
      <c r="B147" s="3">
        <f>Calculator!C128*(1-Data!B70)</f>
        <v>99.929166666666674</v>
      </c>
    </row>
    <row r="148" spans="1:2" x14ac:dyDescent="0.35">
      <c r="A148" t="s">
        <v>15</v>
      </c>
      <c r="B148" s="3">
        <f>Calculator!C129*(1-Data!C70)</f>
        <v>99.993333333333339</v>
      </c>
    </row>
    <row r="150" spans="1:2" ht="15.5" x14ac:dyDescent="0.35">
      <c r="A150" s="59" t="s">
        <v>75</v>
      </c>
    </row>
    <row r="151" spans="1:2" x14ac:dyDescent="0.35">
      <c r="A151" t="s">
        <v>14</v>
      </c>
      <c r="B151" s="13">
        <f>(1+B70)*Calculator!C136</f>
        <v>31.872560416666666</v>
      </c>
    </row>
    <row r="152" spans="1:2" x14ac:dyDescent="0.35">
      <c r="A152" t="s">
        <v>15</v>
      </c>
      <c r="B152" s="13">
        <f>(1+C70)*Calculator!C137</f>
        <v>31.852123333333335</v>
      </c>
    </row>
  </sheetData>
  <sheetProtection algorithmName="SHA-512" hashValue="MDnBAxsLdx8rVMiWrzJ0jBjWroIam9ZqUOHIic+S5Ak7TwvaGOI1BYqk7cP7sYvX58AwGo+wIioJ3UYkID0CEw==" saltValue="1QbH0SvUWqGQqo3Quuv2Ig==" spinCount="100000" sheet="1" selectLockedCells="1" selectUnlockedCells="1"/>
  <dataConsolidate/>
  <mergeCells count="6">
    <mergeCell ref="A20:A23"/>
    <mergeCell ref="A16:A19"/>
    <mergeCell ref="A12:A15"/>
    <mergeCell ref="A2:A5"/>
    <mergeCell ref="A6:A9"/>
    <mergeCell ref="A10:A11"/>
  </mergeCells>
  <dataValidations count="2">
    <dataValidation type="decimal" allowBlank="1" showInputMessage="1" showErrorMessage="1" error="Value must be a decimal between 0 and 1000" sqref="H35:J56 L61:N82 L35:N56" xr:uid="{BC4072E1-1545-4781-A3A7-A0B60E5D42FF}">
      <formula1>0</formula1>
      <formula2>1000</formula2>
    </dataValidation>
    <dataValidation type="decimal" allowBlank="1" showInputMessage="1" showErrorMessage="1" error="Value must be a decimal between 0 and 1000." sqref="H35:J56 L61:N82 L35:N56" xr:uid="{E24314F0-E72A-4A6F-9AD7-9C6D935DD717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Calculator</vt:lpstr>
      <vt:lpstr>Data</vt:lpstr>
      <vt:lpstr>scale</vt:lpstr>
      <vt:lpstr>XBig</vt:lpstr>
      <vt:lpstr>XTravel</vt:lpstr>
      <vt:lpstr>XTravelDouble</vt:lpstr>
      <vt:lpstr>XTravelHalf</vt:lpstr>
      <vt:lpstr>XYDiag</vt:lpstr>
      <vt:lpstr>XYTravel</vt:lpstr>
      <vt:lpstr>YBig</vt:lpstr>
      <vt:lpstr>YTravel</vt:lpstr>
      <vt:lpstr>YTravelDouble</vt:lpstr>
      <vt:lpstr>YTravelHalf</vt:lpstr>
      <vt:lpstr>ZBig</vt:lpstr>
      <vt:lpstr>ZDiag</vt:lpstr>
      <vt:lpstr>ZDiagBig</vt:lpstr>
      <vt:lpstr>ZDiagDouble</vt:lpstr>
      <vt:lpstr>ZDiagHalf</vt:lpstr>
      <vt:lpstr>ZTravel</vt:lpstr>
      <vt:lpstr>ZTravelDouble</vt:lpstr>
      <vt:lpstr>ZTravelHalf</vt:lpstr>
      <vt:lpstr>ZVertical</vt:lpstr>
      <vt:lpstr>ZVerticalHalf</vt:lpstr>
      <vt:lpstr>ZXDiag</vt:lpstr>
      <vt:lpstr>ZYDiag</vt:lpstr>
      <vt:lpstr>ZYTravel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Meadows</dc:creator>
  <cp:keywords/>
  <dc:description/>
  <cp:lastModifiedBy>Jonathan Jones</cp:lastModifiedBy>
  <cp:revision/>
  <dcterms:created xsi:type="dcterms:W3CDTF">2021-12-10T19:35:57Z</dcterms:created>
  <dcterms:modified xsi:type="dcterms:W3CDTF">2024-01-29T14:28:26Z</dcterms:modified>
  <cp:category/>
  <cp:contentStatus/>
</cp:coreProperties>
</file>