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cal\cal_results\"/>
    </mc:Choice>
  </mc:AlternateContent>
  <xr:revisionPtr revIDLastSave="0" documentId="13_ncr:1_{D1137102-FD2E-47EB-BBA8-CFE82E540F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tfit fwhm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" i="3" l="1"/>
  <c r="AJ5" i="3" s="1"/>
  <c r="AI6" i="3"/>
  <c r="AI7" i="3"/>
  <c r="AI8" i="3"/>
  <c r="AI9" i="3"/>
  <c r="AC10" i="3"/>
  <c r="AD10" i="3"/>
  <c r="AE10" i="3"/>
  <c r="AC16" i="3"/>
  <c r="AC23" i="3"/>
  <c r="AD23" i="3"/>
  <c r="AE23" i="3"/>
  <c r="AF23" i="3"/>
  <c r="AD27" i="3"/>
  <c r="AD29" i="3"/>
  <c r="AE29" i="3"/>
  <c r="AC33" i="3"/>
  <c r="AD33" i="3"/>
  <c r="AE33" i="3"/>
  <c r="AF33" i="3"/>
  <c r="AC34" i="3"/>
  <c r="AD34" i="3"/>
  <c r="AE34" i="3"/>
  <c r="AF34" i="3"/>
  <c r="AC36" i="3"/>
  <c r="AD36" i="3"/>
  <c r="AE36" i="3"/>
  <c r="AF36" i="3"/>
  <c r="AC37" i="3"/>
  <c r="AD37" i="3"/>
  <c r="AE37" i="3"/>
  <c r="AF37" i="3"/>
  <c r="AC39" i="3"/>
  <c r="AD39" i="3"/>
  <c r="AE39" i="3"/>
  <c r="AF39" i="3"/>
  <c r="AC40" i="3"/>
  <c r="AD40" i="3"/>
  <c r="AE40" i="3"/>
  <c r="AF40" i="3"/>
  <c r="AC42" i="3"/>
  <c r="AD42" i="3"/>
  <c r="AE42" i="3"/>
  <c r="AF42" i="3"/>
  <c r="AC43" i="3"/>
  <c r="AD43" i="3"/>
  <c r="AE43" i="3"/>
  <c r="AF43" i="3"/>
  <c r="AE47" i="3"/>
  <c r="AF47" i="3"/>
  <c r="AE48" i="3"/>
  <c r="AF48" i="3"/>
  <c r="AC53" i="3"/>
  <c r="AD53" i="3"/>
  <c r="AE53" i="3"/>
  <c r="AF53" i="3"/>
  <c r="AC54" i="3"/>
  <c r="AD54" i="3"/>
  <c r="AE54" i="3"/>
  <c r="AF54" i="3"/>
  <c r="AC56" i="3"/>
  <c r="AD56" i="3"/>
  <c r="AE56" i="3"/>
  <c r="AF56" i="3"/>
  <c r="AC57" i="3"/>
  <c r="AD57" i="3"/>
  <c r="AE57" i="3"/>
  <c r="AF57" i="3"/>
  <c r="AE61" i="3"/>
  <c r="AF61" i="3"/>
  <c r="AE62" i="3"/>
  <c r="AF62" i="3"/>
  <c r="AC64" i="3"/>
  <c r="AD64" i="3"/>
  <c r="AE64" i="3"/>
  <c r="AF64" i="3"/>
  <c r="AG64" i="3"/>
  <c r="AC65" i="3"/>
  <c r="AD65" i="3"/>
  <c r="AE65" i="3"/>
  <c r="AF65" i="3"/>
  <c r="AG65" i="3"/>
  <c r="AE67" i="3"/>
  <c r="AF67" i="3"/>
  <c r="AE68" i="3"/>
  <c r="AF68" i="3"/>
  <c r="AC70" i="3"/>
  <c r="AD70" i="3"/>
  <c r="AE70" i="3"/>
  <c r="AF70" i="3"/>
  <c r="AC71" i="3"/>
  <c r="AD71" i="3"/>
  <c r="AE71" i="3"/>
  <c r="AF71" i="3"/>
  <c r="AD105" i="3"/>
  <c r="AC116" i="3"/>
  <c r="AD116" i="3"/>
  <c r="AE116" i="3"/>
  <c r="AF116" i="3"/>
  <c r="AC117" i="3"/>
  <c r="AD117" i="3"/>
  <c r="AE117" i="3"/>
  <c r="AF117" i="3"/>
  <c r="AC119" i="3"/>
  <c r="AD119" i="3"/>
  <c r="AE119" i="3"/>
  <c r="AF119" i="3"/>
  <c r="AC120" i="3"/>
  <c r="AD120" i="3"/>
  <c r="AE120" i="3"/>
  <c r="AF120" i="3"/>
  <c r="AC122" i="3"/>
  <c r="AD122" i="3"/>
  <c r="AE122" i="3"/>
  <c r="AF122" i="3"/>
  <c r="AC123" i="3"/>
  <c r="AD123" i="3"/>
  <c r="AE123" i="3"/>
  <c r="AF123" i="3"/>
  <c r="AC125" i="3"/>
  <c r="AD125" i="3"/>
  <c r="AE125" i="3"/>
  <c r="AF125" i="3"/>
  <c r="AC126" i="3"/>
  <c r="AD126" i="3"/>
  <c r="AE126" i="3"/>
  <c r="AF126" i="3"/>
  <c r="Q109" i="3"/>
  <c r="R109" i="3"/>
  <c r="S109" i="3"/>
  <c r="T109" i="3"/>
  <c r="T111" i="3"/>
  <c r="S111" i="3"/>
  <c r="R111" i="3"/>
  <c r="Q111" i="3"/>
  <c r="T112" i="3"/>
  <c r="S112" i="3"/>
  <c r="R112" i="3"/>
  <c r="Q112" i="3"/>
  <c r="T108" i="3"/>
  <c r="S108" i="3"/>
  <c r="R108" i="3"/>
  <c r="Q108" i="3"/>
  <c r="S105" i="3"/>
  <c r="R105" i="3"/>
  <c r="Q105" i="3"/>
  <c r="T106" i="3"/>
  <c r="S106" i="3"/>
  <c r="R106" i="3"/>
  <c r="Q106" i="3"/>
  <c r="T102" i="3"/>
  <c r="S102" i="3"/>
  <c r="R102" i="3"/>
  <c r="Q102" i="3"/>
  <c r="T103" i="3"/>
  <c r="S103" i="3"/>
  <c r="R103" i="3"/>
  <c r="Q103" i="3"/>
  <c r="T97" i="3"/>
  <c r="S97" i="3"/>
  <c r="R97" i="3"/>
  <c r="Q97" i="3"/>
  <c r="P97" i="3"/>
  <c r="O97" i="3"/>
  <c r="T98" i="3"/>
  <c r="S98" i="3"/>
  <c r="R98" i="3"/>
  <c r="Q98" i="3"/>
  <c r="P98" i="3"/>
  <c r="O98" i="3"/>
  <c r="T94" i="3"/>
  <c r="S94" i="3"/>
  <c r="R94" i="3"/>
  <c r="Q94" i="3"/>
  <c r="P94" i="3"/>
  <c r="O94" i="3"/>
  <c r="T95" i="3"/>
  <c r="S95" i="3"/>
  <c r="R95" i="3"/>
  <c r="Q95" i="3"/>
  <c r="P95" i="3"/>
  <c r="O95" i="3"/>
  <c r="T91" i="3"/>
  <c r="S91" i="3"/>
  <c r="R91" i="3"/>
  <c r="Q91" i="3"/>
  <c r="P91" i="3"/>
  <c r="O91" i="3"/>
  <c r="T92" i="3"/>
  <c r="S92" i="3"/>
  <c r="R92" i="3"/>
  <c r="Q92" i="3"/>
  <c r="P92" i="3"/>
  <c r="O92" i="3"/>
  <c r="T88" i="3"/>
  <c r="S88" i="3"/>
  <c r="R88" i="3"/>
  <c r="Q88" i="3"/>
  <c r="P88" i="3"/>
  <c r="O88" i="3"/>
  <c r="T89" i="3"/>
  <c r="S89" i="3"/>
  <c r="R89" i="3"/>
  <c r="Q89" i="3"/>
  <c r="P89" i="3"/>
  <c r="O89" i="3"/>
  <c r="R68" i="3"/>
  <c r="Q68" i="3"/>
  <c r="R67" i="3"/>
  <c r="Q67" i="3"/>
  <c r="R62" i="3"/>
  <c r="Q62" i="3"/>
  <c r="O62" i="3"/>
  <c r="R61" i="3"/>
  <c r="Q61" i="3"/>
  <c r="O61" i="3"/>
  <c r="P48" i="3"/>
  <c r="R48" i="3"/>
  <c r="Q48" i="3"/>
  <c r="R47" i="3"/>
  <c r="Q47" i="3"/>
  <c r="P47" i="3"/>
  <c r="O47" i="3"/>
  <c r="O48" i="3"/>
  <c r="T30" i="3"/>
  <c r="S30" i="3"/>
  <c r="R30" i="3"/>
  <c r="Q30" i="3"/>
  <c r="R29" i="3"/>
  <c r="Q29" i="3"/>
  <c r="S26" i="3"/>
  <c r="T27" i="3"/>
  <c r="S27" i="3"/>
  <c r="R27" i="3"/>
  <c r="R26" i="3"/>
  <c r="Q27" i="3"/>
  <c r="Q26" i="3"/>
  <c r="T24" i="3"/>
  <c r="S24" i="3"/>
  <c r="R24" i="3"/>
  <c r="Q24" i="3"/>
  <c r="T21" i="3"/>
  <c r="T20" i="3"/>
  <c r="S21" i="3"/>
  <c r="S20" i="3"/>
  <c r="R21" i="3"/>
  <c r="R20" i="3"/>
  <c r="Q20" i="3"/>
  <c r="Q21" i="3"/>
  <c r="S16" i="3"/>
  <c r="Q16" i="3"/>
  <c r="R16" i="3"/>
  <c r="P16" i="3"/>
  <c r="O16" i="3"/>
  <c r="T17" i="3"/>
  <c r="S17" i="3"/>
  <c r="R17" i="3"/>
  <c r="Q17" i="3"/>
  <c r="P17" i="3"/>
  <c r="O17" i="3"/>
  <c r="T13" i="3"/>
  <c r="S13" i="3"/>
  <c r="R13" i="3"/>
  <c r="Q13" i="3"/>
  <c r="P13" i="3"/>
  <c r="O13" i="3"/>
  <c r="T14" i="3"/>
  <c r="S14" i="3"/>
  <c r="R14" i="3"/>
  <c r="Q14" i="3"/>
  <c r="P14" i="3"/>
  <c r="O14" i="3"/>
  <c r="T11" i="3"/>
  <c r="S11" i="3"/>
  <c r="R11" i="3"/>
  <c r="Q11" i="3"/>
  <c r="P11" i="3"/>
  <c r="O11" i="3"/>
  <c r="Q10" i="3"/>
  <c r="P10" i="3"/>
  <c r="O10" i="3"/>
  <c r="T7" i="3"/>
  <c r="S7" i="3"/>
  <c r="R7" i="3"/>
  <c r="Q7" i="3"/>
  <c r="P7" i="3"/>
  <c r="O7" i="3"/>
  <c r="T8" i="3"/>
  <c r="S8" i="3"/>
  <c r="R8" i="3"/>
  <c r="Q8" i="3"/>
  <c r="P8" i="3"/>
  <c r="O8" i="3"/>
  <c r="P6" i="3"/>
  <c r="Q6" i="3"/>
  <c r="R6" i="3"/>
  <c r="S6" i="3"/>
  <c r="T6" i="3"/>
  <c r="O6" i="3"/>
  <c r="AJ6" i="3" l="1"/>
  <c r="AE27" i="3" s="1"/>
  <c r="AJ9" i="3"/>
  <c r="AJ8" i="3"/>
  <c r="Q37" i="3" s="1"/>
  <c r="AJ7" i="3"/>
  <c r="AF24" i="3" s="1"/>
  <c r="R42" i="3"/>
  <c r="AD16" i="3" l="1"/>
  <c r="AD24" i="3"/>
  <c r="AE30" i="3"/>
  <c r="AE11" i="3"/>
  <c r="AC11" i="3"/>
  <c r="AD30" i="3"/>
  <c r="S62" i="3"/>
  <c r="AE24" i="3"/>
  <c r="AC24" i="3"/>
  <c r="AD11" i="3"/>
  <c r="S39" i="3"/>
  <c r="S116" i="3"/>
  <c r="S36" i="3"/>
  <c r="T37" i="3"/>
  <c r="T122" i="3"/>
  <c r="R43" i="3"/>
  <c r="T36" i="3"/>
  <c r="Q39" i="3"/>
  <c r="S123" i="3"/>
  <c r="R117" i="3"/>
  <c r="R123" i="3"/>
  <c r="Q126" i="3"/>
  <c r="T116" i="3"/>
  <c r="O65" i="3"/>
  <c r="Q64" i="3"/>
  <c r="T123" i="3"/>
  <c r="T120" i="3"/>
  <c r="S117" i="3"/>
  <c r="T61" i="3"/>
  <c r="R39" i="3"/>
  <c r="T53" i="3"/>
  <c r="S122" i="3"/>
  <c r="T117" i="3"/>
  <c r="Q36" i="3"/>
  <c r="S43" i="3"/>
  <c r="R37" i="3"/>
  <c r="R64" i="3"/>
  <c r="R57" i="3"/>
  <c r="T62" i="3"/>
  <c r="Q40" i="3"/>
  <c r="T33" i="3"/>
  <c r="Q116" i="3"/>
  <c r="T71" i="3"/>
  <c r="T119" i="3"/>
  <c r="Q119" i="3"/>
  <c r="R119" i="3"/>
  <c r="R125" i="3"/>
  <c r="S71" i="3"/>
  <c r="Q117" i="3"/>
  <c r="T43" i="3"/>
  <c r="S119" i="3"/>
  <c r="S37" i="3"/>
  <c r="S42" i="3"/>
  <c r="R122" i="3"/>
  <c r="R54" i="3"/>
  <c r="Q57" i="3"/>
  <c r="S40" i="3"/>
  <c r="S65" i="3"/>
  <c r="R34" i="3"/>
  <c r="Q65" i="3"/>
  <c r="S57" i="3"/>
  <c r="R40" i="3"/>
  <c r="Q42" i="3"/>
  <c r="O64" i="3"/>
  <c r="S126" i="3"/>
  <c r="S34" i="3"/>
  <c r="R71" i="3"/>
  <c r="S56" i="3"/>
  <c r="R56" i="3"/>
  <c r="T54" i="3"/>
  <c r="Q33" i="3"/>
  <c r="T65" i="3"/>
  <c r="T40" i="3"/>
  <c r="S33" i="3"/>
  <c r="Q125" i="3"/>
  <c r="T42" i="3"/>
  <c r="Q123" i="3"/>
  <c r="T34" i="3"/>
  <c r="T39" i="3"/>
  <c r="R36" i="3"/>
  <c r="R120" i="3"/>
  <c r="R65" i="3"/>
  <c r="T56" i="3"/>
  <c r="R33" i="3"/>
  <c r="R116" i="3"/>
  <c r="T126" i="3"/>
  <c r="S120" i="3"/>
  <c r="R126" i="3"/>
  <c r="Q120" i="3"/>
  <c r="T125" i="3"/>
  <c r="S125" i="3"/>
  <c r="Q122" i="3"/>
  <c r="Q43" i="3"/>
  <c r="Q34" i="3"/>
  <c r="T57" i="3"/>
  <c r="T64" i="3"/>
  <c r="S64" i="3"/>
  <c r="S47" i="3"/>
  <c r="T105" i="3"/>
  <c r="Q53" i="3"/>
  <c r="Q71" i="3"/>
  <c r="S53" i="3"/>
  <c r="S54" i="3"/>
  <c r="T67" i="3"/>
  <c r="T68" i="3"/>
  <c r="S67" i="3"/>
  <c r="T47" i="3"/>
  <c r="S48" i="3"/>
  <c r="R53" i="3"/>
  <c r="S68" i="3"/>
  <c r="T48" i="3"/>
  <c r="Q54" i="3"/>
  <c r="S61" i="3"/>
  <c r="Q56" i="3"/>
</calcChain>
</file>

<file path=xl/sharedStrings.xml><?xml version="1.0" encoding="utf-8"?>
<sst xmlns="http://schemas.openxmlformats.org/spreadsheetml/2006/main" count="583" uniqueCount="72">
  <si>
    <t>100A</t>
  </si>
  <si>
    <t>100P</t>
  </si>
  <si>
    <t>40P</t>
  </si>
  <si>
    <t>H</t>
  </si>
  <si>
    <t>He</t>
  </si>
  <si>
    <t>O</t>
  </si>
  <si>
    <t>Ne</t>
  </si>
  <si>
    <t>azi</t>
  </si>
  <si>
    <t>plr</t>
  </si>
  <si>
    <t>--</t>
  </si>
  <si>
    <t>automatic</t>
  </si>
  <si>
    <t>gemessen contour</t>
  </si>
  <si>
    <t>&gt;22</t>
  </si>
  <si>
    <t>Standard normal distribution:</t>
  </si>
  <si>
    <t>percentile</t>
  </si>
  <si>
    <t>full width</t>
  </si>
  <si>
    <t>ratio</t>
  </si>
  <si>
    <t xml:space="preserve"> 50% estim.</t>
  </si>
  <si>
    <t>&lt;= 50% estim.</t>
  </si>
  <si>
    <t>&gt;21</t>
  </si>
  <si>
    <t>60% azi</t>
  </si>
  <si>
    <t>50% estim.</t>
  </si>
  <si>
    <t>80% alle</t>
  </si>
  <si>
    <t>70% alle</t>
  </si>
  <si>
    <t>60% :)</t>
  </si>
  <si>
    <t>// all too much beyond limits --&gt;  ~30° fwhm</t>
  </si>
  <si>
    <t>Abschätzung mittels Gaussverteilung, extrapoliert</t>
  </si>
  <si>
    <t xml:space="preserve"> </t>
  </si>
  <si>
    <t xml:space="preserve"> Wherever the 50% contour line reaches the detector edges, the FWHMs were estimated by extrapolating a narrower contour line (60% - 80% of the peak value)</t>
  </si>
  <si>
    <t>particularly for 15° incidence angle data</t>
  </si>
  <si>
    <t>&lt;&lt; fwhm readout from contour plots. Less accurate but generally more reliable.</t>
  </si>
  <si>
    <t>&lt;&lt; especially breaks down if distribution broadness comparable to detector fov size (21°x21°)</t>
  </si>
  <si>
    <t>phi</t>
  </si>
  <si>
    <t>theta</t>
  </si>
  <si>
    <t>sample</t>
  </si>
  <si>
    <t>location</t>
  </si>
  <si>
    <t>incident_angle</t>
  </si>
  <si>
    <t>species</t>
  </si>
  <si>
    <t>contour</t>
  </si>
  <si>
    <t>energy</t>
  </si>
  <si>
    <t>geo</t>
  </si>
  <si>
    <t>imap</t>
  </si>
  <si>
    <t>ibex</t>
  </si>
  <si>
    <t>L109</t>
  </si>
  <si>
    <t>L31</t>
  </si>
  <si>
    <t>L38</t>
  </si>
  <si>
    <t>L45</t>
  </si>
  <si>
    <t>L47</t>
  </si>
  <si>
    <t>L46</t>
  </si>
  <si>
    <t>L81</t>
  </si>
  <si>
    <t>ta-C[HT]</t>
  </si>
  <si>
    <t>C</t>
  </si>
  <si>
    <t>ta-C</t>
  </si>
  <si>
    <t>PIID</t>
  </si>
  <si>
    <t>coating</t>
  </si>
  <si>
    <t>roughness</t>
  </si>
  <si>
    <t>nan</t>
  </si>
  <si>
    <t>036b</t>
  </si>
  <si>
    <t>recoil_props</t>
  </si>
  <si>
    <t>effic</t>
  </si>
  <si>
    <t>xxx</t>
  </si>
  <si>
    <t>e_loss</t>
  </si>
  <si>
    <t>None</t>
  </si>
  <si>
    <t>&gt; 21</t>
  </si>
  <si>
    <t>FM-061</t>
  </si>
  <si>
    <t>FM-093</t>
  </si>
  <si>
    <t>FM-110</t>
  </si>
  <si>
    <t>EM-036</t>
  </si>
  <si>
    <t>EM-039</t>
  </si>
  <si>
    <t>039b</t>
  </si>
  <si>
    <t>Note</t>
  </si>
  <si>
    <t>I believe the only difference between EM-039 and 039b is that one gives the total recoil ion efficiency  including sputtering and the other not including sputtering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</si>
</sst>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9" fontId="0" fillId="0" borderId="2" xfId="0" applyNumberFormat="1" applyBorder="1"/>
    <xf numFmtId="164" fontId="0" fillId="0" borderId="3" xfId="0" applyNumberFormat="1" applyBorder="1"/>
    <xf numFmtId="9" fontId="0" fillId="0" borderId="4" xfId="0" applyNumberFormat="1" applyBorder="1"/>
    <xf numFmtId="164" fontId="0" fillId="0" borderId="5" xfId="0" applyNumberFormat="1" applyBorder="1"/>
    <xf numFmtId="9" fontId="0" fillId="0" borderId="9" xfId="0" applyNumberFormat="1" applyBorder="1"/>
    <xf numFmtId="0" fontId="3" fillId="0" borderId="0" xfId="0" applyFont="1"/>
    <xf numFmtId="0" fontId="3" fillId="0" borderId="0" xfId="0" quotePrefix="1" applyFont="1"/>
    <xf numFmtId="9" fontId="4" fillId="0" borderId="10" xfId="0" quotePrefix="1" applyNumberFormat="1" applyFont="1" applyBorder="1"/>
    <xf numFmtId="0" fontId="0" fillId="0" borderId="11" xfId="0" applyBorder="1"/>
    <xf numFmtId="0" fontId="0" fillId="0" borderId="12" xfId="0" applyBorder="1"/>
    <xf numFmtId="0" fontId="3" fillId="0" borderId="11" xfId="0" quotePrefix="1" applyFont="1" applyBorder="1"/>
    <xf numFmtId="0" fontId="0" fillId="0" borderId="0" xfId="0" quotePrefix="1"/>
    <xf numFmtId="0" fontId="0" fillId="2" borderId="0" xfId="0" applyFill="1"/>
    <xf numFmtId="0" fontId="0" fillId="2" borderId="12" xfId="0" applyFill="1" applyBorder="1"/>
    <xf numFmtId="164" fontId="0" fillId="2" borderId="0" xfId="0" applyNumberFormat="1" applyFill="1"/>
    <xf numFmtId="164" fontId="0" fillId="2" borderId="12" xfId="0" applyNumberFormat="1" applyFill="1" applyBorder="1"/>
    <xf numFmtId="164" fontId="0" fillId="0" borderId="0" xfId="0" applyNumberFormat="1"/>
    <xf numFmtId="164" fontId="0" fillId="0" borderId="12" xfId="0" applyNumberFormat="1" applyBorder="1"/>
    <xf numFmtId="0" fontId="0" fillId="2" borderId="11" xfId="0" applyFill="1" applyBorder="1"/>
    <xf numFmtId="0" fontId="0" fillId="2" borderId="0" xfId="0" quotePrefix="1" applyFill="1"/>
    <xf numFmtId="0" fontId="2" fillId="2" borderId="0" xfId="0" applyFont="1" applyFill="1"/>
    <xf numFmtId="0" fontId="2" fillId="2" borderId="12" xfId="0" applyFont="1" applyFill="1" applyBorder="1"/>
    <xf numFmtId="0" fontId="0" fillId="3" borderId="12" xfId="0" applyFill="1" applyBorder="1"/>
    <xf numFmtId="165" fontId="0" fillId="2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19" xfId="0" applyNumberFormat="1" applyBorder="1"/>
    <xf numFmtId="164" fontId="0" fillId="0" borderId="20" xfId="0" applyNumberFormat="1" applyBorder="1"/>
    <xf numFmtId="0" fontId="3" fillId="0" borderId="17" xfId="0" quotePrefix="1" applyFont="1" applyBorder="1"/>
    <xf numFmtId="0" fontId="0" fillId="4" borderId="14" xfId="0" applyFill="1" applyBorder="1"/>
    <xf numFmtId="0" fontId="0" fillId="4" borderId="0" xfId="0" applyFill="1"/>
    <xf numFmtId="0" fontId="0" fillId="4" borderId="17" xfId="0" applyFill="1" applyBorder="1"/>
    <xf numFmtId="0" fontId="0" fillId="0" borderId="9" xfId="0" applyBorder="1"/>
    <xf numFmtId="0" fontId="0" fillId="0" borderId="21" xfId="0" applyBorder="1"/>
    <xf numFmtId="0" fontId="0" fillId="0" borderId="22" xfId="0" applyBorder="1"/>
    <xf numFmtId="0" fontId="0" fillId="3" borderId="0" xfId="0" applyFill="1"/>
    <xf numFmtId="165" fontId="0" fillId="2" borderId="0" xfId="0" applyNumberFormat="1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246"/>
  <sheetViews>
    <sheetView tabSelected="1" topLeftCell="A129" zoomScale="77" zoomScaleNormal="80" workbookViewId="0">
      <selection activeCell="F155" sqref="F155"/>
    </sheetView>
  </sheetViews>
  <sheetFormatPr defaultColWidth="11.5546875" defaultRowHeight="14.4" x14ac:dyDescent="0.3"/>
  <cols>
    <col min="6" max="6" width="15.6640625" customWidth="1"/>
    <col min="8" max="8" width="14.77734375" customWidth="1"/>
    <col min="9" max="9" width="11.5546875" style="13"/>
    <col min="15" max="15" width="11.5546875" style="13"/>
    <col min="20" max="20" width="11.5546875" style="14"/>
    <col min="28" max="28" width="24.88671875" customWidth="1"/>
  </cols>
  <sheetData>
    <row r="2" spans="1:36" x14ac:dyDescent="0.3">
      <c r="AH2" s="46" t="s">
        <v>13</v>
      </c>
      <c r="AI2" s="47"/>
      <c r="AJ2" s="48"/>
    </row>
    <row r="3" spans="1:36" x14ac:dyDescent="0.3">
      <c r="I3" s="13" t="s">
        <v>10</v>
      </c>
      <c r="M3" s="11" t="s">
        <v>31</v>
      </c>
      <c r="O3" s="13" t="s">
        <v>11</v>
      </c>
      <c r="Q3" s="11" t="s">
        <v>30</v>
      </c>
      <c r="AD3" s="49" t="s">
        <v>26</v>
      </c>
      <c r="AE3" s="50"/>
      <c r="AH3" s="3" t="s">
        <v>14</v>
      </c>
      <c r="AI3" t="s">
        <v>15</v>
      </c>
      <c r="AJ3" s="4" t="s">
        <v>16</v>
      </c>
    </row>
    <row r="4" spans="1:36" ht="15" thickBot="1" x14ac:dyDescent="0.35">
      <c r="I4" s="13" t="s">
        <v>39</v>
      </c>
      <c r="AH4" s="3"/>
      <c r="AJ4" s="4"/>
    </row>
    <row r="5" spans="1:36" ht="15" thickBot="1" x14ac:dyDescent="0.35">
      <c r="I5" s="13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38</v>
      </c>
      <c r="P5" t="s">
        <v>38</v>
      </c>
      <c r="Q5" t="s">
        <v>38</v>
      </c>
      <c r="R5" t="s">
        <v>38</v>
      </c>
      <c r="S5" t="s">
        <v>38</v>
      </c>
      <c r="T5" t="s">
        <v>38</v>
      </c>
      <c r="U5" t="s">
        <v>62</v>
      </c>
      <c r="V5" t="s">
        <v>62</v>
      </c>
      <c r="W5" t="s">
        <v>62</v>
      </c>
      <c r="X5" t="s">
        <v>62</v>
      </c>
      <c r="Y5" t="s">
        <v>62</v>
      </c>
      <c r="Z5" t="s">
        <v>62</v>
      </c>
      <c r="AA5" t="s">
        <v>62</v>
      </c>
      <c r="AC5" s="2"/>
      <c r="AD5" s="12" t="s">
        <v>28</v>
      </c>
      <c r="AE5" s="2"/>
      <c r="AF5" s="2"/>
      <c r="AG5" t="s">
        <v>27</v>
      </c>
      <c r="AH5" s="5">
        <v>0.5</v>
      </c>
      <c r="AI5">
        <f>2*SQRT(2*LN(2))</f>
        <v>2.3548200450309493</v>
      </c>
      <c r="AJ5" s="4">
        <f>AI5/AI5</f>
        <v>1</v>
      </c>
    </row>
    <row r="6" spans="1:36" ht="15" thickBot="1" x14ac:dyDescent="0.35">
      <c r="A6" t="s">
        <v>40</v>
      </c>
      <c r="B6" t="s">
        <v>34</v>
      </c>
      <c r="C6" t="s">
        <v>54</v>
      </c>
      <c r="D6" t="s">
        <v>55</v>
      </c>
      <c r="E6" t="s">
        <v>35</v>
      </c>
      <c r="F6" t="s">
        <v>36</v>
      </c>
      <c r="G6" t="s">
        <v>37</v>
      </c>
      <c r="H6" t="s">
        <v>58</v>
      </c>
      <c r="I6" s="13">
        <v>195</v>
      </c>
      <c r="J6">
        <v>250</v>
      </c>
      <c r="K6">
        <v>390</v>
      </c>
      <c r="L6">
        <v>500</v>
      </c>
      <c r="M6">
        <v>780</v>
      </c>
      <c r="N6">
        <v>1000</v>
      </c>
      <c r="O6" s="13">
        <f t="shared" ref="O6:T6" si="0">I6</f>
        <v>195</v>
      </c>
      <c r="P6">
        <f t="shared" si="0"/>
        <v>250</v>
      </c>
      <c r="Q6">
        <f t="shared" si="0"/>
        <v>390</v>
      </c>
      <c r="R6">
        <f t="shared" si="0"/>
        <v>500</v>
      </c>
      <c r="S6">
        <f t="shared" si="0"/>
        <v>780</v>
      </c>
      <c r="T6" s="14">
        <f t="shared" si="0"/>
        <v>1000</v>
      </c>
      <c r="U6">
        <v>14</v>
      </c>
      <c r="V6">
        <v>27</v>
      </c>
      <c r="W6">
        <v>52</v>
      </c>
      <c r="X6">
        <v>102</v>
      </c>
      <c r="Y6">
        <v>197</v>
      </c>
      <c r="Z6">
        <v>451</v>
      </c>
      <c r="AA6">
        <v>908</v>
      </c>
      <c r="AD6" s="10" t="s">
        <v>29</v>
      </c>
      <c r="AH6" s="5">
        <v>0.6</v>
      </c>
      <c r="AI6">
        <f>2*SQRT(2*(-LN(3)+LN(5)))</f>
        <v>2.021535305189579</v>
      </c>
      <c r="AJ6" s="6">
        <f>AI6/AI$5</f>
        <v>0.85846700237470164</v>
      </c>
    </row>
    <row r="7" spans="1:36" s="30" customFormat="1" x14ac:dyDescent="0.3">
      <c r="A7" s="29" t="s">
        <v>41</v>
      </c>
      <c r="B7" s="30" t="s">
        <v>2</v>
      </c>
      <c r="C7" s="30" t="s">
        <v>53</v>
      </c>
      <c r="D7" s="30">
        <v>0.25</v>
      </c>
      <c r="E7" s="30">
        <v>1</v>
      </c>
      <c r="F7" s="30">
        <v>8</v>
      </c>
      <c r="G7" s="30" t="s">
        <v>4</v>
      </c>
      <c r="H7" s="30" t="s">
        <v>32</v>
      </c>
      <c r="I7" s="29">
        <v>15.24</v>
      </c>
      <c r="J7" s="30">
        <v>14.52</v>
      </c>
      <c r="K7" s="30">
        <v>14.92</v>
      </c>
      <c r="L7" s="30">
        <v>15.8799999999999</v>
      </c>
      <c r="M7" s="30">
        <v>16.8799999999999</v>
      </c>
      <c r="N7" s="30">
        <v>19.420000000000002</v>
      </c>
      <c r="O7" s="29">
        <f>7.2+8.8</f>
        <v>16</v>
      </c>
      <c r="P7" s="30">
        <f>7.3+8</f>
        <v>15.3</v>
      </c>
      <c r="Q7" s="30">
        <f>7.5+8.5</f>
        <v>16</v>
      </c>
      <c r="R7" s="30">
        <f>9+8.5</f>
        <v>17.5</v>
      </c>
      <c r="S7" s="30">
        <f>9+10</f>
        <v>19</v>
      </c>
      <c r="T7" s="31">
        <f>10+10.5</f>
        <v>20.5</v>
      </c>
      <c r="AH7" s="35">
        <v>0.7</v>
      </c>
      <c r="AI7" s="30">
        <f>2* SQRT(2* (LN(2) + LN(5) - LN(7)))</f>
        <v>1.6892008618011825</v>
      </c>
      <c r="AJ7" s="36">
        <f t="shared" ref="AJ7:AJ9" si="1">AI7/AI$5</f>
        <v>0.71733755849652681</v>
      </c>
    </row>
    <row r="8" spans="1:36" x14ac:dyDescent="0.3">
      <c r="A8" s="13"/>
      <c r="F8">
        <v>8</v>
      </c>
      <c r="G8" t="s">
        <v>4</v>
      </c>
      <c r="H8" t="s">
        <v>33</v>
      </c>
      <c r="I8" s="13">
        <v>11.76</v>
      </c>
      <c r="J8">
        <v>11.14</v>
      </c>
      <c r="K8">
        <v>11.06</v>
      </c>
      <c r="L8">
        <v>11.399999999999901</v>
      </c>
      <c r="M8">
        <v>11.719999999999899</v>
      </c>
      <c r="N8">
        <v>12.62</v>
      </c>
      <c r="O8" s="13">
        <f>15-2</f>
        <v>13</v>
      </c>
      <c r="P8">
        <f>14.3-2.2</f>
        <v>12.100000000000001</v>
      </c>
      <c r="Q8">
        <f>14.5-2.1</f>
        <v>12.4</v>
      </c>
      <c r="R8">
        <f>15-2.3</f>
        <v>12.7</v>
      </c>
      <c r="S8">
        <f>15.4-2.4</f>
        <v>13</v>
      </c>
      <c r="T8" s="14">
        <f>16.1-2.8</f>
        <v>13.3</v>
      </c>
      <c r="AH8" s="5">
        <v>0.8</v>
      </c>
      <c r="AI8">
        <f>2* SQRT(2* (-2* LN(2) + LN(5)))</f>
        <v>1.3360944616731549</v>
      </c>
      <c r="AJ8" s="6">
        <f t="shared" si="1"/>
        <v>0.56738707677154787</v>
      </c>
    </row>
    <row r="9" spans="1:36" x14ac:dyDescent="0.3">
      <c r="A9" s="13"/>
      <c r="F9">
        <v>8</v>
      </c>
      <c r="G9" s="11"/>
      <c r="H9" s="11"/>
      <c r="I9" s="13" t="s">
        <v>3</v>
      </c>
      <c r="AC9" s="2">
        <v>0.6</v>
      </c>
      <c r="AH9" s="7">
        <v>0.9</v>
      </c>
      <c r="AI9" s="1">
        <f>2* SQRT(2* (LN(2) - 2*LN(3) +LN(5)))</f>
        <v>0.91808721005284077</v>
      </c>
      <c r="AJ9" s="8">
        <f t="shared" si="1"/>
        <v>0.38987574103174172</v>
      </c>
    </row>
    <row r="10" spans="1:36" x14ac:dyDescent="0.3">
      <c r="A10" s="13"/>
      <c r="F10">
        <v>8</v>
      </c>
      <c r="G10" t="s">
        <v>3</v>
      </c>
      <c r="H10" t="s">
        <v>32</v>
      </c>
      <c r="I10" s="13">
        <v>18.14</v>
      </c>
      <c r="J10">
        <v>20.02</v>
      </c>
      <c r="K10">
        <v>21.12</v>
      </c>
      <c r="L10">
        <v>20.62</v>
      </c>
      <c r="M10">
        <v>22.939999999999898</v>
      </c>
      <c r="N10">
        <v>22.1</v>
      </c>
      <c r="O10" s="13">
        <f>9+9.8</f>
        <v>18.8</v>
      </c>
      <c r="P10">
        <f>9+10.5</f>
        <v>19.5</v>
      </c>
      <c r="Q10">
        <f>9+11</f>
        <v>20</v>
      </c>
      <c r="R10" s="17" t="s">
        <v>12</v>
      </c>
      <c r="S10" s="17" t="s">
        <v>12</v>
      </c>
      <c r="T10" s="18" t="s">
        <v>12</v>
      </c>
      <c r="U10" s="17"/>
      <c r="V10" s="17"/>
      <c r="W10" s="17"/>
      <c r="X10" s="17"/>
      <c r="Y10" s="17"/>
      <c r="Z10" s="17"/>
      <c r="AA10" s="17"/>
      <c r="AC10">
        <f>10+8.5</f>
        <v>18.5</v>
      </c>
      <c r="AD10">
        <f>10.5+9</f>
        <v>19.5</v>
      </c>
      <c r="AE10">
        <f>10.6+9.1</f>
        <v>19.7</v>
      </c>
    </row>
    <row r="11" spans="1:36" x14ac:dyDescent="0.3">
      <c r="A11" s="13"/>
      <c r="F11">
        <v>8</v>
      </c>
      <c r="G11" t="s">
        <v>3</v>
      </c>
      <c r="H11" t="s">
        <v>33</v>
      </c>
      <c r="I11" s="13">
        <v>13.94</v>
      </c>
      <c r="J11">
        <v>14.6999999999999</v>
      </c>
      <c r="K11">
        <v>14.66</v>
      </c>
      <c r="L11">
        <v>14.299999999999899</v>
      </c>
      <c r="M11">
        <v>14.219999999999899</v>
      </c>
      <c r="N11">
        <v>13.76</v>
      </c>
      <c r="O11" s="13">
        <f>16.8-2.2</f>
        <v>14.600000000000001</v>
      </c>
      <c r="P11">
        <f>17.1-2.2</f>
        <v>14.900000000000002</v>
      </c>
      <c r="Q11">
        <f>18-2.5</f>
        <v>15.5</v>
      </c>
      <c r="R11">
        <f>17.8-2.1</f>
        <v>15.700000000000001</v>
      </c>
      <c r="S11">
        <f>17.8-2.3</f>
        <v>15.5</v>
      </c>
      <c r="T11" s="14">
        <f>17-2.5</f>
        <v>14.5</v>
      </c>
      <c r="AC11" s="19">
        <f>AC10/AJ6</f>
        <v>21.550042050335168</v>
      </c>
      <c r="AD11" s="19">
        <f>AD10/AJ6</f>
        <v>22.714909188191122</v>
      </c>
      <c r="AE11" s="19">
        <f>AE10/AJ6</f>
        <v>22.947882615762314</v>
      </c>
      <c r="AF11" s="16" t="s">
        <v>18</v>
      </c>
    </row>
    <row r="12" spans="1:36" x14ac:dyDescent="0.3">
      <c r="A12" s="13"/>
      <c r="F12">
        <v>8</v>
      </c>
      <c r="H12" s="11"/>
      <c r="I12" s="13" t="s">
        <v>6</v>
      </c>
    </row>
    <row r="13" spans="1:36" x14ac:dyDescent="0.3">
      <c r="A13" s="13"/>
      <c r="F13">
        <v>8</v>
      </c>
      <c r="G13" t="s">
        <v>6</v>
      </c>
      <c r="H13" t="s">
        <v>32</v>
      </c>
      <c r="I13" s="13">
        <v>15.6199999999999</v>
      </c>
      <c r="J13">
        <v>14.4</v>
      </c>
      <c r="K13">
        <v>15.6</v>
      </c>
      <c r="L13">
        <v>15.1999999999999</v>
      </c>
      <c r="M13">
        <v>15.3599999999999</v>
      </c>
      <c r="N13">
        <v>16.88</v>
      </c>
      <c r="O13" s="13">
        <f>9+7</f>
        <v>16</v>
      </c>
      <c r="P13">
        <f>8.8+6.8</f>
        <v>15.600000000000001</v>
      </c>
      <c r="Q13">
        <f>9+7</f>
        <v>16</v>
      </c>
      <c r="R13">
        <f>9+7</f>
        <v>16</v>
      </c>
      <c r="S13">
        <f>9.1+7.3</f>
        <v>16.399999999999999</v>
      </c>
      <c r="T13" s="14">
        <f>9.5+7.6</f>
        <v>17.100000000000001</v>
      </c>
    </row>
    <row r="14" spans="1:36" x14ac:dyDescent="0.3">
      <c r="A14" s="13"/>
      <c r="F14">
        <v>8</v>
      </c>
      <c r="G14" t="s">
        <v>6</v>
      </c>
      <c r="H14" t="s">
        <v>33</v>
      </c>
      <c r="I14" s="13">
        <v>13.14</v>
      </c>
      <c r="J14">
        <v>12.04</v>
      </c>
      <c r="K14">
        <v>12.94</v>
      </c>
      <c r="L14">
        <v>12.48</v>
      </c>
      <c r="M14">
        <v>12.42</v>
      </c>
      <c r="N14">
        <v>13.22</v>
      </c>
      <c r="O14" s="13">
        <f>15.8-2.1</f>
        <v>13.700000000000001</v>
      </c>
      <c r="P14">
        <f>15-2</f>
        <v>13</v>
      </c>
      <c r="Q14">
        <f>15.5-2</f>
        <v>13.5</v>
      </c>
      <c r="R14">
        <f>15.3-2</f>
        <v>13.3</v>
      </c>
      <c r="S14">
        <f>15.3-2</f>
        <v>13.3</v>
      </c>
      <c r="T14" s="14">
        <f>16.5-2.5</f>
        <v>14</v>
      </c>
    </row>
    <row r="15" spans="1:36" x14ac:dyDescent="0.3">
      <c r="A15" s="13"/>
      <c r="F15">
        <v>8</v>
      </c>
      <c r="H15" s="11"/>
      <c r="I15" s="13" t="s">
        <v>5</v>
      </c>
      <c r="AC15" s="2">
        <v>0.6</v>
      </c>
      <c r="AD15" t="s">
        <v>17</v>
      </c>
    </row>
    <row r="16" spans="1:36" x14ac:dyDescent="0.3">
      <c r="A16" s="13"/>
      <c r="F16">
        <v>8</v>
      </c>
      <c r="G16" t="s">
        <v>5</v>
      </c>
      <c r="H16" t="s">
        <v>32</v>
      </c>
      <c r="I16" s="13">
        <v>14.3</v>
      </c>
      <c r="J16">
        <v>14.42</v>
      </c>
      <c r="K16">
        <v>15.7799999999999</v>
      </c>
      <c r="L16">
        <v>17.079999999999899</v>
      </c>
      <c r="M16">
        <v>19.420000000000002</v>
      </c>
      <c r="N16">
        <v>20.0399999999999</v>
      </c>
      <c r="O16" s="13">
        <f>6.5+8.5</f>
        <v>15</v>
      </c>
      <c r="P16">
        <f>8.7+6.8</f>
        <v>15.5</v>
      </c>
      <c r="Q16">
        <f>9+7.1</f>
        <v>16.100000000000001</v>
      </c>
      <c r="R16">
        <f>9+7.5</f>
        <v>16.5</v>
      </c>
      <c r="S16">
        <f>10+10</f>
        <v>20</v>
      </c>
      <c r="T16" s="18" t="s">
        <v>12</v>
      </c>
      <c r="U16" s="17"/>
      <c r="V16" s="17"/>
      <c r="W16" s="17"/>
      <c r="X16" s="17"/>
      <c r="Y16" s="17"/>
      <c r="Z16" s="17"/>
      <c r="AA16" s="17"/>
      <c r="AC16">
        <f>9+8.5</f>
        <v>17.5</v>
      </c>
      <c r="AD16" s="19">
        <f>AC16/AJ6</f>
        <v>20.385174912479211</v>
      </c>
    </row>
    <row r="17" spans="1:32" x14ac:dyDescent="0.3">
      <c r="A17" s="13"/>
      <c r="F17">
        <v>8</v>
      </c>
      <c r="G17" t="s">
        <v>5</v>
      </c>
      <c r="H17" t="s">
        <v>33</v>
      </c>
      <c r="I17" s="13">
        <v>10.26</v>
      </c>
      <c r="J17">
        <v>10.78</v>
      </c>
      <c r="K17">
        <v>12.7</v>
      </c>
      <c r="L17">
        <v>14.219999999999899</v>
      </c>
      <c r="M17">
        <v>16.18</v>
      </c>
      <c r="N17">
        <v>16.7</v>
      </c>
      <c r="O17" s="13">
        <f>13.2-2</f>
        <v>11.2</v>
      </c>
      <c r="P17">
        <f>13.8-2.1</f>
        <v>11.700000000000001</v>
      </c>
      <c r="Q17">
        <f>15.5-2.1</f>
        <v>13.4</v>
      </c>
      <c r="R17">
        <f>17-2.2</f>
        <v>14.8</v>
      </c>
      <c r="S17">
        <f>20-2.5</f>
        <v>17.5</v>
      </c>
      <c r="T17" s="14">
        <f>21-2.7</f>
        <v>18.3</v>
      </c>
    </row>
    <row r="18" spans="1:32" x14ac:dyDescent="0.3">
      <c r="A18" s="13"/>
      <c r="F18">
        <v>8</v>
      </c>
      <c r="H18" s="11"/>
    </row>
    <row r="19" spans="1:32" x14ac:dyDescent="0.3">
      <c r="A19" s="13"/>
      <c r="F19">
        <v>8</v>
      </c>
      <c r="I19" s="15"/>
    </row>
    <row r="20" spans="1:32" x14ac:dyDescent="0.3">
      <c r="A20" s="13"/>
      <c r="E20">
        <v>2</v>
      </c>
      <c r="F20">
        <v>8</v>
      </c>
      <c r="G20" t="s">
        <v>4</v>
      </c>
      <c r="H20" t="s">
        <v>32</v>
      </c>
      <c r="K20">
        <v>15.8</v>
      </c>
      <c r="L20">
        <v>17.64</v>
      </c>
      <c r="M20">
        <v>19.32</v>
      </c>
      <c r="N20">
        <v>19.68</v>
      </c>
      <c r="O20" s="13" t="s">
        <v>7</v>
      </c>
      <c r="Q20">
        <f>8.9+7.6</f>
        <v>16.5</v>
      </c>
      <c r="R20">
        <f>9.2+8.7</f>
        <v>17.899999999999999</v>
      </c>
      <c r="S20">
        <f>9.2+10.5</f>
        <v>19.7</v>
      </c>
      <c r="T20" s="14">
        <f>9.2+10.8</f>
        <v>20</v>
      </c>
    </row>
    <row r="21" spans="1:32" x14ac:dyDescent="0.3">
      <c r="A21" s="13"/>
      <c r="F21">
        <v>8</v>
      </c>
      <c r="G21" t="s">
        <v>4</v>
      </c>
      <c r="H21" t="s">
        <v>33</v>
      </c>
      <c r="K21">
        <v>11.1999999999999</v>
      </c>
      <c r="L21">
        <v>12.2</v>
      </c>
      <c r="M21">
        <v>13.48</v>
      </c>
      <c r="N21">
        <v>12.48</v>
      </c>
      <c r="O21" s="13" t="s">
        <v>8</v>
      </c>
      <c r="Q21">
        <f>14.4-2.1</f>
        <v>12.3</v>
      </c>
      <c r="R21">
        <f>15.3-2.2</f>
        <v>13.100000000000001</v>
      </c>
      <c r="S21">
        <f>16.6-2.1</f>
        <v>14.500000000000002</v>
      </c>
      <c r="T21" s="14">
        <f>15.8-2</f>
        <v>13.8</v>
      </c>
    </row>
    <row r="22" spans="1:32" x14ac:dyDescent="0.3">
      <c r="A22" s="13"/>
      <c r="F22">
        <v>8</v>
      </c>
      <c r="G22" s="11"/>
      <c r="H22" s="11"/>
      <c r="AC22" s="2" t="s">
        <v>20</v>
      </c>
      <c r="AF22" s="2">
        <v>0.7</v>
      </c>
    </row>
    <row r="23" spans="1:32" x14ac:dyDescent="0.3">
      <c r="A23" s="13"/>
      <c r="F23">
        <v>8</v>
      </c>
      <c r="G23" t="s">
        <v>3</v>
      </c>
      <c r="H23" t="s">
        <v>32</v>
      </c>
      <c r="K23">
        <v>21.3799999999999</v>
      </c>
      <c r="L23">
        <v>21.28</v>
      </c>
      <c r="M23">
        <v>22.3799999999999</v>
      </c>
      <c r="N23">
        <v>22.759999999999899</v>
      </c>
      <c r="Q23" t="s">
        <v>19</v>
      </c>
      <c r="R23" t="s">
        <v>19</v>
      </c>
      <c r="S23" t="s">
        <v>19</v>
      </c>
      <c r="T23" s="14" t="s">
        <v>19</v>
      </c>
      <c r="AC23">
        <f>8.7+10.3</f>
        <v>19</v>
      </c>
      <c r="AD23">
        <f>10.5+8.8</f>
        <v>19.3</v>
      </c>
      <c r="AE23">
        <f>10.5+8.8</f>
        <v>19.3</v>
      </c>
      <c r="AF23">
        <f>9.3+7.2</f>
        <v>16.5</v>
      </c>
    </row>
    <row r="24" spans="1:32" x14ac:dyDescent="0.3">
      <c r="A24" s="13"/>
      <c r="F24">
        <v>8</v>
      </c>
      <c r="G24" t="s">
        <v>3</v>
      </c>
      <c r="H24" t="s">
        <v>33</v>
      </c>
      <c r="K24">
        <v>15.02</v>
      </c>
      <c r="L24">
        <v>14.4399999999999</v>
      </c>
      <c r="M24">
        <v>14.32</v>
      </c>
      <c r="N24">
        <v>13.94</v>
      </c>
      <c r="Q24">
        <f>18.3-2.1</f>
        <v>16.2</v>
      </c>
      <c r="R24">
        <f>17.3-2.1</f>
        <v>15.200000000000001</v>
      </c>
      <c r="S24">
        <f>17.2-2</f>
        <v>15.2</v>
      </c>
      <c r="T24" s="14">
        <f>17-2.1</f>
        <v>14.9</v>
      </c>
      <c r="AC24" s="19">
        <f>AC23/AJ6</f>
        <v>22.132475619263143</v>
      </c>
      <c r="AD24" s="19">
        <f>AD23/AJ6</f>
        <v>22.481935760619933</v>
      </c>
      <c r="AE24" s="19">
        <f>AE23/AJ6</f>
        <v>22.481935760619933</v>
      </c>
      <c r="AF24" s="19">
        <f>AF23/AJ7</f>
        <v>23.001723253669407</v>
      </c>
    </row>
    <row r="25" spans="1:32" x14ac:dyDescent="0.3">
      <c r="A25" s="13"/>
      <c r="F25">
        <v>8</v>
      </c>
      <c r="H25" s="11"/>
    </row>
    <row r="26" spans="1:32" x14ac:dyDescent="0.3">
      <c r="A26" s="13"/>
      <c r="F26">
        <v>8</v>
      </c>
      <c r="G26" t="s">
        <v>6</v>
      </c>
      <c r="H26" t="s">
        <v>32</v>
      </c>
      <c r="K26">
        <v>17.059999999999999</v>
      </c>
      <c r="L26">
        <v>16.619999999999902</v>
      </c>
      <c r="M26">
        <v>16.6999999999999</v>
      </c>
      <c r="N26">
        <v>18.8599999999999</v>
      </c>
      <c r="Q26">
        <f>9+7</f>
        <v>16</v>
      </c>
      <c r="R26">
        <f>9.3+7.5</f>
        <v>16.8</v>
      </c>
      <c r="S26">
        <f>9.5+7.7</f>
        <v>17.2</v>
      </c>
      <c r="T26" s="18"/>
      <c r="U26" s="17"/>
      <c r="V26" s="17"/>
      <c r="W26" s="17"/>
      <c r="X26" s="17"/>
      <c r="Y26" s="17"/>
      <c r="Z26" s="17"/>
      <c r="AA26" s="17"/>
      <c r="AD26" t="s">
        <v>20</v>
      </c>
      <c r="AE26" t="s">
        <v>21</v>
      </c>
    </row>
    <row r="27" spans="1:32" x14ac:dyDescent="0.3">
      <c r="A27" s="13"/>
      <c r="F27">
        <v>8</v>
      </c>
      <c r="G27" t="s">
        <v>6</v>
      </c>
      <c r="H27" t="s">
        <v>33</v>
      </c>
      <c r="K27">
        <v>13.1</v>
      </c>
      <c r="L27">
        <v>12.82</v>
      </c>
      <c r="M27">
        <v>12.7</v>
      </c>
      <c r="N27">
        <v>14.58</v>
      </c>
      <c r="Q27">
        <f>15.4-2</f>
        <v>13.4</v>
      </c>
      <c r="R27">
        <f>15.5-2</f>
        <v>13.5</v>
      </c>
      <c r="S27">
        <f>15.7-2</f>
        <v>13.7</v>
      </c>
      <c r="T27" s="14">
        <f>17-2</f>
        <v>15</v>
      </c>
      <c r="AD27">
        <f>9+7</f>
        <v>16</v>
      </c>
      <c r="AE27" s="19">
        <f>AD27/AJ6</f>
        <v>18.63787420569528</v>
      </c>
    </row>
    <row r="28" spans="1:32" x14ac:dyDescent="0.3">
      <c r="A28" s="13"/>
      <c r="F28">
        <v>8</v>
      </c>
      <c r="H28" s="11"/>
    </row>
    <row r="29" spans="1:32" x14ac:dyDescent="0.3">
      <c r="A29" s="13"/>
      <c r="F29">
        <v>8</v>
      </c>
      <c r="G29" t="s">
        <v>5</v>
      </c>
      <c r="H29" t="s">
        <v>32</v>
      </c>
      <c r="K29">
        <v>17.88</v>
      </c>
      <c r="L29">
        <v>18.52</v>
      </c>
      <c r="M29">
        <v>20.239999999999998</v>
      </c>
      <c r="N29">
        <v>20.3</v>
      </c>
      <c r="Q29">
        <f>9.5+7.5</f>
        <v>17</v>
      </c>
      <c r="R29">
        <f>9+9.7</f>
        <v>18.7</v>
      </c>
      <c r="S29" t="s">
        <v>12</v>
      </c>
      <c r="T29" s="14" t="s">
        <v>12</v>
      </c>
      <c r="AC29" t="s">
        <v>20</v>
      </c>
      <c r="AD29">
        <f>9+8</f>
        <v>17</v>
      </c>
      <c r="AE29">
        <f>9.4+8.6</f>
        <v>18</v>
      </c>
    </row>
    <row r="30" spans="1:32" x14ac:dyDescent="0.3">
      <c r="A30" s="13"/>
      <c r="F30">
        <v>8</v>
      </c>
      <c r="G30" t="s">
        <v>5</v>
      </c>
      <c r="H30" t="s">
        <v>33</v>
      </c>
      <c r="K30">
        <v>13.5</v>
      </c>
      <c r="L30">
        <v>14.86</v>
      </c>
      <c r="M30">
        <v>16.399999999999899</v>
      </c>
      <c r="N30">
        <v>16.3</v>
      </c>
      <c r="Q30">
        <f>15.8-2</f>
        <v>13.8</v>
      </c>
      <c r="R30">
        <f>17-2</f>
        <v>15</v>
      </c>
      <c r="S30">
        <f>19.7-2</f>
        <v>17.7</v>
      </c>
      <c r="T30" s="14">
        <f>19.9-1.9</f>
        <v>18</v>
      </c>
      <c r="AD30" s="19">
        <f>AD29/AJ6</f>
        <v>19.802741343551233</v>
      </c>
      <c r="AE30" s="19">
        <f>AE29/AJ6</f>
        <v>20.96760848140719</v>
      </c>
    </row>
    <row r="31" spans="1:32" x14ac:dyDescent="0.3">
      <c r="A31" s="13"/>
      <c r="H31" s="11"/>
    </row>
    <row r="32" spans="1:32" x14ac:dyDescent="0.3">
      <c r="A32" s="13"/>
      <c r="F32">
        <v>15</v>
      </c>
      <c r="AC32" s="2">
        <v>0.7</v>
      </c>
      <c r="AF32" s="2">
        <v>0.8</v>
      </c>
    </row>
    <row r="33" spans="1:33" x14ac:dyDescent="0.3">
      <c r="A33" s="13"/>
      <c r="E33">
        <v>2</v>
      </c>
      <c r="F33">
        <v>15</v>
      </c>
      <c r="G33" t="s">
        <v>4</v>
      </c>
      <c r="H33" t="s">
        <v>32</v>
      </c>
      <c r="K33">
        <v>25</v>
      </c>
      <c r="L33">
        <v>25</v>
      </c>
      <c r="M33">
        <v>25</v>
      </c>
      <c r="N33">
        <v>25</v>
      </c>
      <c r="Q33" s="19">
        <f>AC33/$AJ$7</f>
        <v>23.001723253669407</v>
      </c>
      <c r="R33" s="19">
        <f t="shared" ref="R33" si="2">AD33/$AJ$7</f>
        <v>24.813980237291847</v>
      </c>
      <c r="S33" s="19">
        <f t="shared" ref="S33" si="3">AE33/$AJ$7</f>
        <v>27.183854754336572</v>
      </c>
      <c r="T33" s="20">
        <f>AF33/$AJ$8</f>
        <v>27.494457732038136</v>
      </c>
      <c r="U33" s="19"/>
      <c r="V33" s="19"/>
      <c r="W33" s="19"/>
      <c r="X33" s="19"/>
      <c r="Y33" s="19"/>
      <c r="Z33" s="19"/>
      <c r="AA33" s="19"/>
      <c r="AC33">
        <f>9+7.5</f>
        <v>16.5</v>
      </c>
      <c r="AD33">
        <f>9.3+8.5</f>
        <v>17.8</v>
      </c>
      <c r="AE33">
        <f>9.5+10</f>
        <v>19.5</v>
      </c>
      <c r="AF33">
        <f>8.5+7.1</f>
        <v>15.6</v>
      </c>
    </row>
    <row r="34" spans="1:33" x14ac:dyDescent="0.3">
      <c r="A34" s="13"/>
      <c r="F34">
        <v>15</v>
      </c>
      <c r="G34" t="s">
        <v>4</v>
      </c>
      <c r="H34" t="s">
        <v>33</v>
      </c>
      <c r="K34">
        <v>19.3799999999999</v>
      </c>
      <c r="L34">
        <v>19.739999999999899</v>
      </c>
      <c r="M34">
        <v>20.719999999999899</v>
      </c>
      <c r="N34">
        <v>22.08</v>
      </c>
      <c r="Q34" s="19">
        <f>AC34/$AJ$7</f>
        <v>19.098400519713387</v>
      </c>
      <c r="R34" s="19">
        <f t="shared" ref="R34:S34" si="4">AD34/$AJ$7</f>
        <v>20.074231203202391</v>
      </c>
      <c r="S34" s="19">
        <f t="shared" si="4"/>
        <v>22.304701336891547</v>
      </c>
      <c r="T34" s="20">
        <f>AF34/$AJ$8</f>
        <v>21.502075918645211</v>
      </c>
      <c r="U34" s="19"/>
      <c r="V34" s="19"/>
      <c r="W34" s="19"/>
      <c r="X34" s="19"/>
      <c r="Y34" s="19"/>
      <c r="Z34" s="19"/>
      <c r="AA34" s="19"/>
      <c r="AC34">
        <f>19.5-5.8</f>
        <v>13.7</v>
      </c>
      <c r="AD34">
        <f>19.7-5.3</f>
        <v>14.399999999999999</v>
      </c>
      <c r="AE34">
        <f>21.2-5.2</f>
        <v>16</v>
      </c>
      <c r="AF34">
        <f>19.8-7.6</f>
        <v>12.200000000000001</v>
      </c>
    </row>
    <row r="35" spans="1:33" x14ac:dyDescent="0.3">
      <c r="A35" s="13"/>
      <c r="F35">
        <v>15</v>
      </c>
      <c r="G35" s="11"/>
      <c r="H35" s="11"/>
      <c r="Q35" s="21"/>
      <c r="R35" s="21"/>
      <c r="S35" s="21"/>
      <c r="T35" s="22"/>
      <c r="U35" s="21"/>
      <c r="V35" s="21"/>
      <c r="W35" s="21"/>
      <c r="X35" s="21"/>
      <c r="Y35" s="21"/>
      <c r="Z35" s="21"/>
      <c r="AA35" s="21"/>
    </row>
    <row r="36" spans="1:33" x14ac:dyDescent="0.3">
      <c r="A36" s="13"/>
      <c r="F36">
        <v>15</v>
      </c>
      <c r="G36" t="s">
        <v>3</v>
      </c>
      <c r="H36" t="s">
        <v>32</v>
      </c>
      <c r="K36">
        <v>25</v>
      </c>
      <c r="L36">
        <v>25</v>
      </c>
      <c r="M36">
        <v>25</v>
      </c>
      <c r="N36">
        <v>25</v>
      </c>
      <c r="Q36" s="19">
        <f>AC36/$AJ$8</f>
        <v>25.027006397111634</v>
      </c>
      <c r="R36" s="19">
        <f t="shared" ref="R36:T36" si="5">AD36/$AJ$8</f>
        <v>25.203252921034959</v>
      </c>
      <c r="S36" s="19">
        <f t="shared" si="5"/>
        <v>26.78947163634485</v>
      </c>
      <c r="T36" s="20">
        <f t="shared" si="5"/>
        <v>28.551936875578065</v>
      </c>
      <c r="U36" s="19"/>
      <c r="V36" s="19"/>
      <c r="W36" s="19"/>
      <c r="X36" s="19"/>
      <c r="Y36" s="19"/>
      <c r="Z36" s="19"/>
      <c r="AA36" s="19"/>
      <c r="AC36">
        <f>7+7.2</f>
        <v>14.2</v>
      </c>
      <c r="AD36">
        <f>7+7.3</f>
        <v>14.3</v>
      </c>
      <c r="AE36">
        <f>7.5+7.7</f>
        <v>15.2</v>
      </c>
      <c r="AF36">
        <f>8+8.2</f>
        <v>16.2</v>
      </c>
      <c r="AG36" t="s">
        <v>22</v>
      </c>
    </row>
    <row r="37" spans="1:33" x14ac:dyDescent="0.3">
      <c r="A37" s="13"/>
      <c r="F37">
        <v>15</v>
      </c>
      <c r="G37" t="s">
        <v>3</v>
      </c>
      <c r="H37" t="s">
        <v>33</v>
      </c>
      <c r="K37">
        <v>21.3599999999999</v>
      </c>
      <c r="L37">
        <v>21.44</v>
      </c>
      <c r="M37">
        <v>21.5</v>
      </c>
      <c r="N37">
        <v>21.3599999999999</v>
      </c>
      <c r="Q37" s="19">
        <f>AC37/$AJ$8</f>
        <v>21.502075918645208</v>
      </c>
      <c r="R37" s="19">
        <f t="shared" ref="R37" si="6">AD37/$AJ$8</f>
        <v>22.735801586108455</v>
      </c>
      <c r="S37" s="19">
        <f t="shared" ref="S37" si="7">AE37/$AJ$8</f>
        <v>22.207062014338497</v>
      </c>
      <c r="T37" s="20">
        <f t="shared" ref="T37" si="8">AF37/$AJ$8</f>
        <v>22.91204811003178</v>
      </c>
      <c r="U37" s="19"/>
      <c r="V37" s="19"/>
      <c r="W37" s="19"/>
      <c r="X37" s="19"/>
      <c r="Y37" s="19"/>
      <c r="Z37" s="19"/>
      <c r="AA37" s="19"/>
      <c r="AC37">
        <f>19.2-7</f>
        <v>12.2</v>
      </c>
      <c r="AD37">
        <f>19.9-7</f>
        <v>12.899999999999999</v>
      </c>
      <c r="AE37">
        <f>20.3-7.7</f>
        <v>12.600000000000001</v>
      </c>
      <c r="AF37">
        <f>20-7</f>
        <v>13</v>
      </c>
    </row>
    <row r="38" spans="1:33" x14ac:dyDescent="0.3">
      <c r="A38" s="13"/>
      <c r="F38">
        <v>15</v>
      </c>
      <c r="H38" s="11"/>
      <c r="Q38" s="21"/>
      <c r="R38" s="21"/>
      <c r="S38" s="21"/>
      <c r="T38" s="22"/>
      <c r="U38" s="21"/>
      <c r="V38" s="21"/>
      <c r="W38" s="21"/>
      <c r="X38" s="21"/>
      <c r="Y38" s="21"/>
      <c r="Z38" s="21"/>
      <c r="AA38" s="21"/>
    </row>
    <row r="39" spans="1:33" x14ac:dyDescent="0.3">
      <c r="A39" s="13"/>
      <c r="F39">
        <v>15</v>
      </c>
      <c r="G39" t="s">
        <v>6</v>
      </c>
      <c r="H39" t="s">
        <v>32</v>
      </c>
      <c r="K39">
        <v>20.8799999999999</v>
      </c>
      <c r="L39">
        <v>21.56</v>
      </c>
      <c r="M39">
        <v>22.5399999999999</v>
      </c>
      <c r="N39">
        <v>25</v>
      </c>
      <c r="Q39" s="19">
        <f>AC39/$AJ$7</f>
        <v>22.304701336891547</v>
      </c>
      <c r="R39" s="19">
        <f t="shared" ref="R39:T39" si="9">AD39/$AJ$7</f>
        <v>23.001723253669407</v>
      </c>
      <c r="S39" s="19">
        <f t="shared" si="9"/>
        <v>23.977553937158412</v>
      </c>
      <c r="T39" s="20">
        <f t="shared" si="9"/>
        <v>24.395767087225131</v>
      </c>
      <c r="U39" s="19"/>
      <c r="V39" s="19"/>
      <c r="W39" s="19"/>
      <c r="X39" s="19"/>
      <c r="Y39" s="19"/>
      <c r="Z39" s="19"/>
      <c r="AA39" s="19"/>
      <c r="AC39">
        <f>9.5+6.5</f>
        <v>16</v>
      </c>
      <c r="AD39">
        <f>9.5+7</f>
        <v>16.5</v>
      </c>
      <c r="AE39">
        <f>10.1+7.1</f>
        <v>17.2</v>
      </c>
      <c r="AF39">
        <f>7.5+10</f>
        <v>17.5</v>
      </c>
      <c r="AG39" t="s">
        <v>23</v>
      </c>
    </row>
    <row r="40" spans="1:33" x14ac:dyDescent="0.3">
      <c r="A40" s="13"/>
      <c r="F40">
        <v>15</v>
      </c>
      <c r="G40" t="s">
        <v>6</v>
      </c>
      <c r="H40" t="s">
        <v>33</v>
      </c>
      <c r="K40">
        <v>20.719999999999899</v>
      </c>
      <c r="L40">
        <v>21.419999999999899</v>
      </c>
      <c r="M40">
        <v>21.0399999999999</v>
      </c>
      <c r="N40">
        <v>21.14</v>
      </c>
      <c r="Q40" s="19">
        <f>AC40/$AJ$7</f>
        <v>21.607679420113687</v>
      </c>
      <c r="R40" s="19">
        <f t="shared" ref="R40" si="10">AD40/$AJ$7</f>
        <v>23.001723253669407</v>
      </c>
      <c r="S40" s="19">
        <f t="shared" ref="S40" si="11">AE40/$AJ$7</f>
        <v>23.419936403736127</v>
      </c>
      <c r="T40" s="20">
        <f t="shared" ref="T40" si="12">AF40/$AJ$7</f>
        <v>24.116958320513987</v>
      </c>
      <c r="U40" s="19"/>
      <c r="V40" s="19"/>
      <c r="W40" s="19"/>
      <c r="X40" s="19"/>
      <c r="Y40" s="19"/>
      <c r="Z40" s="19"/>
      <c r="AA40" s="19"/>
      <c r="AC40">
        <f>21-5.5</f>
        <v>15.5</v>
      </c>
      <c r="AD40">
        <f>21.5-5</f>
        <v>16.5</v>
      </c>
      <c r="AE40">
        <f>23.5-6.7</f>
        <v>16.8</v>
      </c>
      <c r="AF40">
        <f>24.8-7.5</f>
        <v>17.3</v>
      </c>
    </row>
    <row r="41" spans="1:33" x14ac:dyDescent="0.3">
      <c r="A41" s="13"/>
      <c r="F41">
        <v>15</v>
      </c>
      <c r="H41" s="11"/>
      <c r="Q41" s="21"/>
      <c r="R41" s="21"/>
      <c r="S41" s="21"/>
      <c r="T41" s="22"/>
      <c r="U41" s="21"/>
      <c r="V41" s="21"/>
      <c r="W41" s="21"/>
      <c r="X41" s="21"/>
      <c r="Y41" s="21"/>
      <c r="Z41" s="21"/>
      <c r="AA41" s="21"/>
      <c r="AC41" s="2">
        <v>0.7</v>
      </c>
      <c r="AE41" s="2">
        <v>0.8</v>
      </c>
    </row>
    <row r="42" spans="1:33" x14ac:dyDescent="0.3">
      <c r="A42" s="13"/>
      <c r="F42">
        <v>15</v>
      </c>
      <c r="G42" t="s">
        <v>5</v>
      </c>
      <c r="H42" t="s">
        <v>32</v>
      </c>
      <c r="K42">
        <v>23.259999999999899</v>
      </c>
      <c r="L42">
        <v>24.1</v>
      </c>
      <c r="M42">
        <v>25</v>
      </c>
      <c r="N42">
        <v>25</v>
      </c>
      <c r="Q42" s="19">
        <f>AC42/$AJ$7</f>
        <v>23.698745170447268</v>
      </c>
      <c r="R42" s="19">
        <f>AD42/$AJ$7</f>
        <v>24.395767087225131</v>
      </c>
      <c r="S42" s="19">
        <f>AE42/$AJ$8</f>
        <v>24.674513349264995</v>
      </c>
      <c r="T42" s="20">
        <f>AF42/$AJ$8</f>
        <v>25.203252921034959</v>
      </c>
      <c r="U42" s="19"/>
      <c r="V42" s="19"/>
      <c r="W42" s="19"/>
      <c r="X42" s="19"/>
      <c r="Y42" s="19"/>
      <c r="Z42" s="19"/>
      <c r="AA42" s="19"/>
      <c r="AC42">
        <f>17</f>
        <v>17</v>
      </c>
      <c r="AD42">
        <f>17.5</f>
        <v>17.5</v>
      </c>
      <c r="AE42">
        <f>6+8</f>
        <v>14</v>
      </c>
      <c r="AF42">
        <f>6+8.3</f>
        <v>14.3</v>
      </c>
    </row>
    <row r="43" spans="1:33" x14ac:dyDescent="0.3">
      <c r="A43" s="13"/>
      <c r="F43">
        <v>15</v>
      </c>
      <c r="G43" t="s">
        <v>5</v>
      </c>
      <c r="H43" t="s">
        <v>33</v>
      </c>
      <c r="K43">
        <v>21.02</v>
      </c>
      <c r="L43">
        <v>21.5399999999999</v>
      </c>
      <c r="M43">
        <v>22.68</v>
      </c>
      <c r="N43">
        <v>23.32</v>
      </c>
      <c r="Q43" s="19">
        <f>AC43/$AJ$7</f>
        <v>20.910657503335827</v>
      </c>
      <c r="R43" s="19">
        <f>AD43/$AJ$7</f>
        <v>23.001723253669407</v>
      </c>
      <c r="S43" s="19">
        <f>AE43/$AJ$8</f>
        <v>20.26835025118196</v>
      </c>
      <c r="T43" s="20">
        <f>AF43/$AJ$8</f>
        <v>22.383308538261815</v>
      </c>
      <c r="U43" s="19"/>
      <c r="V43" s="19"/>
      <c r="W43" s="19"/>
      <c r="X43" s="19"/>
      <c r="Y43" s="19"/>
      <c r="Z43" s="19"/>
      <c r="AA43" s="19"/>
      <c r="AC43">
        <f>20.5-5.5</f>
        <v>15</v>
      </c>
      <c r="AD43">
        <f>22.8-6.3</f>
        <v>16.5</v>
      </c>
      <c r="AE43">
        <f>18.5-7</f>
        <v>11.5</v>
      </c>
      <c r="AF43">
        <f>19.7-7</f>
        <v>12.7</v>
      </c>
    </row>
    <row r="44" spans="1:33" s="33" customFormat="1" ht="15" thickBot="1" x14ac:dyDescent="0.35">
      <c r="A44" s="32"/>
      <c r="F44" s="33">
        <v>15</v>
      </c>
      <c r="H44" s="37"/>
      <c r="I44" s="32"/>
      <c r="O44" s="32"/>
      <c r="T44" s="34"/>
    </row>
    <row r="45" spans="1:33" s="30" customFormat="1" x14ac:dyDescent="0.3">
      <c r="A45" s="29"/>
      <c r="B45" s="30" t="s">
        <v>0</v>
      </c>
      <c r="C45" s="30" t="s">
        <v>50</v>
      </c>
      <c r="D45" s="30">
        <v>1.44</v>
      </c>
      <c r="E45" s="30">
        <v>1</v>
      </c>
      <c r="F45" s="30">
        <v>8</v>
      </c>
      <c r="I45" s="29"/>
      <c r="O45" s="29"/>
      <c r="T45" s="31"/>
    </row>
    <row r="46" spans="1:33" x14ac:dyDescent="0.3">
      <c r="A46" s="13"/>
      <c r="E46">
        <v>1</v>
      </c>
      <c r="F46">
        <v>8</v>
      </c>
      <c r="AE46" s="2">
        <v>0.6</v>
      </c>
    </row>
    <row r="47" spans="1:33" x14ac:dyDescent="0.3">
      <c r="A47" s="13"/>
      <c r="E47">
        <v>1</v>
      </c>
      <c r="F47">
        <v>8</v>
      </c>
      <c r="G47" t="s">
        <v>4</v>
      </c>
      <c r="H47" t="s">
        <v>32</v>
      </c>
      <c r="I47" s="13">
        <v>15.94</v>
      </c>
      <c r="J47">
        <v>15.719999999999899</v>
      </c>
      <c r="K47">
        <v>15.7799999999999</v>
      </c>
      <c r="L47">
        <v>15.84</v>
      </c>
      <c r="M47">
        <v>20.059999999999899</v>
      </c>
      <c r="N47">
        <v>20.82</v>
      </c>
      <c r="O47" s="13">
        <f>8.8+8</f>
        <v>16.8</v>
      </c>
      <c r="P47">
        <f>9+7.5</f>
        <v>16.5</v>
      </c>
      <c r="Q47">
        <f>9+8</f>
        <v>17</v>
      </c>
      <c r="R47">
        <f>9+8.5</f>
        <v>17.5</v>
      </c>
      <c r="S47" s="17">
        <f>AE47/$AJ$6</f>
        <v>20.268688198693614</v>
      </c>
      <c r="T47" s="18">
        <f>AF47/$AJ$6</f>
        <v>21.200581908978378</v>
      </c>
      <c r="U47" s="17"/>
      <c r="V47" s="17"/>
      <c r="W47" s="17"/>
      <c r="X47" s="17"/>
      <c r="Y47" s="17"/>
      <c r="Z47" s="17"/>
      <c r="AA47" s="17"/>
      <c r="AE47">
        <f>20.7-3.3</f>
        <v>17.399999999999999</v>
      </c>
      <c r="AF47">
        <f>21.5-3.3</f>
        <v>18.2</v>
      </c>
    </row>
    <row r="48" spans="1:33" x14ac:dyDescent="0.3">
      <c r="A48" s="13"/>
      <c r="E48">
        <v>1</v>
      </c>
      <c r="F48">
        <v>8</v>
      </c>
      <c r="G48" t="s">
        <v>4</v>
      </c>
      <c r="H48" t="s">
        <v>33</v>
      </c>
      <c r="I48" s="13">
        <v>16.68</v>
      </c>
      <c r="J48">
        <v>16.440000000000001</v>
      </c>
      <c r="K48">
        <v>16.12</v>
      </c>
      <c r="L48">
        <v>16.100000000000001</v>
      </c>
      <c r="M48">
        <v>17.899999999999999</v>
      </c>
      <c r="N48">
        <v>18.28</v>
      </c>
      <c r="O48" s="13">
        <f>22-3</f>
        <v>19</v>
      </c>
      <c r="P48">
        <f>21.8-3.1</f>
        <v>18.7</v>
      </c>
      <c r="Q48">
        <f>22-3</f>
        <v>19</v>
      </c>
      <c r="R48">
        <f>22-3</f>
        <v>19</v>
      </c>
      <c r="S48" s="17">
        <f>AE48/$AJ$6</f>
        <v>20.035714771122425</v>
      </c>
      <c r="T48" s="18">
        <f>AF48/$AJ$6</f>
        <v>20.851121767621596</v>
      </c>
      <c r="U48" s="17"/>
      <c r="V48" s="17"/>
      <c r="W48" s="17"/>
      <c r="X48" s="17"/>
      <c r="Y48" s="17"/>
      <c r="Z48" s="17"/>
      <c r="AA48" s="17"/>
      <c r="AE48">
        <f>20.5-3.3</f>
        <v>17.2</v>
      </c>
      <c r="AF48">
        <f>21.3-3.4</f>
        <v>17.900000000000002</v>
      </c>
    </row>
    <row r="49" spans="1:33" x14ac:dyDescent="0.3">
      <c r="A49" s="13"/>
      <c r="E49">
        <v>1</v>
      </c>
      <c r="F49">
        <v>8</v>
      </c>
      <c r="G49" s="11"/>
      <c r="H49" s="11"/>
      <c r="I49" s="13" t="s">
        <v>3</v>
      </c>
    </row>
    <row r="50" spans="1:33" x14ac:dyDescent="0.3">
      <c r="A50" s="13"/>
      <c r="E50">
        <v>1</v>
      </c>
      <c r="F50">
        <v>8</v>
      </c>
      <c r="G50" t="s">
        <v>3</v>
      </c>
      <c r="H50" t="s">
        <v>32</v>
      </c>
      <c r="I50" s="13">
        <v>25</v>
      </c>
      <c r="J50">
        <v>25</v>
      </c>
      <c r="K50">
        <v>25</v>
      </c>
      <c r="L50">
        <v>25</v>
      </c>
      <c r="M50">
        <v>25</v>
      </c>
      <c r="N50">
        <v>25</v>
      </c>
    </row>
    <row r="51" spans="1:33" x14ac:dyDescent="0.3">
      <c r="A51" s="13"/>
      <c r="E51">
        <v>1</v>
      </c>
      <c r="F51">
        <v>8</v>
      </c>
      <c r="G51" t="s">
        <v>3</v>
      </c>
      <c r="H51" t="s">
        <v>33</v>
      </c>
      <c r="I51" s="13">
        <v>20.82</v>
      </c>
      <c r="J51">
        <v>23</v>
      </c>
      <c r="K51">
        <v>25.5399999999999</v>
      </c>
      <c r="L51">
        <v>25.559999999999899</v>
      </c>
      <c r="M51">
        <v>24.96</v>
      </c>
      <c r="N51">
        <v>24.62</v>
      </c>
    </row>
    <row r="52" spans="1:33" x14ac:dyDescent="0.3">
      <c r="A52" s="13"/>
      <c r="E52">
        <v>1</v>
      </c>
      <c r="F52">
        <v>8</v>
      </c>
      <c r="H52" s="11"/>
      <c r="I52" s="13" t="s">
        <v>6</v>
      </c>
      <c r="AC52" s="2">
        <v>0.6</v>
      </c>
      <c r="AF52" s="2">
        <v>0.7</v>
      </c>
    </row>
    <row r="53" spans="1:33" x14ac:dyDescent="0.3">
      <c r="A53" s="13"/>
      <c r="E53">
        <v>1</v>
      </c>
      <c r="F53">
        <v>8</v>
      </c>
      <c r="G53" t="s">
        <v>6</v>
      </c>
      <c r="H53" t="s">
        <v>32</v>
      </c>
      <c r="K53">
        <v>15.8799999999999</v>
      </c>
      <c r="L53">
        <v>16.84</v>
      </c>
      <c r="M53">
        <v>16.979999999999901</v>
      </c>
      <c r="N53">
        <v>20.34</v>
      </c>
      <c r="Q53" s="17">
        <f>AC53/$AJ$6</f>
        <v>15.725706361055392</v>
      </c>
      <c r="R53" s="17">
        <f>AD53/$AJ$6</f>
        <v>16.075166502412181</v>
      </c>
      <c r="S53" s="17">
        <f>AE53/$AJ$6</f>
        <v>16.308139929983369</v>
      </c>
      <c r="T53" s="18">
        <f>AF53/$AJ$7</f>
        <v>17.146739152735378</v>
      </c>
      <c r="U53" s="17"/>
      <c r="V53" s="17"/>
      <c r="W53" s="17"/>
      <c r="X53" s="17"/>
      <c r="Y53" s="17"/>
      <c r="Z53" s="17"/>
      <c r="AA53" s="17"/>
      <c r="AC53">
        <f>8+5.5</f>
        <v>13.5</v>
      </c>
      <c r="AD53">
        <f>8+5.8</f>
        <v>13.8</v>
      </c>
      <c r="AE53">
        <f>8+6</f>
        <v>14</v>
      </c>
      <c r="AF53">
        <f>7+5.3</f>
        <v>12.3</v>
      </c>
    </row>
    <row r="54" spans="1:33" x14ac:dyDescent="0.3">
      <c r="A54" s="13"/>
      <c r="E54">
        <v>1</v>
      </c>
      <c r="F54">
        <v>8</v>
      </c>
      <c r="G54" t="s">
        <v>6</v>
      </c>
      <c r="H54" t="s">
        <v>33</v>
      </c>
      <c r="K54">
        <v>17.259999999999899</v>
      </c>
      <c r="L54">
        <v>18.119999999999902</v>
      </c>
      <c r="M54">
        <v>17.82</v>
      </c>
      <c r="N54">
        <v>19.3</v>
      </c>
      <c r="Q54" s="17">
        <f>AC54/$AJ$6</f>
        <v>19.802741343551233</v>
      </c>
      <c r="R54" s="17">
        <f t="shared" ref="R54" si="13">AD54/$AJ$6</f>
        <v>20.385174912479211</v>
      </c>
      <c r="S54" s="17">
        <f t="shared" ref="S54" si="14">AE54/$AJ$6</f>
        <v>20.152201484908023</v>
      </c>
      <c r="T54" s="18">
        <f>AF54/$AJ$7</f>
        <v>20.631848736624683</v>
      </c>
      <c r="U54" s="17"/>
      <c r="V54" s="17"/>
      <c r="W54" s="17"/>
      <c r="X54" s="17"/>
      <c r="Y54" s="17"/>
      <c r="Z54" s="17"/>
      <c r="AA54" s="17"/>
      <c r="AC54">
        <f>20-3</f>
        <v>17</v>
      </c>
      <c r="AD54">
        <f>20.7-3.2</f>
        <v>17.5</v>
      </c>
      <c r="AE54">
        <f>20.3-3</f>
        <v>17.3</v>
      </c>
      <c r="AF54">
        <f>18-3.2</f>
        <v>14.8</v>
      </c>
    </row>
    <row r="55" spans="1:33" x14ac:dyDescent="0.3">
      <c r="A55" s="13"/>
      <c r="E55">
        <v>1</v>
      </c>
      <c r="F55">
        <v>8</v>
      </c>
      <c r="H55" s="11"/>
      <c r="I55" s="13" t="s">
        <v>5</v>
      </c>
      <c r="AC55" s="2">
        <v>0.6</v>
      </c>
      <c r="AD55" s="2">
        <v>0.7</v>
      </c>
    </row>
    <row r="56" spans="1:33" x14ac:dyDescent="0.3">
      <c r="A56" s="13"/>
      <c r="E56">
        <v>1</v>
      </c>
      <c r="F56">
        <v>8</v>
      </c>
      <c r="G56" t="s">
        <v>5</v>
      </c>
      <c r="H56" t="s">
        <v>32</v>
      </c>
      <c r="K56">
        <v>15.92</v>
      </c>
      <c r="L56">
        <v>25</v>
      </c>
      <c r="M56">
        <v>25</v>
      </c>
      <c r="N56">
        <v>25</v>
      </c>
      <c r="Q56" s="17">
        <f>AC56/$AJ$6</f>
        <v>16.191653216197775</v>
      </c>
      <c r="R56" s="17">
        <f t="shared" ref="R56:T57" si="15">AD56/$AJ$7</f>
        <v>16.728526002668662</v>
      </c>
      <c r="S56" s="17">
        <f t="shared" si="15"/>
        <v>18.819591753002243</v>
      </c>
      <c r="T56" s="18">
        <f t="shared" si="15"/>
        <v>21.328870653402543</v>
      </c>
      <c r="U56" s="17"/>
      <c r="V56" s="17"/>
      <c r="W56" s="17"/>
      <c r="X56" s="17"/>
      <c r="Y56" s="17"/>
      <c r="Z56" s="17"/>
      <c r="AA56" s="17"/>
      <c r="AC56">
        <f>7.5+6.4</f>
        <v>13.9</v>
      </c>
      <c r="AD56">
        <f>6.5+5.5</f>
        <v>12</v>
      </c>
      <c r="AE56">
        <f>7+6.5</f>
        <v>13.5</v>
      </c>
      <c r="AF56">
        <f>7.3+8</f>
        <v>15.3</v>
      </c>
    </row>
    <row r="57" spans="1:33" x14ac:dyDescent="0.3">
      <c r="A57" s="13"/>
      <c r="E57">
        <v>1</v>
      </c>
      <c r="F57">
        <v>8</v>
      </c>
      <c r="G57" t="s">
        <v>5</v>
      </c>
      <c r="H57" t="s">
        <v>33</v>
      </c>
      <c r="K57">
        <v>17.119999999999902</v>
      </c>
      <c r="L57">
        <v>19.919999999999899</v>
      </c>
      <c r="M57">
        <v>21.1999999999999</v>
      </c>
      <c r="N57">
        <v>22.8799999999999</v>
      </c>
      <c r="Q57" s="17">
        <f>AC57/$AJ$6</f>
        <v>18.63787420569528</v>
      </c>
      <c r="R57" s="17">
        <f t="shared" si="15"/>
        <v>21.607679420113687</v>
      </c>
      <c r="S57" s="17">
        <f t="shared" si="15"/>
        <v>23.698745170447268</v>
      </c>
      <c r="T57" s="18">
        <f t="shared" si="15"/>
        <v>26.486832837558712</v>
      </c>
      <c r="U57" s="17"/>
      <c r="V57" s="17"/>
      <c r="W57" s="17"/>
      <c r="X57" s="17"/>
      <c r="Y57" s="17"/>
      <c r="Z57" s="17"/>
      <c r="AA57" s="17"/>
      <c r="AC57">
        <f>19.2-3.2</f>
        <v>16</v>
      </c>
      <c r="AD57">
        <f>19-3.5</f>
        <v>15.5</v>
      </c>
      <c r="AE57">
        <f>21-4</f>
        <v>17</v>
      </c>
      <c r="AF57">
        <f>23-4</f>
        <v>19</v>
      </c>
    </row>
    <row r="58" spans="1:33" x14ac:dyDescent="0.3">
      <c r="A58" s="13"/>
      <c r="E58">
        <v>1</v>
      </c>
      <c r="F58">
        <v>8</v>
      </c>
      <c r="H58" s="11"/>
    </row>
    <row r="59" spans="1:33" x14ac:dyDescent="0.3">
      <c r="A59" s="13"/>
      <c r="E59">
        <v>2</v>
      </c>
      <c r="F59">
        <v>8</v>
      </c>
    </row>
    <row r="60" spans="1:33" x14ac:dyDescent="0.3">
      <c r="A60" s="13"/>
      <c r="E60">
        <v>2</v>
      </c>
      <c r="F60">
        <v>8</v>
      </c>
      <c r="AE60" s="2">
        <v>0.6</v>
      </c>
      <c r="AF60" s="2">
        <v>0.7</v>
      </c>
    </row>
    <row r="61" spans="1:33" x14ac:dyDescent="0.3">
      <c r="A61" s="13"/>
      <c r="E61">
        <v>2</v>
      </c>
      <c r="F61">
        <v>8</v>
      </c>
      <c r="G61" t="s">
        <v>4</v>
      </c>
      <c r="H61" t="s">
        <v>32</v>
      </c>
      <c r="J61" s="16"/>
      <c r="K61">
        <v>15.42</v>
      </c>
      <c r="L61">
        <v>16.899999999999899</v>
      </c>
      <c r="M61">
        <v>20.6999999999999</v>
      </c>
      <c r="N61">
        <v>22.12</v>
      </c>
      <c r="O61" s="13">
        <f>19-1.7</f>
        <v>17.3</v>
      </c>
      <c r="P61" s="16" t="s">
        <v>9</v>
      </c>
      <c r="Q61">
        <f>19.3-1.6</f>
        <v>17.7</v>
      </c>
      <c r="R61">
        <f>20.4-1.6</f>
        <v>18.799999999999997</v>
      </c>
      <c r="S61" s="17">
        <f>AE61/AJ6</f>
        <v>21.550042050335168</v>
      </c>
      <c r="T61" s="18">
        <f>AF61/AJ7</f>
        <v>19.934826819846823</v>
      </c>
      <c r="U61" s="17"/>
      <c r="V61" s="17"/>
      <c r="W61" s="17"/>
      <c r="X61" s="17"/>
      <c r="Y61" s="17"/>
      <c r="Z61" s="17"/>
      <c r="AA61" s="17"/>
      <c r="AE61">
        <f>20.3-1.8</f>
        <v>18.5</v>
      </c>
      <c r="AF61">
        <f>16.3-2</f>
        <v>14.3</v>
      </c>
    </row>
    <row r="62" spans="1:33" x14ac:dyDescent="0.3">
      <c r="A62" s="13"/>
      <c r="E62">
        <v>2</v>
      </c>
      <c r="F62">
        <v>8</v>
      </c>
      <c r="G62" t="s">
        <v>4</v>
      </c>
      <c r="H62" t="s">
        <v>33</v>
      </c>
      <c r="J62" s="16"/>
      <c r="K62">
        <v>16.919999999999899</v>
      </c>
      <c r="L62">
        <v>18.239999999999899</v>
      </c>
      <c r="M62">
        <v>20.7</v>
      </c>
      <c r="N62">
        <v>21.319999999999901</v>
      </c>
      <c r="O62" s="13">
        <f>8.8+7.1</f>
        <v>15.9</v>
      </c>
      <c r="P62" s="16" t="s">
        <v>9</v>
      </c>
      <c r="Q62">
        <f>8.6+7.5</f>
        <v>16.100000000000001</v>
      </c>
      <c r="R62">
        <f>9+8.5</f>
        <v>17.5</v>
      </c>
      <c r="S62" s="17">
        <f>AE62/AJ6</f>
        <v>20.268688198693614</v>
      </c>
      <c r="T62" s="18">
        <f>AF62/AJ7</f>
        <v>21.468275036758115</v>
      </c>
      <c r="U62" s="17"/>
      <c r="V62" s="17"/>
      <c r="W62" s="17"/>
      <c r="X62" s="17"/>
      <c r="Y62" s="17"/>
      <c r="Z62" s="17"/>
      <c r="AA62" s="17"/>
      <c r="AE62">
        <f>9+8.4</f>
        <v>17.399999999999999</v>
      </c>
      <c r="AF62">
        <f>7.5+7.9</f>
        <v>15.4</v>
      </c>
    </row>
    <row r="63" spans="1:33" x14ac:dyDescent="0.3">
      <c r="A63" s="13"/>
      <c r="E63">
        <v>2</v>
      </c>
      <c r="F63">
        <v>8</v>
      </c>
      <c r="G63" s="11"/>
      <c r="H63" s="11"/>
      <c r="AC63" s="2">
        <v>0.7</v>
      </c>
    </row>
    <row r="64" spans="1:33" x14ac:dyDescent="0.3">
      <c r="A64" s="13"/>
      <c r="E64">
        <v>2</v>
      </c>
      <c r="F64">
        <v>8</v>
      </c>
      <c r="G64" t="s">
        <v>3</v>
      </c>
      <c r="H64" t="s">
        <v>32</v>
      </c>
      <c r="J64" s="16"/>
      <c r="K64">
        <v>25</v>
      </c>
      <c r="L64">
        <v>25</v>
      </c>
      <c r="M64">
        <v>25</v>
      </c>
      <c r="N64">
        <v>23.079999999999899</v>
      </c>
      <c r="O64" s="23">
        <f>AC64/AJ7</f>
        <v>18.401378602935527</v>
      </c>
      <c r="P64" s="24" t="s">
        <v>9</v>
      </c>
      <c r="Q64" s="17">
        <f>AD64/$AJ$7</f>
        <v>19.934826819846823</v>
      </c>
      <c r="R64" s="17">
        <f t="shared" ref="R64:T64" si="16">AE64/$AJ$7</f>
        <v>21.050061886691399</v>
      </c>
      <c r="S64" s="17">
        <f t="shared" si="16"/>
        <v>23.698745170447268</v>
      </c>
      <c r="T64" s="18">
        <f t="shared" si="16"/>
        <v>24.116958320513987</v>
      </c>
      <c r="U64" s="17"/>
      <c r="V64" s="17"/>
      <c r="W64" s="17"/>
      <c r="X64" s="17"/>
      <c r="Y64" s="17"/>
      <c r="Z64" s="17"/>
      <c r="AA64" s="17"/>
      <c r="AC64">
        <f>6.5+6.7</f>
        <v>13.2</v>
      </c>
      <c r="AD64">
        <f>7.5+6.8</f>
        <v>14.3</v>
      </c>
      <c r="AE64">
        <f>8+7.1</f>
        <v>15.1</v>
      </c>
      <c r="AF64">
        <f>8.6+8.4</f>
        <v>17</v>
      </c>
      <c r="AG64">
        <f>8.8+8.5</f>
        <v>17.3</v>
      </c>
    </row>
    <row r="65" spans="1:33" x14ac:dyDescent="0.3">
      <c r="A65" s="13"/>
      <c r="E65">
        <v>2</v>
      </c>
      <c r="F65">
        <v>8</v>
      </c>
      <c r="G65" t="s">
        <v>3</v>
      </c>
      <c r="H65" t="s">
        <v>33</v>
      </c>
      <c r="J65" s="16"/>
      <c r="K65">
        <v>23.64</v>
      </c>
      <c r="L65">
        <v>23.46</v>
      </c>
      <c r="M65">
        <v>22.059999999999899</v>
      </c>
      <c r="N65">
        <v>20.32</v>
      </c>
      <c r="O65" s="23">
        <f>AC65/AJ7</f>
        <v>23.698745170447268</v>
      </c>
      <c r="P65" s="24" t="s">
        <v>9</v>
      </c>
      <c r="Q65" s="17">
        <f>AD65/$AJ$7</f>
        <v>22.862318870313835</v>
      </c>
      <c r="R65" s="17">
        <f t="shared" ref="R65" si="17">AE65/$AJ$7</f>
        <v>23.419936403736127</v>
      </c>
      <c r="S65" s="17">
        <f t="shared" ref="S65" si="18">AF65/$AJ$7</f>
        <v>21.050061886691399</v>
      </c>
      <c r="T65" s="18">
        <f t="shared" ref="T65" si="19">AG65/$AJ$7</f>
        <v>18.680187369646667</v>
      </c>
      <c r="U65" s="17"/>
      <c r="V65" s="17"/>
      <c r="W65" s="17"/>
      <c r="X65" s="17"/>
      <c r="Y65" s="17"/>
      <c r="Z65" s="17"/>
      <c r="AA65" s="17"/>
      <c r="AC65">
        <f>19-2</f>
        <v>17</v>
      </c>
      <c r="AD65">
        <f>19-2.6</f>
        <v>16.399999999999999</v>
      </c>
      <c r="AE65">
        <f>19.5-2.7</f>
        <v>16.8</v>
      </c>
      <c r="AF65">
        <f>18.3-3.2</f>
        <v>15.100000000000001</v>
      </c>
      <c r="AG65">
        <f>16.7-3.3</f>
        <v>13.399999999999999</v>
      </c>
    </row>
    <row r="66" spans="1:33" x14ac:dyDescent="0.3">
      <c r="A66" s="13"/>
      <c r="E66">
        <v>2</v>
      </c>
      <c r="F66">
        <v>8</v>
      </c>
      <c r="H66" s="11"/>
    </row>
    <row r="67" spans="1:33" x14ac:dyDescent="0.3">
      <c r="A67" s="13"/>
      <c r="E67">
        <v>2</v>
      </c>
      <c r="F67">
        <v>8</v>
      </c>
      <c r="G67" t="s">
        <v>6</v>
      </c>
      <c r="H67" t="s">
        <v>32</v>
      </c>
      <c r="K67">
        <v>13.92</v>
      </c>
      <c r="L67">
        <v>14.26</v>
      </c>
      <c r="M67">
        <v>15.3599999999999</v>
      </c>
      <c r="N67">
        <v>18.0399999999999</v>
      </c>
      <c r="Q67">
        <f>8.7+5.6</f>
        <v>14.299999999999999</v>
      </c>
      <c r="R67">
        <f>8.7+6.8</f>
        <v>15.5</v>
      </c>
      <c r="S67" s="17">
        <f>AE67/$AJ$6</f>
        <v>15.842193074840988</v>
      </c>
      <c r="T67" s="18">
        <f>AF67/$AJ$6</f>
        <v>16.657600071340156</v>
      </c>
      <c r="U67" s="17"/>
      <c r="V67" s="17"/>
      <c r="W67" s="17"/>
      <c r="X67" s="17"/>
      <c r="Y67" s="17"/>
      <c r="Z67" s="17"/>
      <c r="AA67" s="17"/>
      <c r="AD67" t="s">
        <v>24</v>
      </c>
      <c r="AE67">
        <f>7.4+6.2</f>
        <v>13.600000000000001</v>
      </c>
      <c r="AF67">
        <f>8+6.3</f>
        <v>14.3</v>
      </c>
    </row>
    <row r="68" spans="1:33" x14ac:dyDescent="0.3">
      <c r="A68" s="13"/>
      <c r="E68">
        <v>2</v>
      </c>
      <c r="F68">
        <v>8</v>
      </c>
      <c r="G68" t="s">
        <v>6</v>
      </c>
      <c r="H68" t="s">
        <v>33</v>
      </c>
      <c r="K68">
        <v>16.18</v>
      </c>
      <c r="L68">
        <v>17.439999999999898</v>
      </c>
      <c r="M68">
        <v>18.579999999999998</v>
      </c>
      <c r="N68">
        <v>20.8599999999999</v>
      </c>
      <c r="Q68">
        <f>18.8-1.2</f>
        <v>17.600000000000001</v>
      </c>
      <c r="R68">
        <f>20.3-1.3</f>
        <v>19</v>
      </c>
      <c r="S68" s="17">
        <f>AE68/$AJ$6</f>
        <v>18.870847633266468</v>
      </c>
      <c r="T68" s="18">
        <f>AF68/$AJ$6</f>
        <v>21.666528764120759</v>
      </c>
      <c r="U68" s="17"/>
      <c r="V68" s="17"/>
      <c r="W68" s="17"/>
      <c r="X68" s="17"/>
      <c r="Y68" s="17"/>
      <c r="Z68" s="17"/>
      <c r="AA68" s="17"/>
      <c r="AE68">
        <f>17.7-1.5</f>
        <v>16.2</v>
      </c>
      <c r="AF68">
        <f>20.2-1.6</f>
        <v>18.599999999999998</v>
      </c>
    </row>
    <row r="69" spans="1:33" x14ac:dyDescent="0.3">
      <c r="A69" s="13"/>
      <c r="E69">
        <v>2</v>
      </c>
      <c r="F69">
        <v>8</v>
      </c>
      <c r="H69" s="11"/>
      <c r="AC69" s="9">
        <v>0.6</v>
      </c>
      <c r="AD69" s="9">
        <v>0.7</v>
      </c>
      <c r="AE69" s="9">
        <v>0.8</v>
      </c>
      <c r="AF69" s="9">
        <v>0.8</v>
      </c>
    </row>
    <row r="70" spans="1:33" x14ac:dyDescent="0.3">
      <c r="A70" s="13"/>
      <c r="E70">
        <v>2</v>
      </c>
      <c r="F70">
        <v>8</v>
      </c>
      <c r="G70" t="s">
        <v>5</v>
      </c>
      <c r="H70" t="s">
        <v>32</v>
      </c>
      <c r="K70">
        <v>15.24</v>
      </c>
      <c r="L70">
        <v>25</v>
      </c>
      <c r="M70">
        <v>25</v>
      </c>
      <c r="N70">
        <v>25</v>
      </c>
      <c r="Q70" s="25"/>
      <c r="R70" s="25"/>
      <c r="S70" s="25"/>
      <c r="T70" s="26"/>
      <c r="U70" s="25"/>
      <c r="V70" s="25"/>
      <c r="W70" s="25"/>
      <c r="X70" s="25"/>
      <c r="Y70" s="25"/>
      <c r="Z70" s="25"/>
      <c r="AA70" s="25"/>
      <c r="AC70">
        <f>7.3+5.5</f>
        <v>12.8</v>
      </c>
      <c r="AD70">
        <f>7.2+5.5</f>
        <v>12.7</v>
      </c>
      <c r="AE70">
        <f>5.3+4.9</f>
        <v>10.199999999999999</v>
      </c>
      <c r="AF70">
        <f>5.5+5.5</f>
        <v>11</v>
      </c>
    </row>
    <row r="71" spans="1:33" x14ac:dyDescent="0.3">
      <c r="A71" s="13"/>
      <c r="E71">
        <v>2</v>
      </c>
      <c r="F71">
        <v>8</v>
      </c>
      <c r="G71" t="s">
        <v>5</v>
      </c>
      <c r="H71" t="s">
        <v>33</v>
      </c>
      <c r="K71">
        <v>18.600000000000001</v>
      </c>
      <c r="L71">
        <v>26.1999999999999</v>
      </c>
      <c r="M71">
        <v>28.3799999999999</v>
      </c>
      <c r="N71">
        <v>28.16</v>
      </c>
      <c r="Q71" s="17">
        <f>AC71/AJ6</f>
        <v>18.171927350552899</v>
      </c>
      <c r="R71" s="17">
        <f>AD71/AJ7</f>
        <v>23.977553937158412</v>
      </c>
      <c r="S71" s="17">
        <f>AE71/$AJ$8</f>
        <v>23.793280729648387</v>
      </c>
      <c r="T71" s="18">
        <f>AF71/$AJ$8</f>
        <v>26.436978588498206</v>
      </c>
      <c r="U71" s="17"/>
      <c r="V71" s="17"/>
      <c r="W71" s="17"/>
      <c r="X71" s="17"/>
      <c r="Y71" s="17"/>
      <c r="Z71" s="17"/>
      <c r="AA71" s="17"/>
      <c r="AC71">
        <f>17-1.4</f>
        <v>15.6</v>
      </c>
      <c r="AD71">
        <f>19-1.8</f>
        <v>17.2</v>
      </c>
      <c r="AE71">
        <f>15.8-2.3</f>
        <v>13.5</v>
      </c>
      <c r="AF71">
        <f>17.9-2.9</f>
        <v>14.999999999999998</v>
      </c>
    </row>
    <row r="72" spans="1:33" x14ac:dyDescent="0.3">
      <c r="A72" s="13"/>
      <c r="E72">
        <v>2</v>
      </c>
      <c r="F72">
        <v>15</v>
      </c>
      <c r="H72" s="11"/>
    </row>
    <row r="73" spans="1:33" x14ac:dyDescent="0.3">
      <c r="A73" s="13"/>
      <c r="E73">
        <v>2</v>
      </c>
      <c r="F73">
        <v>15</v>
      </c>
    </row>
    <row r="74" spans="1:33" x14ac:dyDescent="0.3">
      <c r="A74" s="13"/>
      <c r="E74">
        <v>2</v>
      </c>
      <c r="F74">
        <v>15</v>
      </c>
      <c r="G74" t="s">
        <v>4</v>
      </c>
      <c r="H74" t="s">
        <v>32</v>
      </c>
      <c r="K74">
        <v>27.3</v>
      </c>
      <c r="L74">
        <v>27.18</v>
      </c>
      <c r="M74">
        <v>26.899999999999899</v>
      </c>
      <c r="N74">
        <v>26.739999999999899</v>
      </c>
      <c r="P74" s="16" t="s">
        <v>25</v>
      </c>
    </row>
    <row r="75" spans="1:33" x14ac:dyDescent="0.3">
      <c r="A75" s="13"/>
      <c r="E75">
        <v>2</v>
      </c>
      <c r="F75">
        <v>15</v>
      </c>
      <c r="G75" t="s">
        <v>4</v>
      </c>
      <c r="H75" t="s">
        <v>33</v>
      </c>
      <c r="K75">
        <v>26.58</v>
      </c>
      <c r="L75">
        <v>26.899999999999899</v>
      </c>
      <c r="M75">
        <v>27.6</v>
      </c>
      <c r="N75">
        <v>27.559999999999899</v>
      </c>
    </row>
    <row r="76" spans="1:33" x14ac:dyDescent="0.3">
      <c r="A76" s="13"/>
      <c r="E76">
        <v>2</v>
      </c>
      <c r="F76">
        <v>15</v>
      </c>
      <c r="G76" s="11"/>
    </row>
    <row r="77" spans="1:33" x14ac:dyDescent="0.3">
      <c r="A77" s="13"/>
      <c r="E77">
        <v>2</v>
      </c>
      <c r="F77">
        <v>15</v>
      </c>
      <c r="G77" t="s">
        <v>3</v>
      </c>
      <c r="H77" t="s">
        <v>32</v>
      </c>
      <c r="K77">
        <v>25</v>
      </c>
      <c r="L77">
        <v>25</v>
      </c>
      <c r="M77">
        <v>25</v>
      </c>
      <c r="N77">
        <v>25</v>
      </c>
    </row>
    <row r="78" spans="1:33" x14ac:dyDescent="0.3">
      <c r="A78" s="13"/>
      <c r="E78">
        <v>2</v>
      </c>
      <c r="F78">
        <v>15</v>
      </c>
      <c r="G78" t="s">
        <v>3</v>
      </c>
      <c r="H78" t="s">
        <v>33</v>
      </c>
      <c r="K78">
        <v>27.0399999999999</v>
      </c>
      <c r="L78">
        <v>26.1</v>
      </c>
      <c r="M78">
        <v>27.94</v>
      </c>
      <c r="N78">
        <v>27.72</v>
      </c>
    </row>
    <row r="79" spans="1:33" x14ac:dyDescent="0.3">
      <c r="A79" s="13"/>
      <c r="E79">
        <v>2</v>
      </c>
      <c r="F79">
        <v>15</v>
      </c>
    </row>
    <row r="80" spans="1:33" x14ac:dyDescent="0.3">
      <c r="A80" s="13"/>
      <c r="E80">
        <v>2</v>
      </c>
      <c r="F80">
        <v>15</v>
      </c>
      <c r="G80" t="s">
        <v>6</v>
      </c>
      <c r="H80" t="s">
        <v>32</v>
      </c>
      <c r="K80">
        <v>25</v>
      </c>
      <c r="L80">
        <v>25</v>
      </c>
      <c r="M80">
        <v>25</v>
      </c>
      <c r="N80">
        <v>25</v>
      </c>
    </row>
    <row r="81" spans="1:30" x14ac:dyDescent="0.3">
      <c r="A81" s="13"/>
      <c r="E81">
        <v>2</v>
      </c>
      <c r="F81">
        <v>15</v>
      </c>
      <c r="G81" t="s">
        <v>6</v>
      </c>
      <c r="H81" t="s">
        <v>33</v>
      </c>
      <c r="K81">
        <v>28.0399999999999</v>
      </c>
      <c r="L81">
        <v>25.099999999999898</v>
      </c>
      <c r="M81">
        <v>25.399999999999899</v>
      </c>
      <c r="N81">
        <v>25.94</v>
      </c>
    </row>
    <row r="82" spans="1:30" x14ac:dyDescent="0.3">
      <c r="A82" s="13"/>
      <c r="E82">
        <v>2</v>
      </c>
      <c r="F82">
        <v>15</v>
      </c>
    </row>
    <row r="83" spans="1:30" x14ac:dyDescent="0.3">
      <c r="A83" s="13"/>
      <c r="E83">
        <v>2</v>
      </c>
      <c r="F83">
        <v>15</v>
      </c>
      <c r="G83" t="s">
        <v>5</v>
      </c>
      <c r="H83" t="s">
        <v>32</v>
      </c>
      <c r="K83">
        <v>26.8599999999999</v>
      </c>
      <c r="L83">
        <v>26.98</v>
      </c>
      <c r="M83">
        <v>26.6</v>
      </c>
      <c r="N83">
        <v>26.64</v>
      </c>
    </row>
    <row r="84" spans="1:30" x14ac:dyDescent="0.3">
      <c r="A84" s="13"/>
      <c r="E84">
        <v>2</v>
      </c>
      <c r="F84">
        <v>15</v>
      </c>
      <c r="G84" t="s">
        <v>5</v>
      </c>
      <c r="H84" t="s">
        <v>33</v>
      </c>
      <c r="K84">
        <v>27.44</v>
      </c>
      <c r="L84">
        <v>26.08</v>
      </c>
      <c r="M84">
        <v>26.6</v>
      </c>
      <c r="N84">
        <v>27.239999999999899</v>
      </c>
    </row>
    <row r="85" spans="1:30" s="33" customFormat="1" ht="15" thickBot="1" x14ac:dyDescent="0.35">
      <c r="A85" s="32"/>
      <c r="E85" s="33">
        <v>2</v>
      </c>
      <c r="F85" s="33">
        <v>15</v>
      </c>
      <c r="I85" s="32"/>
      <c r="O85" s="32"/>
      <c r="T85" s="34"/>
    </row>
    <row r="86" spans="1:30" x14ac:dyDescent="0.3">
      <c r="B86" t="s">
        <v>1</v>
      </c>
      <c r="C86" t="s">
        <v>53</v>
      </c>
      <c r="D86">
        <v>0.28999999999999998</v>
      </c>
      <c r="E86">
        <v>1</v>
      </c>
      <c r="F86">
        <v>8</v>
      </c>
    </row>
    <row r="87" spans="1:30" x14ac:dyDescent="0.3">
      <c r="E87">
        <v>1</v>
      </c>
      <c r="F87">
        <v>8</v>
      </c>
      <c r="I87" s="13" t="s">
        <v>4</v>
      </c>
    </row>
    <row r="88" spans="1:30" x14ac:dyDescent="0.3">
      <c r="E88">
        <v>1</v>
      </c>
      <c r="F88">
        <v>8</v>
      </c>
      <c r="G88" t="s">
        <v>4</v>
      </c>
      <c r="H88" t="s">
        <v>32</v>
      </c>
      <c r="I88" s="13">
        <v>13.5399999999999</v>
      </c>
      <c r="J88">
        <v>13.6999999999999</v>
      </c>
      <c r="K88">
        <v>13.24</v>
      </c>
      <c r="L88">
        <v>13.0399999999999</v>
      </c>
      <c r="M88">
        <v>14.32</v>
      </c>
      <c r="N88">
        <v>16.3</v>
      </c>
      <c r="O88" s="13">
        <f>7.7+7</f>
        <v>14.7</v>
      </c>
      <c r="P88">
        <f>7.7+7.1</f>
        <v>14.8</v>
      </c>
      <c r="Q88">
        <f>7.4+7.1</f>
        <v>14.5</v>
      </c>
      <c r="R88">
        <f>7+7.3</f>
        <v>14.3</v>
      </c>
      <c r="S88">
        <f>7.7+8.7</f>
        <v>16.399999999999999</v>
      </c>
      <c r="T88" s="14">
        <f>8.7+10</f>
        <v>18.7</v>
      </c>
    </row>
    <row r="89" spans="1:30" x14ac:dyDescent="0.3">
      <c r="E89">
        <v>1</v>
      </c>
      <c r="F89">
        <v>8</v>
      </c>
      <c r="G89" t="s">
        <v>4</v>
      </c>
      <c r="H89" t="s">
        <v>33</v>
      </c>
      <c r="I89" s="13">
        <v>10.2799999999999</v>
      </c>
      <c r="J89">
        <v>10.24</v>
      </c>
      <c r="K89">
        <v>9.58</v>
      </c>
      <c r="L89">
        <v>9.3999999999999897</v>
      </c>
      <c r="M89">
        <v>9.64</v>
      </c>
      <c r="N89">
        <v>10.5</v>
      </c>
      <c r="O89" s="13">
        <f>12.8-1.3</f>
        <v>11.5</v>
      </c>
      <c r="P89">
        <f>13-1.3</f>
        <v>11.7</v>
      </c>
      <c r="Q89">
        <f>12.3-1.5</f>
        <v>10.8</v>
      </c>
      <c r="R89">
        <f>12.2-1.4</f>
        <v>10.799999999999999</v>
      </c>
      <c r="S89">
        <f>12.5-1.5</f>
        <v>11</v>
      </c>
      <c r="T89" s="14">
        <f>13.3-1.7</f>
        <v>11.600000000000001</v>
      </c>
    </row>
    <row r="90" spans="1:30" x14ac:dyDescent="0.3">
      <c r="E90">
        <v>1</v>
      </c>
      <c r="F90">
        <v>8</v>
      </c>
      <c r="G90" s="11"/>
      <c r="H90" s="11"/>
      <c r="I90" s="13" t="s">
        <v>3</v>
      </c>
      <c r="AD90" s="2"/>
    </row>
    <row r="91" spans="1:30" x14ac:dyDescent="0.3">
      <c r="E91">
        <v>1</v>
      </c>
      <c r="F91">
        <v>8</v>
      </c>
      <c r="G91" t="s">
        <v>3</v>
      </c>
      <c r="H91" t="s">
        <v>32</v>
      </c>
      <c r="I91" s="13">
        <v>15.02</v>
      </c>
      <c r="J91">
        <v>16.18</v>
      </c>
      <c r="K91">
        <v>17.32</v>
      </c>
      <c r="L91">
        <v>17.559999999999899</v>
      </c>
      <c r="M91">
        <v>20.8799999999999</v>
      </c>
      <c r="N91">
        <v>19.420000000000002</v>
      </c>
      <c r="O91" s="13">
        <f>8+9</f>
        <v>17</v>
      </c>
      <c r="P91">
        <f>8.7+9.2</f>
        <v>17.899999999999999</v>
      </c>
      <c r="Q91">
        <f>8.9+10.3</f>
        <v>19.200000000000003</v>
      </c>
      <c r="R91">
        <f>9+10.5</f>
        <v>19.5</v>
      </c>
      <c r="S91">
        <f>9+11</f>
        <v>20</v>
      </c>
      <c r="T91" s="14">
        <f>9.5+11</f>
        <v>20.5</v>
      </c>
    </row>
    <row r="92" spans="1:30" x14ac:dyDescent="0.3">
      <c r="E92">
        <v>1</v>
      </c>
      <c r="F92">
        <v>8</v>
      </c>
      <c r="G92" t="s">
        <v>3</v>
      </c>
      <c r="H92" t="s">
        <v>33</v>
      </c>
      <c r="I92" s="13">
        <v>11.64</v>
      </c>
      <c r="J92">
        <v>12.299999999999899</v>
      </c>
      <c r="K92">
        <v>12.26</v>
      </c>
      <c r="L92">
        <v>12.04</v>
      </c>
      <c r="M92">
        <v>12.84</v>
      </c>
      <c r="N92">
        <v>11.82</v>
      </c>
      <c r="O92" s="13">
        <f>14.4-1.3</f>
        <v>13.1</v>
      </c>
      <c r="P92">
        <f>14.9-1.4</f>
        <v>13.5</v>
      </c>
      <c r="Q92">
        <f>14.9-1.6</f>
        <v>13.3</v>
      </c>
      <c r="R92">
        <f>14.8-1.4</f>
        <v>13.4</v>
      </c>
      <c r="S92">
        <f>15.4-1.6</f>
        <v>13.8</v>
      </c>
      <c r="T92" s="14">
        <f>14.6-1.6</f>
        <v>13</v>
      </c>
    </row>
    <row r="93" spans="1:30" x14ac:dyDescent="0.3">
      <c r="E93">
        <v>1</v>
      </c>
      <c r="F93">
        <v>8</v>
      </c>
      <c r="H93" s="11"/>
      <c r="I93" s="13" t="s">
        <v>6</v>
      </c>
    </row>
    <row r="94" spans="1:30" x14ac:dyDescent="0.3">
      <c r="E94">
        <v>1</v>
      </c>
      <c r="F94">
        <v>8</v>
      </c>
      <c r="G94" t="s">
        <v>6</v>
      </c>
      <c r="H94" t="s">
        <v>32</v>
      </c>
      <c r="I94" s="13">
        <v>14.5</v>
      </c>
      <c r="J94">
        <v>13.58</v>
      </c>
      <c r="K94">
        <v>13.18</v>
      </c>
      <c r="L94">
        <v>13.12</v>
      </c>
      <c r="M94">
        <v>12.98</v>
      </c>
      <c r="N94">
        <v>13.16</v>
      </c>
      <c r="O94" s="13">
        <f>8.8+6.8</f>
        <v>15.600000000000001</v>
      </c>
      <c r="P94">
        <f>8.3+6.4</f>
        <v>14.700000000000001</v>
      </c>
      <c r="Q94">
        <f>8+6.5</f>
        <v>14.5</v>
      </c>
      <c r="R94">
        <f>8+6.2</f>
        <v>14.2</v>
      </c>
      <c r="S94">
        <f>7.8+6.6</f>
        <v>14.399999999999999</v>
      </c>
      <c r="T94" s="14">
        <f>7+7.4</f>
        <v>14.4</v>
      </c>
    </row>
    <row r="95" spans="1:30" x14ac:dyDescent="0.3">
      <c r="E95">
        <v>1</v>
      </c>
      <c r="F95">
        <v>8</v>
      </c>
      <c r="G95" t="s">
        <v>6</v>
      </c>
      <c r="H95" t="s">
        <v>33</v>
      </c>
      <c r="I95" s="13">
        <v>11.6999999999999</v>
      </c>
      <c r="J95">
        <v>10.66</v>
      </c>
      <c r="K95">
        <v>9.9600000000000009</v>
      </c>
      <c r="L95">
        <v>9.74</v>
      </c>
      <c r="M95">
        <v>9.6999999999999993</v>
      </c>
      <c r="N95">
        <v>9.92</v>
      </c>
      <c r="O95" s="13">
        <f>14.1-1.3</f>
        <v>12.799999999999999</v>
      </c>
      <c r="P95">
        <f>13.2-1.3</f>
        <v>11.899999999999999</v>
      </c>
      <c r="Q95">
        <f>12.6-1.3</f>
        <v>11.299999999999999</v>
      </c>
      <c r="R95">
        <f>12.3-1.2</f>
        <v>11.100000000000001</v>
      </c>
      <c r="S95">
        <f>12.3-1.2</f>
        <v>11.100000000000001</v>
      </c>
      <c r="T95" s="14">
        <f>12.8-1.6</f>
        <v>11.200000000000001</v>
      </c>
    </row>
    <row r="96" spans="1:30" x14ac:dyDescent="0.3">
      <c r="E96">
        <v>1</v>
      </c>
      <c r="F96">
        <v>8</v>
      </c>
      <c r="H96" s="11"/>
      <c r="I96" s="13" t="s">
        <v>5</v>
      </c>
    </row>
    <row r="97" spans="5:30" x14ac:dyDescent="0.3">
      <c r="E97">
        <v>1</v>
      </c>
      <c r="F97">
        <v>8</v>
      </c>
      <c r="G97" t="s">
        <v>5</v>
      </c>
      <c r="H97" t="s">
        <v>32</v>
      </c>
      <c r="I97" s="13">
        <v>12.239999999999901</v>
      </c>
      <c r="J97">
        <v>11.16</v>
      </c>
      <c r="K97">
        <v>12.84</v>
      </c>
      <c r="L97">
        <v>13.18</v>
      </c>
      <c r="M97">
        <v>15.18</v>
      </c>
      <c r="N97">
        <v>20.62</v>
      </c>
      <c r="O97" s="13">
        <f>7+6</f>
        <v>13</v>
      </c>
      <c r="P97">
        <f>6+6.5</f>
        <v>12.5</v>
      </c>
      <c r="Q97">
        <f>7.6+6.5</f>
        <v>14.1</v>
      </c>
      <c r="R97">
        <f>8+6.7</f>
        <v>14.7</v>
      </c>
      <c r="S97">
        <f>9+7.8</f>
        <v>16.8</v>
      </c>
      <c r="T97" s="14">
        <f>9.5+10.5</f>
        <v>20</v>
      </c>
    </row>
    <row r="98" spans="5:30" x14ac:dyDescent="0.3">
      <c r="E98">
        <v>1</v>
      </c>
      <c r="F98">
        <v>8</v>
      </c>
      <c r="G98" t="s">
        <v>5</v>
      </c>
      <c r="H98" t="s">
        <v>33</v>
      </c>
      <c r="I98" s="13">
        <v>8.2999999999999901</v>
      </c>
      <c r="J98">
        <v>8.08</v>
      </c>
      <c r="K98">
        <v>9.08</v>
      </c>
      <c r="L98">
        <v>10</v>
      </c>
      <c r="M98">
        <v>11.78</v>
      </c>
      <c r="N98">
        <v>15.78</v>
      </c>
      <c r="O98" s="13">
        <f>10.8-1.3</f>
        <v>9.5</v>
      </c>
      <c r="P98">
        <f>10.5-1.2</f>
        <v>9.3000000000000007</v>
      </c>
      <c r="Q98">
        <f>11.5-1.3</f>
        <v>10.199999999999999</v>
      </c>
      <c r="R98">
        <f>12.7-1.5</f>
        <v>11.2</v>
      </c>
      <c r="S98">
        <f>14.4-1.5</f>
        <v>12.9</v>
      </c>
      <c r="T98" s="27">
        <f>18.7-1.7</f>
        <v>17</v>
      </c>
      <c r="U98" s="44"/>
      <c r="V98" s="44"/>
      <c r="W98" s="44"/>
      <c r="X98" s="44"/>
      <c r="Y98" s="44"/>
      <c r="Z98" s="44"/>
      <c r="AA98" s="44"/>
    </row>
    <row r="99" spans="5:30" x14ac:dyDescent="0.3">
      <c r="E99">
        <v>1</v>
      </c>
      <c r="F99">
        <v>8</v>
      </c>
    </row>
    <row r="100" spans="5:30" x14ac:dyDescent="0.3">
      <c r="E100">
        <v>2</v>
      </c>
      <c r="F100">
        <v>8</v>
      </c>
    </row>
    <row r="101" spans="5:30" x14ac:dyDescent="0.3">
      <c r="E101">
        <v>2</v>
      </c>
      <c r="F101">
        <v>8</v>
      </c>
    </row>
    <row r="102" spans="5:30" x14ac:dyDescent="0.3">
      <c r="E102">
        <v>2</v>
      </c>
      <c r="F102">
        <v>8</v>
      </c>
      <c r="G102" t="s">
        <v>4</v>
      </c>
      <c r="H102" t="s">
        <v>32</v>
      </c>
      <c r="K102">
        <v>13.18</v>
      </c>
      <c r="L102">
        <v>13.14</v>
      </c>
      <c r="M102">
        <v>14.76</v>
      </c>
      <c r="N102">
        <v>15.86</v>
      </c>
      <c r="Q102">
        <f>7+7</f>
        <v>14</v>
      </c>
      <c r="R102">
        <f>7+7</f>
        <v>14</v>
      </c>
      <c r="S102">
        <f>8+9</f>
        <v>17</v>
      </c>
      <c r="T102" s="14">
        <f>8.5+9.5</f>
        <v>18</v>
      </c>
    </row>
    <row r="103" spans="5:30" x14ac:dyDescent="0.3">
      <c r="E103">
        <v>2</v>
      </c>
      <c r="F103">
        <v>8</v>
      </c>
      <c r="G103" t="s">
        <v>4</v>
      </c>
      <c r="H103" t="s">
        <v>33</v>
      </c>
      <c r="K103">
        <v>8.7799999999999994</v>
      </c>
      <c r="L103">
        <v>8.92</v>
      </c>
      <c r="M103">
        <v>9.4600000000000009</v>
      </c>
      <c r="N103">
        <v>9.7999999999999901</v>
      </c>
      <c r="Q103">
        <f>12-2</f>
        <v>10</v>
      </c>
      <c r="R103">
        <f>11.8-2</f>
        <v>9.8000000000000007</v>
      </c>
      <c r="S103">
        <f>12.3-1.9</f>
        <v>10.4</v>
      </c>
      <c r="T103" s="14">
        <f>12.8-2.1</f>
        <v>10.700000000000001</v>
      </c>
    </row>
    <row r="104" spans="5:30" x14ac:dyDescent="0.3">
      <c r="E104">
        <v>2</v>
      </c>
      <c r="F104">
        <v>8</v>
      </c>
      <c r="G104" s="11"/>
      <c r="H104" s="11"/>
      <c r="AD104" s="2">
        <v>0.6</v>
      </c>
    </row>
    <row r="105" spans="5:30" x14ac:dyDescent="0.3">
      <c r="E105">
        <v>2</v>
      </c>
      <c r="F105">
        <v>8</v>
      </c>
      <c r="G105" t="s">
        <v>3</v>
      </c>
      <c r="H105" t="s">
        <v>32</v>
      </c>
      <c r="K105">
        <v>17.1999999999999</v>
      </c>
      <c r="L105">
        <v>17.119999999999902</v>
      </c>
      <c r="M105">
        <v>19.579999999999899</v>
      </c>
      <c r="N105">
        <v>21.74</v>
      </c>
      <c r="Q105">
        <f>9+10</f>
        <v>19</v>
      </c>
      <c r="R105">
        <f>9+10</f>
        <v>19</v>
      </c>
      <c r="S105">
        <f>9.1+10.6</f>
        <v>19.7</v>
      </c>
      <c r="T105" s="28">
        <f>AD105/AJ6</f>
        <v>21.666528764120763</v>
      </c>
      <c r="U105" s="45"/>
      <c r="V105" s="45"/>
      <c r="W105" s="45"/>
      <c r="X105" s="45"/>
      <c r="Y105" s="45"/>
      <c r="Z105" s="45"/>
      <c r="AA105" s="45"/>
      <c r="AD105">
        <f>8+10.6</f>
        <v>18.600000000000001</v>
      </c>
    </row>
    <row r="106" spans="5:30" x14ac:dyDescent="0.3">
      <c r="E106">
        <v>2</v>
      </c>
      <c r="F106">
        <v>8</v>
      </c>
      <c r="G106" t="s">
        <v>3</v>
      </c>
      <c r="H106" t="s">
        <v>33</v>
      </c>
      <c r="K106">
        <v>11.72</v>
      </c>
      <c r="L106">
        <v>11.56</v>
      </c>
      <c r="M106">
        <v>11.54</v>
      </c>
      <c r="N106">
        <v>12.32</v>
      </c>
      <c r="Q106">
        <f>14.8-2</f>
        <v>12.8</v>
      </c>
      <c r="R106">
        <f>15-2</f>
        <v>13</v>
      </c>
      <c r="S106">
        <f>14.8-2</f>
        <v>12.8</v>
      </c>
      <c r="T106" s="14">
        <f>15.5-2</f>
        <v>13.5</v>
      </c>
    </row>
    <row r="107" spans="5:30" x14ac:dyDescent="0.3">
      <c r="E107">
        <v>2</v>
      </c>
      <c r="F107">
        <v>8</v>
      </c>
      <c r="H107" s="11"/>
    </row>
    <row r="108" spans="5:30" x14ac:dyDescent="0.3">
      <c r="E108">
        <v>2</v>
      </c>
      <c r="F108">
        <v>8</v>
      </c>
      <c r="G108" t="s">
        <v>6</v>
      </c>
      <c r="H108" t="s">
        <v>32</v>
      </c>
      <c r="K108">
        <v>12.5399999999999</v>
      </c>
      <c r="L108">
        <v>12.84</v>
      </c>
      <c r="M108">
        <v>13.54</v>
      </c>
      <c r="N108">
        <v>14.82</v>
      </c>
      <c r="Q108">
        <f>7.8+5.8</f>
        <v>13.6</v>
      </c>
      <c r="R108">
        <f>7.5+6.5</f>
        <v>14</v>
      </c>
      <c r="S108">
        <f>8+7</f>
        <v>15</v>
      </c>
      <c r="T108" s="14">
        <f>9+7</f>
        <v>16</v>
      </c>
    </row>
    <row r="109" spans="5:30" x14ac:dyDescent="0.3">
      <c r="E109">
        <v>2</v>
      </c>
      <c r="F109">
        <v>8</v>
      </c>
      <c r="G109" t="s">
        <v>6</v>
      </c>
      <c r="H109" t="s">
        <v>33</v>
      </c>
      <c r="K109">
        <v>9.08</v>
      </c>
      <c r="L109">
        <v>9.1199999999999903</v>
      </c>
      <c r="M109">
        <v>9.5399999999999903</v>
      </c>
      <c r="N109">
        <v>10.32</v>
      </c>
      <c r="Q109">
        <f>12-1.8</f>
        <v>10.199999999999999</v>
      </c>
      <c r="R109">
        <f>11.8-1.8</f>
        <v>10</v>
      </c>
      <c r="S109">
        <f>12-1.8</f>
        <v>10.199999999999999</v>
      </c>
      <c r="T109" s="14">
        <f>13.2-2</f>
        <v>11.2</v>
      </c>
    </row>
    <row r="110" spans="5:30" x14ac:dyDescent="0.3">
      <c r="E110">
        <v>2</v>
      </c>
      <c r="F110">
        <v>8</v>
      </c>
      <c r="H110" s="11"/>
    </row>
    <row r="111" spans="5:30" x14ac:dyDescent="0.3">
      <c r="E111">
        <v>2</v>
      </c>
      <c r="F111">
        <v>8</v>
      </c>
      <c r="G111" t="s">
        <v>5</v>
      </c>
      <c r="H111" t="s">
        <v>32</v>
      </c>
      <c r="K111">
        <v>12.3</v>
      </c>
      <c r="L111">
        <v>12.16</v>
      </c>
      <c r="M111">
        <v>14.6999999999999</v>
      </c>
      <c r="N111">
        <v>15.239999999999901</v>
      </c>
      <c r="Q111">
        <f>7+6.3</f>
        <v>13.3</v>
      </c>
      <c r="R111">
        <f>6.5+6.9</f>
        <v>13.4</v>
      </c>
      <c r="S111">
        <f>7.2+9</f>
        <v>16.2</v>
      </c>
      <c r="T111" s="14">
        <f>9+8</f>
        <v>17</v>
      </c>
    </row>
    <row r="112" spans="5:30" x14ac:dyDescent="0.3">
      <c r="E112">
        <v>2</v>
      </c>
      <c r="F112">
        <v>8</v>
      </c>
      <c r="G112" t="s">
        <v>5</v>
      </c>
      <c r="H112" t="s">
        <v>33</v>
      </c>
      <c r="K112">
        <v>8.4600000000000009</v>
      </c>
      <c r="L112">
        <v>9.14</v>
      </c>
      <c r="M112">
        <v>10.94</v>
      </c>
      <c r="N112">
        <v>11.26</v>
      </c>
      <c r="Q112">
        <f>10.8-2</f>
        <v>8.8000000000000007</v>
      </c>
      <c r="R112">
        <f>11.3-2</f>
        <v>9.3000000000000007</v>
      </c>
      <c r="S112">
        <f>14-2</f>
        <v>12</v>
      </c>
      <c r="T112" s="14">
        <f>14.3-1.8</f>
        <v>12.5</v>
      </c>
    </row>
    <row r="113" spans="1:32" x14ac:dyDescent="0.3">
      <c r="E113">
        <v>2</v>
      </c>
      <c r="F113">
        <v>8</v>
      </c>
    </row>
    <row r="114" spans="1:32" x14ac:dyDescent="0.3">
      <c r="E114">
        <v>2</v>
      </c>
      <c r="F114">
        <v>8</v>
      </c>
    </row>
    <row r="115" spans="1:32" x14ac:dyDescent="0.3">
      <c r="E115">
        <v>2</v>
      </c>
      <c r="F115">
        <v>8</v>
      </c>
      <c r="AC115" s="2">
        <v>0.8</v>
      </c>
    </row>
    <row r="116" spans="1:32" x14ac:dyDescent="0.3">
      <c r="E116">
        <v>2</v>
      </c>
      <c r="F116">
        <v>15</v>
      </c>
      <c r="G116" t="s">
        <v>4</v>
      </c>
      <c r="H116" t="s">
        <v>32</v>
      </c>
      <c r="K116">
        <v>25</v>
      </c>
      <c r="L116">
        <v>25</v>
      </c>
      <c r="M116">
        <v>25</v>
      </c>
      <c r="N116">
        <v>25</v>
      </c>
      <c r="Q116" s="19">
        <f>AC116/$AJ$8</f>
        <v>19.387117631565353</v>
      </c>
      <c r="R116" s="19">
        <f t="shared" ref="R116:T116" si="20">AD116/$AJ$8</f>
        <v>21.149582870798568</v>
      </c>
      <c r="S116" s="19">
        <f t="shared" si="20"/>
        <v>23.264541157878423</v>
      </c>
      <c r="T116" s="20">
        <f t="shared" si="20"/>
        <v>23.969527253571709</v>
      </c>
      <c r="U116" s="19"/>
      <c r="V116" s="19"/>
      <c r="W116" s="19"/>
      <c r="X116" s="19"/>
      <c r="Y116" s="19"/>
      <c r="Z116" s="19"/>
      <c r="AA116" s="19"/>
      <c r="AC116">
        <f>7+4</f>
        <v>11</v>
      </c>
      <c r="AD116">
        <f>7+5</f>
        <v>12</v>
      </c>
      <c r="AE116">
        <f>7.7+5.5</f>
        <v>13.2</v>
      </c>
      <c r="AF116">
        <f>7.6+6</f>
        <v>13.6</v>
      </c>
    </row>
    <row r="117" spans="1:32" x14ac:dyDescent="0.3">
      <c r="E117">
        <v>2</v>
      </c>
      <c r="F117">
        <v>15</v>
      </c>
      <c r="G117" t="s">
        <v>4</v>
      </c>
      <c r="H117" t="s">
        <v>33</v>
      </c>
      <c r="K117">
        <v>23.44</v>
      </c>
      <c r="L117">
        <v>22.16</v>
      </c>
      <c r="M117">
        <v>24.8</v>
      </c>
      <c r="N117">
        <v>24.6999999999999</v>
      </c>
      <c r="Q117" s="19">
        <f>AC117/$AJ$8</f>
        <v>21.149582870798568</v>
      </c>
      <c r="R117" s="19">
        <f t="shared" ref="R117" si="21">AD117/$AJ$8</f>
        <v>19.387117631565353</v>
      </c>
      <c r="S117" s="19">
        <f t="shared" ref="S117" si="22">AE117/$AJ$8</f>
        <v>22.91204811003178</v>
      </c>
      <c r="T117" s="20">
        <f t="shared" ref="T117" si="23">AF117/$AJ$8</f>
        <v>24.674513349264995</v>
      </c>
      <c r="U117" s="19"/>
      <c r="V117" s="19"/>
      <c r="W117" s="19"/>
      <c r="X117" s="19"/>
      <c r="Y117" s="19"/>
      <c r="Z117" s="19"/>
      <c r="AA117" s="19"/>
      <c r="AC117">
        <f>20-8</f>
        <v>12</v>
      </c>
      <c r="AD117">
        <f>18.5-7.5</f>
        <v>11</v>
      </c>
      <c r="AE117">
        <f>22-9</f>
        <v>13</v>
      </c>
      <c r="AF117">
        <f>22-8</f>
        <v>14</v>
      </c>
    </row>
    <row r="118" spans="1:32" x14ac:dyDescent="0.3">
      <c r="E118">
        <v>2</v>
      </c>
      <c r="F118">
        <v>15</v>
      </c>
      <c r="G118" s="11"/>
      <c r="H118" s="11"/>
      <c r="Q118" s="21"/>
      <c r="R118" s="21"/>
      <c r="S118" s="21"/>
      <c r="T118" s="22"/>
      <c r="U118" s="21"/>
      <c r="V118" s="21"/>
      <c r="W118" s="21"/>
      <c r="X118" s="21"/>
      <c r="Y118" s="21"/>
      <c r="Z118" s="21"/>
      <c r="AA118" s="21"/>
      <c r="AC118" s="2">
        <v>0.8</v>
      </c>
    </row>
    <row r="119" spans="1:32" x14ac:dyDescent="0.3">
      <c r="E119">
        <v>2</v>
      </c>
      <c r="F119">
        <v>15</v>
      </c>
      <c r="G119" t="s">
        <v>3</v>
      </c>
      <c r="H119" t="s">
        <v>32</v>
      </c>
      <c r="K119">
        <v>25</v>
      </c>
      <c r="L119">
        <v>25</v>
      </c>
      <c r="M119">
        <v>25</v>
      </c>
      <c r="N119">
        <v>25</v>
      </c>
      <c r="Q119" s="19">
        <f t="shared" ref="Q119" si="24">AC119/$AJ$8</f>
        <v>24.674513349264995</v>
      </c>
      <c r="R119" s="19">
        <f t="shared" ref="R119" si="25">AD119/$AJ$8</f>
        <v>24.674513349264995</v>
      </c>
      <c r="S119" s="19">
        <f t="shared" ref="S119" si="26">AE119/$AJ$8</f>
        <v>27.318211208114814</v>
      </c>
      <c r="T119" s="20">
        <f t="shared" ref="T119" si="27">AF119/$AJ$8</f>
        <v>30.843141686581241</v>
      </c>
      <c r="U119" s="19"/>
      <c r="V119" s="19"/>
      <c r="W119" s="19"/>
      <c r="X119" s="19"/>
      <c r="Y119" s="19"/>
      <c r="Z119" s="19"/>
      <c r="AA119" s="19"/>
      <c r="AC119">
        <f>7.5+6.5</f>
        <v>14</v>
      </c>
      <c r="AD119">
        <f>7.5+6.5</f>
        <v>14</v>
      </c>
      <c r="AE119">
        <f>8+7.5</f>
        <v>15.5</v>
      </c>
      <c r="AF119">
        <f>8.5+9</f>
        <v>17.5</v>
      </c>
    </row>
    <row r="120" spans="1:32" x14ac:dyDescent="0.3">
      <c r="E120">
        <v>2</v>
      </c>
      <c r="F120">
        <v>15</v>
      </c>
      <c r="G120" t="s">
        <v>3</v>
      </c>
      <c r="H120" t="s">
        <v>33</v>
      </c>
      <c r="K120">
        <v>24.82</v>
      </c>
      <c r="L120">
        <v>24.46</v>
      </c>
      <c r="M120">
        <v>24.299999999999901</v>
      </c>
      <c r="N120">
        <v>24.02</v>
      </c>
      <c r="Q120" s="19">
        <f t="shared" ref="Q120:Q126" si="28">AC120/$AJ$8</f>
        <v>25.555745968881602</v>
      </c>
      <c r="R120" s="19">
        <f t="shared" ref="R120" si="29">AD120/$AJ$8</f>
        <v>23.793280729648387</v>
      </c>
      <c r="S120" s="19">
        <f t="shared" ref="S120" si="30">AE120/$AJ$8</f>
        <v>24.674513349264995</v>
      </c>
      <c r="T120" s="20">
        <f t="shared" ref="T120" si="31">AF120/$AJ$8</f>
        <v>25.027006397111634</v>
      </c>
      <c r="U120" s="19"/>
      <c r="V120" s="19"/>
      <c r="W120" s="19"/>
      <c r="X120" s="19"/>
      <c r="Y120" s="19"/>
      <c r="Z120" s="19"/>
      <c r="AA120" s="19"/>
      <c r="AC120">
        <f>21-6.5</f>
        <v>14.5</v>
      </c>
      <c r="AD120">
        <f>21-7.5</f>
        <v>13.5</v>
      </c>
      <c r="AE120">
        <f>20.5-6.5</f>
        <v>14</v>
      </c>
      <c r="AF120">
        <f>21.2-7</f>
        <v>14.2</v>
      </c>
    </row>
    <row r="121" spans="1:32" x14ac:dyDescent="0.3">
      <c r="E121">
        <v>2</v>
      </c>
      <c r="F121">
        <v>15</v>
      </c>
      <c r="H121" s="11"/>
      <c r="Q121" s="21"/>
      <c r="R121" s="21"/>
      <c r="S121" s="21"/>
      <c r="T121" s="22"/>
      <c r="U121" s="21"/>
      <c r="V121" s="21"/>
      <c r="W121" s="21"/>
      <c r="X121" s="21"/>
      <c r="Y121" s="21"/>
      <c r="Z121" s="21"/>
      <c r="AA121" s="21"/>
      <c r="AC121" s="2">
        <v>0.8</v>
      </c>
    </row>
    <row r="122" spans="1:32" x14ac:dyDescent="0.3">
      <c r="E122">
        <v>2</v>
      </c>
      <c r="F122">
        <v>15</v>
      </c>
      <c r="G122" t="s">
        <v>6</v>
      </c>
      <c r="H122" t="s">
        <v>32</v>
      </c>
      <c r="K122">
        <v>23.3799999999999</v>
      </c>
      <c r="L122">
        <v>25</v>
      </c>
      <c r="M122">
        <v>25</v>
      </c>
      <c r="N122">
        <v>25</v>
      </c>
      <c r="Q122" s="19">
        <f t="shared" si="28"/>
        <v>27.318211208114814</v>
      </c>
      <c r="R122" s="19">
        <f t="shared" ref="R122:R123" si="32">AD122/$AJ$8</f>
        <v>27.318211208114814</v>
      </c>
      <c r="S122" s="19">
        <f t="shared" ref="S122:S123" si="33">AE122/$AJ$8</f>
        <v>27.318211208114814</v>
      </c>
      <c r="T122" s="20">
        <f t="shared" ref="T122:T123" si="34">AF122/$AJ$8</f>
        <v>28.199443827731422</v>
      </c>
      <c r="U122" s="19"/>
      <c r="V122" s="19"/>
      <c r="W122" s="19"/>
      <c r="X122" s="19"/>
      <c r="Y122" s="19"/>
      <c r="Z122" s="19"/>
      <c r="AA122" s="19"/>
      <c r="AC122">
        <f>9+6.5</f>
        <v>15.5</v>
      </c>
      <c r="AD122">
        <f>9+6.5</f>
        <v>15.5</v>
      </c>
      <c r="AE122">
        <f>9+6.5</f>
        <v>15.5</v>
      </c>
      <c r="AF122">
        <f>9.5+6.5</f>
        <v>16</v>
      </c>
    </row>
    <row r="123" spans="1:32" x14ac:dyDescent="0.3">
      <c r="E123">
        <v>2</v>
      </c>
      <c r="F123">
        <v>15</v>
      </c>
      <c r="G123" t="s">
        <v>6</v>
      </c>
      <c r="H123" t="s">
        <v>33</v>
      </c>
      <c r="K123">
        <v>24.28</v>
      </c>
      <c r="L123">
        <v>25.14</v>
      </c>
      <c r="M123">
        <v>24.64</v>
      </c>
      <c r="N123">
        <v>25.399999999999899</v>
      </c>
      <c r="Q123" s="19">
        <f t="shared" si="28"/>
        <v>23.793280729648387</v>
      </c>
      <c r="R123" s="19">
        <f t="shared" si="32"/>
        <v>23.969527253571709</v>
      </c>
      <c r="S123" s="19">
        <f t="shared" si="33"/>
        <v>24.674513349264995</v>
      </c>
      <c r="T123" s="20">
        <f t="shared" si="34"/>
        <v>23.617034205725062</v>
      </c>
      <c r="U123" s="19"/>
      <c r="V123" s="19"/>
      <c r="W123" s="19"/>
      <c r="X123" s="19"/>
      <c r="Y123" s="19"/>
      <c r="Z123" s="19"/>
      <c r="AA123" s="19"/>
      <c r="AC123">
        <f>17.5-4</f>
        <v>13.5</v>
      </c>
      <c r="AD123">
        <f>18-4.4</f>
        <v>13.6</v>
      </c>
      <c r="AE123">
        <f>18.7-4.7</f>
        <v>14</v>
      </c>
      <c r="AF123">
        <f>19.2-5.8</f>
        <v>13.399999999999999</v>
      </c>
    </row>
    <row r="124" spans="1:32" x14ac:dyDescent="0.3">
      <c r="E124">
        <v>2</v>
      </c>
      <c r="F124">
        <v>15</v>
      </c>
      <c r="H124" s="11"/>
      <c r="Q124" s="21"/>
      <c r="AC124" s="2">
        <v>0.8</v>
      </c>
    </row>
    <row r="125" spans="1:32" x14ac:dyDescent="0.3">
      <c r="E125">
        <v>2</v>
      </c>
      <c r="F125">
        <v>15</v>
      </c>
      <c r="G125" t="s">
        <v>5</v>
      </c>
      <c r="H125" t="s">
        <v>32</v>
      </c>
      <c r="K125">
        <v>24.84</v>
      </c>
      <c r="L125">
        <v>25</v>
      </c>
      <c r="M125">
        <v>25</v>
      </c>
      <c r="N125">
        <v>25</v>
      </c>
      <c r="Q125" s="19">
        <f t="shared" si="28"/>
        <v>27.318211208114814</v>
      </c>
      <c r="R125" s="19">
        <f t="shared" ref="R125:R126" si="35">AD125/$AJ$8</f>
        <v>26.78947163634485</v>
      </c>
      <c r="S125" s="19">
        <f t="shared" ref="S125:S126" si="36">AE125/$AJ$8</f>
        <v>28.199443827731422</v>
      </c>
      <c r="T125" s="20">
        <f t="shared" ref="T125:T126" si="37">AF125/$AJ$8</f>
        <v>25.555745968881602</v>
      </c>
      <c r="U125" s="19"/>
      <c r="V125" s="19"/>
      <c r="W125" s="19"/>
      <c r="X125" s="19"/>
      <c r="Y125" s="19"/>
      <c r="Z125" s="19"/>
      <c r="AA125" s="19"/>
      <c r="AC125">
        <f>9+6.5</f>
        <v>15.5</v>
      </c>
      <c r="AD125">
        <f>9+6.2</f>
        <v>15.2</v>
      </c>
      <c r="AE125">
        <f>9.5+6.5</f>
        <v>16</v>
      </c>
      <c r="AF125">
        <f>9+5.5</f>
        <v>14.5</v>
      </c>
    </row>
    <row r="126" spans="1:32" x14ac:dyDescent="0.3">
      <c r="E126">
        <v>2</v>
      </c>
      <c r="F126">
        <v>15</v>
      </c>
      <c r="G126" t="s">
        <v>5</v>
      </c>
      <c r="H126" t="s">
        <v>33</v>
      </c>
      <c r="K126">
        <v>24.32</v>
      </c>
      <c r="L126">
        <v>25.14</v>
      </c>
      <c r="M126">
        <v>24.8799999999999</v>
      </c>
      <c r="N126">
        <v>25.2</v>
      </c>
      <c r="Q126" s="19">
        <f t="shared" si="28"/>
        <v>23.793280729648387</v>
      </c>
      <c r="R126" s="19">
        <f t="shared" si="35"/>
        <v>23.793280729648387</v>
      </c>
      <c r="S126" s="19">
        <f t="shared" si="36"/>
        <v>24.674513349264995</v>
      </c>
      <c r="T126" s="20">
        <f t="shared" si="37"/>
        <v>28.199443827731422</v>
      </c>
      <c r="U126" s="19"/>
      <c r="V126" s="19"/>
      <c r="W126" s="19"/>
      <c r="X126" s="19"/>
      <c r="Y126" s="19"/>
      <c r="Z126" s="19"/>
      <c r="AA126" s="19"/>
      <c r="AC126">
        <f>18-4.5</f>
        <v>13.5</v>
      </c>
      <c r="AD126">
        <f>18-4.5</f>
        <v>13.5</v>
      </c>
      <c r="AE126">
        <f>19-5</f>
        <v>14</v>
      </c>
      <c r="AF126">
        <f>23.5-7.5</f>
        <v>16</v>
      </c>
    </row>
    <row r="127" spans="1:32" ht="15" thickBot="1" x14ac:dyDescent="0.35">
      <c r="E127">
        <v>2</v>
      </c>
      <c r="F127">
        <v>15</v>
      </c>
    </row>
    <row r="128" spans="1:32" s="30" customFormat="1" x14ac:dyDescent="0.3">
      <c r="A128" s="29" t="s">
        <v>42</v>
      </c>
      <c r="B128" s="30" t="s">
        <v>44</v>
      </c>
      <c r="C128" s="30" t="s">
        <v>50</v>
      </c>
      <c r="D128" s="38">
        <v>0.25</v>
      </c>
      <c r="E128" s="30">
        <v>1</v>
      </c>
      <c r="F128" s="30">
        <v>8</v>
      </c>
      <c r="G128" s="30" t="s">
        <v>3</v>
      </c>
      <c r="H128" s="30" t="s">
        <v>32</v>
      </c>
      <c r="I128" s="29">
        <v>17</v>
      </c>
      <c r="K128" s="30">
        <v>22</v>
      </c>
      <c r="M128" s="30">
        <v>22</v>
      </c>
      <c r="N128" s="30">
        <v>22</v>
      </c>
      <c r="O128" s="29"/>
      <c r="T128" s="31"/>
    </row>
    <row r="129" spans="1:20" ht="13.8" customHeight="1" x14ac:dyDescent="0.3">
      <c r="A129" s="13"/>
      <c r="D129" s="39"/>
      <c r="E129">
        <v>1</v>
      </c>
      <c r="F129">
        <v>8</v>
      </c>
      <c r="H129" t="s">
        <v>33</v>
      </c>
      <c r="I129" s="13">
        <v>9</v>
      </c>
      <c r="K129">
        <v>12</v>
      </c>
      <c r="M129">
        <v>14</v>
      </c>
      <c r="N129">
        <v>15</v>
      </c>
    </row>
    <row r="130" spans="1:20" x14ac:dyDescent="0.3">
      <c r="A130" s="13"/>
      <c r="D130" s="39"/>
      <c r="E130">
        <v>1</v>
      </c>
      <c r="F130">
        <v>8</v>
      </c>
      <c r="G130" t="s">
        <v>5</v>
      </c>
      <c r="H130" t="s">
        <v>32</v>
      </c>
      <c r="I130" s="13">
        <v>14</v>
      </c>
      <c r="K130">
        <v>18</v>
      </c>
      <c r="M130">
        <v>22</v>
      </c>
      <c r="N130">
        <v>22</v>
      </c>
    </row>
    <row r="131" spans="1:20" s="33" customFormat="1" ht="15" thickBot="1" x14ac:dyDescent="0.35">
      <c r="A131" s="32"/>
      <c r="D131" s="40"/>
      <c r="E131" s="33">
        <v>1</v>
      </c>
      <c r="F131" s="33">
        <v>8</v>
      </c>
      <c r="H131" s="33" t="s">
        <v>33</v>
      </c>
      <c r="I131" s="32">
        <v>9</v>
      </c>
      <c r="K131" s="33">
        <v>10</v>
      </c>
      <c r="M131" s="33">
        <v>11</v>
      </c>
      <c r="N131" s="33">
        <v>13</v>
      </c>
      <c r="O131" s="32"/>
      <c r="T131" s="34"/>
    </row>
    <row r="132" spans="1:20" s="30" customFormat="1" x14ac:dyDescent="0.3">
      <c r="A132" s="29"/>
      <c r="B132" s="30" t="s">
        <v>45</v>
      </c>
      <c r="C132" s="30" t="s">
        <v>50</v>
      </c>
      <c r="D132" s="38">
        <v>0.25</v>
      </c>
      <c r="E132" s="30">
        <v>1</v>
      </c>
      <c r="F132" s="30">
        <v>8</v>
      </c>
      <c r="G132" s="30" t="s">
        <v>3</v>
      </c>
      <c r="H132" s="30" t="s">
        <v>32</v>
      </c>
      <c r="I132" s="29">
        <v>17</v>
      </c>
      <c r="K132" s="30">
        <v>22</v>
      </c>
      <c r="M132" s="30">
        <v>22</v>
      </c>
      <c r="N132" s="30">
        <v>22</v>
      </c>
      <c r="O132" s="29"/>
      <c r="T132" s="31"/>
    </row>
    <row r="133" spans="1:20" x14ac:dyDescent="0.3">
      <c r="A133" s="13"/>
      <c r="D133" s="39"/>
      <c r="E133">
        <v>1</v>
      </c>
      <c r="F133">
        <v>8</v>
      </c>
      <c r="H133" t="s">
        <v>33</v>
      </c>
      <c r="I133" s="13">
        <v>9</v>
      </c>
      <c r="K133">
        <v>12</v>
      </c>
      <c r="M133">
        <v>14</v>
      </c>
      <c r="N133">
        <v>15</v>
      </c>
    </row>
    <row r="134" spans="1:20" x14ac:dyDescent="0.3">
      <c r="A134" s="13"/>
      <c r="D134" s="39"/>
      <c r="E134">
        <v>1</v>
      </c>
      <c r="F134">
        <v>8</v>
      </c>
      <c r="G134" t="s">
        <v>5</v>
      </c>
      <c r="H134" t="s">
        <v>32</v>
      </c>
      <c r="I134" s="13">
        <v>14</v>
      </c>
      <c r="K134">
        <v>18</v>
      </c>
      <c r="M134">
        <v>22</v>
      </c>
      <c r="N134">
        <v>22</v>
      </c>
    </row>
    <row r="135" spans="1:20" s="33" customFormat="1" ht="15" thickBot="1" x14ac:dyDescent="0.35">
      <c r="A135" s="32"/>
      <c r="D135" s="40"/>
      <c r="E135" s="33">
        <v>1</v>
      </c>
      <c r="F135" s="33">
        <v>8</v>
      </c>
      <c r="H135" s="33" t="s">
        <v>33</v>
      </c>
      <c r="I135" s="32">
        <v>9</v>
      </c>
      <c r="K135" s="33">
        <v>10</v>
      </c>
      <c r="M135" s="33">
        <v>11</v>
      </c>
      <c r="N135" s="33">
        <v>13</v>
      </c>
      <c r="O135" s="32"/>
      <c r="T135" s="34"/>
    </row>
    <row r="136" spans="1:20" s="30" customFormat="1" x14ac:dyDescent="0.3">
      <c r="A136" s="29"/>
      <c r="B136" s="30" t="s">
        <v>46</v>
      </c>
      <c r="C136" s="30" t="s">
        <v>50</v>
      </c>
      <c r="D136" s="38">
        <v>0.25</v>
      </c>
      <c r="E136" s="30">
        <v>1</v>
      </c>
      <c r="F136" s="30">
        <v>8</v>
      </c>
      <c r="G136" s="30" t="s">
        <v>3</v>
      </c>
      <c r="H136" s="30" t="s">
        <v>32</v>
      </c>
      <c r="I136" s="29">
        <v>16</v>
      </c>
      <c r="K136" s="30">
        <v>22</v>
      </c>
      <c r="M136" s="30">
        <v>22</v>
      </c>
      <c r="O136" s="29"/>
      <c r="T136" s="31"/>
    </row>
    <row r="137" spans="1:20" x14ac:dyDescent="0.3">
      <c r="A137" s="13"/>
      <c r="D137" s="39"/>
      <c r="E137">
        <v>1</v>
      </c>
      <c r="F137">
        <v>8</v>
      </c>
      <c r="H137" t="s">
        <v>33</v>
      </c>
      <c r="I137" s="13">
        <v>9</v>
      </c>
      <c r="K137">
        <v>11</v>
      </c>
      <c r="M137">
        <v>13</v>
      </c>
    </row>
    <row r="138" spans="1:20" x14ac:dyDescent="0.3">
      <c r="A138" s="13"/>
      <c r="D138" s="39"/>
      <c r="E138">
        <v>1</v>
      </c>
      <c r="F138">
        <v>8</v>
      </c>
      <c r="G138" t="s">
        <v>5</v>
      </c>
      <c r="H138" t="s">
        <v>32</v>
      </c>
      <c r="I138" s="13">
        <v>13</v>
      </c>
      <c r="K138">
        <v>18</v>
      </c>
      <c r="M138">
        <v>22</v>
      </c>
    </row>
    <row r="139" spans="1:20" s="33" customFormat="1" ht="15" thickBot="1" x14ac:dyDescent="0.35">
      <c r="A139" s="32"/>
      <c r="D139" s="40"/>
      <c r="E139" s="33">
        <v>1</v>
      </c>
      <c r="F139" s="33">
        <v>8</v>
      </c>
      <c r="H139" s="33" t="s">
        <v>33</v>
      </c>
      <c r="I139" s="32">
        <v>8</v>
      </c>
      <c r="K139" s="33">
        <v>10</v>
      </c>
      <c r="M139" s="33">
        <v>13</v>
      </c>
      <c r="O139" s="32"/>
      <c r="T139" s="34"/>
    </row>
    <row r="140" spans="1:20" s="30" customFormat="1" x14ac:dyDescent="0.3">
      <c r="A140" s="29"/>
      <c r="B140" s="30" t="s">
        <v>47</v>
      </c>
      <c r="C140" s="30" t="s">
        <v>52</v>
      </c>
      <c r="D140" s="38">
        <v>0.111</v>
      </c>
      <c r="E140" s="30">
        <v>1</v>
      </c>
      <c r="F140" s="30">
        <v>8</v>
      </c>
      <c r="G140" s="30" t="s">
        <v>3</v>
      </c>
      <c r="H140" s="30" t="s">
        <v>32</v>
      </c>
      <c r="I140" s="29">
        <v>22</v>
      </c>
      <c r="K140" s="30">
        <v>22</v>
      </c>
      <c r="M140" s="30">
        <v>22</v>
      </c>
      <c r="O140" s="29"/>
      <c r="T140" s="31"/>
    </row>
    <row r="141" spans="1:20" x14ac:dyDescent="0.3">
      <c r="A141" s="13"/>
      <c r="D141" s="39"/>
      <c r="E141">
        <v>1</v>
      </c>
      <c r="F141">
        <v>8</v>
      </c>
      <c r="H141" t="s">
        <v>33</v>
      </c>
      <c r="I141" s="13">
        <v>20</v>
      </c>
      <c r="K141">
        <v>12.5</v>
      </c>
      <c r="M141">
        <v>14</v>
      </c>
    </row>
    <row r="142" spans="1:20" x14ac:dyDescent="0.3">
      <c r="A142" s="13"/>
      <c r="D142" s="39"/>
      <c r="E142">
        <v>1</v>
      </c>
      <c r="F142">
        <v>8</v>
      </c>
      <c r="G142" t="s">
        <v>5</v>
      </c>
      <c r="H142" t="s">
        <v>32</v>
      </c>
      <c r="I142" s="13">
        <v>17</v>
      </c>
      <c r="M142">
        <v>22</v>
      </c>
      <c r="N142">
        <v>22</v>
      </c>
    </row>
    <row r="143" spans="1:20" s="33" customFormat="1" ht="15" thickBot="1" x14ac:dyDescent="0.35">
      <c r="A143" s="32"/>
      <c r="D143" s="40"/>
      <c r="E143" s="33">
        <v>1</v>
      </c>
      <c r="F143" s="33">
        <v>8</v>
      </c>
      <c r="H143" s="33" t="s">
        <v>33</v>
      </c>
      <c r="I143" s="32">
        <v>10</v>
      </c>
      <c r="M143" s="33">
        <v>13</v>
      </c>
      <c r="N143" s="33">
        <v>15</v>
      </c>
      <c r="O143" s="32"/>
      <c r="T143" s="34"/>
    </row>
    <row r="144" spans="1:20" s="30" customFormat="1" x14ac:dyDescent="0.3">
      <c r="A144" s="29"/>
      <c r="B144" s="30" t="s">
        <v>43</v>
      </c>
      <c r="C144" s="30" t="s">
        <v>52</v>
      </c>
      <c r="D144" s="30">
        <v>7.4999999999999997E-2</v>
      </c>
      <c r="E144" s="30">
        <v>1</v>
      </c>
      <c r="F144" s="30">
        <v>8</v>
      </c>
      <c r="G144" s="30" t="s">
        <v>3</v>
      </c>
      <c r="H144" s="30" t="s">
        <v>32</v>
      </c>
      <c r="I144" s="29">
        <v>8</v>
      </c>
      <c r="K144" s="30">
        <v>13</v>
      </c>
      <c r="M144" s="30">
        <v>18</v>
      </c>
      <c r="N144" s="30">
        <v>20</v>
      </c>
      <c r="O144" s="29"/>
      <c r="T144" s="31"/>
    </row>
    <row r="145" spans="1:20" x14ac:dyDescent="0.3">
      <c r="A145" s="13"/>
      <c r="E145">
        <v>1</v>
      </c>
      <c r="F145">
        <v>8</v>
      </c>
      <c r="H145" t="s">
        <v>33</v>
      </c>
      <c r="I145" s="13">
        <v>5</v>
      </c>
      <c r="K145">
        <v>8</v>
      </c>
      <c r="M145">
        <v>10.5</v>
      </c>
      <c r="N145">
        <v>11</v>
      </c>
    </row>
    <row r="146" spans="1:20" x14ac:dyDescent="0.3">
      <c r="A146" s="13"/>
      <c r="E146">
        <v>1</v>
      </c>
      <c r="F146">
        <v>8</v>
      </c>
      <c r="G146" t="s">
        <v>5</v>
      </c>
      <c r="H146" t="s">
        <v>32</v>
      </c>
      <c r="I146" s="13">
        <v>12</v>
      </c>
      <c r="K146">
        <v>14</v>
      </c>
      <c r="M146">
        <v>15</v>
      </c>
      <c r="N146">
        <v>16</v>
      </c>
    </row>
    <row r="147" spans="1:20" s="33" customFormat="1" ht="15" thickBot="1" x14ac:dyDescent="0.35">
      <c r="A147" s="32"/>
      <c r="E147" s="33">
        <v>1</v>
      </c>
      <c r="F147" s="33">
        <v>8</v>
      </c>
      <c r="H147" s="33" t="s">
        <v>33</v>
      </c>
      <c r="I147" s="32">
        <v>8</v>
      </c>
      <c r="K147" s="33">
        <v>8</v>
      </c>
      <c r="M147" s="33">
        <v>8</v>
      </c>
      <c r="N147" s="33">
        <v>9</v>
      </c>
      <c r="O147" s="32"/>
      <c r="T147" s="34"/>
    </row>
    <row r="148" spans="1:20" x14ac:dyDescent="0.3">
      <c r="B148" t="s">
        <v>48</v>
      </c>
      <c r="C148" s="30" t="s">
        <v>50</v>
      </c>
      <c r="D148" s="39">
        <v>0.25</v>
      </c>
      <c r="E148">
        <v>1</v>
      </c>
      <c r="F148">
        <v>8</v>
      </c>
      <c r="G148" s="30" t="s">
        <v>3</v>
      </c>
      <c r="H148" s="30" t="s">
        <v>32</v>
      </c>
      <c r="K148">
        <v>22</v>
      </c>
      <c r="M148">
        <v>22</v>
      </c>
    </row>
    <row r="149" spans="1:20" x14ac:dyDescent="0.3">
      <c r="D149" s="39"/>
      <c r="H149" t="s">
        <v>33</v>
      </c>
      <c r="K149">
        <v>12</v>
      </c>
      <c r="M149">
        <v>14</v>
      </c>
    </row>
    <row r="150" spans="1:20" x14ac:dyDescent="0.3">
      <c r="D150" s="39"/>
      <c r="G150" t="s">
        <v>5</v>
      </c>
      <c r="H150" t="s">
        <v>32</v>
      </c>
      <c r="K150">
        <v>18</v>
      </c>
      <c r="M150">
        <v>22</v>
      </c>
    </row>
    <row r="151" spans="1:20" ht="15" thickBot="1" x14ac:dyDescent="0.35">
      <c r="D151" s="39"/>
      <c r="H151" t="s">
        <v>33</v>
      </c>
      <c r="K151">
        <v>10</v>
      </c>
      <c r="M151">
        <v>11</v>
      </c>
    </row>
    <row r="152" spans="1:20" s="30" customFormat="1" x14ac:dyDescent="0.3">
      <c r="A152" s="29"/>
      <c r="B152" s="30" t="s">
        <v>49</v>
      </c>
      <c r="C152" s="30" t="s">
        <v>51</v>
      </c>
      <c r="D152" s="38" t="s">
        <v>56</v>
      </c>
      <c r="E152" s="30">
        <v>1</v>
      </c>
      <c r="F152" s="30">
        <v>8</v>
      </c>
      <c r="G152" s="30" t="s">
        <v>3</v>
      </c>
      <c r="H152" s="30" t="s">
        <v>32</v>
      </c>
      <c r="I152" s="29"/>
      <c r="K152" s="30">
        <v>22</v>
      </c>
      <c r="M152" s="30">
        <v>22</v>
      </c>
      <c r="O152" s="29"/>
      <c r="T152" s="31"/>
    </row>
    <row r="153" spans="1:20" x14ac:dyDescent="0.3">
      <c r="A153" s="13"/>
      <c r="D153" s="39"/>
      <c r="H153" t="s">
        <v>33</v>
      </c>
      <c r="K153">
        <v>22</v>
      </c>
      <c r="M153">
        <v>22</v>
      </c>
    </row>
    <row r="154" spans="1:20" x14ac:dyDescent="0.3">
      <c r="A154" s="13"/>
      <c r="D154" s="39"/>
      <c r="G154" t="s">
        <v>5</v>
      </c>
      <c r="H154" t="s">
        <v>32</v>
      </c>
      <c r="K154">
        <v>22</v>
      </c>
      <c r="M154">
        <v>22</v>
      </c>
    </row>
    <row r="155" spans="1:20" s="33" customFormat="1" ht="15" thickBot="1" x14ac:dyDescent="0.35">
      <c r="A155" s="32"/>
      <c r="D155" s="40"/>
      <c r="H155" s="33" t="s">
        <v>33</v>
      </c>
      <c r="I155" s="32"/>
      <c r="K155" s="33">
        <v>12</v>
      </c>
      <c r="M155" s="33">
        <v>22</v>
      </c>
      <c r="O155" s="32"/>
      <c r="T155" s="34"/>
    </row>
    <row r="156" spans="1:20" x14ac:dyDescent="0.3">
      <c r="A156" t="s">
        <v>41</v>
      </c>
      <c r="B156" t="s">
        <v>57</v>
      </c>
      <c r="C156" t="s">
        <v>56</v>
      </c>
      <c r="D156" t="s">
        <v>56</v>
      </c>
      <c r="E156">
        <v>1</v>
      </c>
      <c r="F156">
        <v>8</v>
      </c>
      <c r="G156" t="s">
        <v>3</v>
      </c>
      <c r="H156" t="s">
        <v>33</v>
      </c>
      <c r="I156">
        <v>14.5</v>
      </c>
      <c r="J156">
        <v>16.8</v>
      </c>
      <c r="K156">
        <v>15.7</v>
      </c>
      <c r="L156">
        <v>15</v>
      </c>
      <c r="M156">
        <v>14.7</v>
      </c>
      <c r="N156" s="13">
        <v>15</v>
      </c>
    </row>
    <row r="157" spans="1:20" x14ac:dyDescent="0.3">
      <c r="H157" t="s">
        <v>32</v>
      </c>
      <c r="I157">
        <v>19.5</v>
      </c>
      <c r="J157">
        <v>21</v>
      </c>
      <c r="K157">
        <v>21.7</v>
      </c>
      <c r="L157">
        <v>22</v>
      </c>
      <c r="M157">
        <v>22.7</v>
      </c>
      <c r="N157" s="13">
        <v>23.3</v>
      </c>
    </row>
    <row r="158" spans="1:20" x14ac:dyDescent="0.3">
      <c r="H158" t="s">
        <v>59</v>
      </c>
      <c r="I158">
        <v>3.9986000000000002</v>
      </c>
      <c r="J158">
        <v>4.1378000000000004</v>
      </c>
      <c r="K158">
        <v>4.2316000000000003</v>
      </c>
      <c r="L158">
        <v>4.3806000000000003</v>
      </c>
      <c r="M158">
        <v>4.8883999999999999</v>
      </c>
      <c r="N158">
        <v>5.0517000000000003</v>
      </c>
    </row>
    <row r="159" spans="1:20" x14ac:dyDescent="0.3">
      <c r="G159" t="s">
        <v>5</v>
      </c>
      <c r="H159" t="s">
        <v>33</v>
      </c>
      <c r="I159">
        <v>10.6</v>
      </c>
      <c r="J159">
        <v>10.4</v>
      </c>
      <c r="K159">
        <v>13</v>
      </c>
      <c r="L159">
        <v>13.5</v>
      </c>
      <c r="M159">
        <v>14.7</v>
      </c>
      <c r="N159" s="13">
        <v>15</v>
      </c>
    </row>
    <row r="160" spans="1:20" x14ac:dyDescent="0.3">
      <c r="H160" t="s">
        <v>32</v>
      </c>
      <c r="I160">
        <v>14.2</v>
      </c>
      <c r="J160">
        <v>14</v>
      </c>
      <c r="K160">
        <v>14.8</v>
      </c>
      <c r="L160">
        <v>16.5</v>
      </c>
      <c r="M160">
        <v>19.5</v>
      </c>
      <c r="N160" s="13">
        <v>21</v>
      </c>
    </row>
    <row r="161" spans="1:45" x14ac:dyDescent="0.3">
      <c r="H161" t="s">
        <v>59</v>
      </c>
      <c r="I161">
        <v>12.2012</v>
      </c>
      <c r="J161">
        <v>12.994</v>
      </c>
      <c r="K161">
        <v>15.1632</v>
      </c>
      <c r="L161">
        <v>16.161300000000001</v>
      </c>
      <c r="M161">
        <v>17.0078</v>
      </c>
      <c r="N161">
        <v>17.283899999999999</v>
      </c>
    </row>
    <row r="162" spans="1:45" x14ac:dyDescent="0.3">
      <c r="G162" t="s">
        <v>4</v>
      </c>
      <c r="H162" t="s">
        <v>33</v>
      </c>
      <c r="I162">
        <v>14</v>
      </c>
      <c r="J162">
        <v>13.7</v>
      </c>
      <c r="K162">
        <v>12.5</v>
      </c>
      <c r="L162">
        <v>12.8</v>
      </c>
      <c r="M162">
        <v>13.4</v>
      </c>
      <c r="N162" s="13">
        <v>14</v>
      </c>
    </row>
    <row r="163" spans="1:45" x14ac:dyDescent="0.3">
      <c r="H163" t="s">
        <v>32</v>
      </c>
      <c r="I163">
        <v>18</v>
      </c>
      <c r="J163">
        <v>17</v>
      </c>
      <c r="K163">
        <v>16.5</v>
      </c>
      <c r="L163">
        <v>18.5</v>
      </c>
      <c r="M163">
        <v>20</v>
      </c>
      <c r="N163" s="13">
        <v>21.5</v>
      </c>
    </row>
    <row r="164" spans="1:45" x14ac:dyDescent="0.3">
      <c r="H164" t="s">
        <v>59</v>
      </c>
      <c r="I164">
        <v>2.2705000000000002</v>
      </c>
      <c r="J164">
        <v>2.4531000000000001</v>
      </c>
      <c r="K164">
        <v>2.8967000000000001</v>
      </c>
      <c r="L164">
        <v>3.0396999999999998</v>
      </c>
      <c r="M164">
        <v>2.9849000000000001</v>
      </c>
      <c r="N164">
        <v>2.9413999999999998</v>
      </c>
    </row>
    <row r="165" spans="1:45" x14ac:dyDescent="0.3">
      <c r="G165" t="s">
        <v>6</v>
      </c>
      <c r="H165" t="s">
        <v>33</v>
      </c>
      <c r="I165">
        <v>12</v>
      </c>
      <c r="J165">
        <v>13</v>
      </c>
      <c r="K165">
        <v>12.7</v>
      </c>
      <c r="L165">
        <v>12.4</v>
      </c>
      <c r="M165">
        <v>13.5</v>
      </c>
      <c r="N165">
        <v>17</v>
      </c>
    </row>
    <row r="166" spans="1:45" x14ac:dyDescent="0.3">
      <c r="H166" t="s">
        <v>32</v>
      </c>
      <c r="I166">
        <v>15.5</v>
      </c>
      <c r="J166">
        <v>16</v>
      </c>
      <c r="K166">
        <v>15.5</v>
      </c>
      <c r="L166">
        <v>15.5</v>
      </c>
      <c r="M166">
        <v>16.5</v>
      </c>
      <c r="N166">
        <v>19.5</v>
      </c>
    </row>
    <row r="167" spans="1:45" x14ac:dyDescent="0.3">
      <c r="H167" t="s">
        <v>59</v>
      </c>
      <c r="I167">
        <v>3.5196999999999998</v>
      </c>
      <c r="J167">
        <v>3.6166999999999998</v>
      </c>
      <c r="K167">
        <v>4.1215000000000002</v>
      </c>
      <c r="L167">
        <v>4.2576000000000001</v>
      </c>
      <c r="M167">
        <v>4.6294000000000004</v>
      </c>
      <c r="N167">
        <v>4.8673999999999999</v>
      </c>
    </row>
    <row r="168" spans="1:45" x14ac:dyDescent="0.3">
      <c r="A168" t="s">
        <v>41</v>
      </c>
      <c r="B168" t="s">
        <v>69</v>
      </c>
      <c r="C168" t="s">
        <v>56</v>
      </c>
      <c r="D168" t="s">
        <v>56</v>
      </c>
      <c r="E168">
        <v>1</v>
      </c>
      <c r="F168">
        <v>8</v>
      </c>
      <c r="G168" t="s">
        <v>3</v>
      </c>
      <c r="H168" t="s">
        <v>33</v>
      </c>
      <c r="I168">
        <v>11.5</v>
      </c>
      <c r="J168">
        <v>11.7</v>
      </c>
      <c r="K168">
        <v>16</v>
      </c>
      <c r="L168">
        <v>14.3</v>
      </c>
      <c r="M168">
        <v>15.5</v>
      </c>
      <c r="N168" s="13">
        <v>15.6</v>
      </c>
    </row>
    <row r="169" spans="1:45" x14ac:dyDescent="0.3">
      <c r="H169" t="s">
        <v>32</v>
      </c>
      <c r="I169">
        <v>15</v>
      </c>
      <c r="J169">
        <v>14.5</v>
      </c>
      <c r="K169">
        <v>21.5</v>
      </c>
      <c r="L169">
        <v>21.8</v>
      </c>
      <c r="M169">
        <v>22</v>
      </c>
      <c r="N169" s="13">
        <v>23</v>
      </c>
    </row>
    <row r="170" spans="1:45" x14ac:dyDescent="0.3">
      <c r="H170" t="s">
        <v>59</v>
      </c>
      <c r="I170">
        <v>3.5396000000000001</v>
      </c>
      <c r="J170">
        <v>3.8456999999999999</v>
      </c>
      <c r="K170">
        <v>4.0490000000000004</v>
      </c>
      <c r="L170">
        <v>4.2031000000000001</v>
      </c>
      <c r="M170">
        <v>4.8677000000000001</v>
      </c>
      <c r="N170">
        <v>5.1585000000000001</v>
      </c>
      <c r="T170"/>
    </row>
    <row r="171" spans="1:45" x14ac:dyDescent="0.3">
      <c r="G171" t="s">
        <v>5</v>
      </c>
      <c r="H171" t="s">
        <v>33</v>
      </c>
      <c r="I171">
        <v>8.3000000000000007</v>
      </c>
      <c r="J171">
        <v>8.6999999999999993</v>
      </c>
      <c r="K171">
        <v>8.9</v>
      </c>
      <c r="L171">
        <v>10.199999999999999</v>
      </c>
      <c r="M171">
        <v>13.4</v>
      </c>
      <c r="N171" s="13">
        <v>13.9</v>
      </c>
      <c r="S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H171" s="14"/>
      <c r="AI171" s="14"/>
      <c r="AJ171" s="14"/>
      <c r="AK171" s="14"/>
      <c r="AN171" s="14"/>
      <c r="AO171" s="14"/>
      <c r="AR171" s="14"/>
      <c r="AS171" s="14"/>
    </row>
    <row r="172" spans="1:45" x14ac:dyDescent="0.3">
      <c r="H172" t="s">
        <v>32</v>
      </c>
      <c r="I172">
        <v>12</v>
      </c>
      <c r="J172">
        <v>12.5</v>
      </c>
      <c r="K172">
        <v>12.2</v>
      </c>
      <c r="L172">
        <v>13.5</v>
      </c>
      <c r="M172">
        <v>17.3</v>
      </c>
      <c r="N172" s="13">
        <v>18.2</v>
      </c>
      <c r="R172" s="14"/>
      <c r="T172"/>
    </row>
    <row r="173" spans="1:45" x14ac:dyDescent="0.3">
      <c r="H173" t="s">
        <v>59</v>
      </c>
      <c r="I173">
        <v>11.572800000000001</v>
      </c>
      <c r="J173">
        <v>12.857200000000001</v>
      </c>
      <c r="K173">
        <v>15.431800000000001</v>
      </c>
      <c r="L173">
        <v>16.448799999999999</v>
      </c>
      <c r="M173">
        <v>17.9589</v>
      </c>
      <c r="N173">
        <v>18.452000000000002</v>
      </c>
      <c r="T173"/>
    </row>
    <row r="174" spans="1:45" x14ac:dyDescent="0.3">
      <c r="G174" t="s">
        <v>4</v>
      </c>
      <c r="H174" t="s">
        <v>33</v>
      </c>
      <c r="I174">
        <v>11.3</v>
      </c>
      <c r="J174">
        <v>10.3</v>
      </c>
      <c r="K174">
        <v>10.5</v>
      </c>
      <c r="L174">
        <v>9.5</v>
      </c>
      <c r="M174">
        <v>9.6999999999999993</v>
      </c>
      <c r="N174" s="13">
        <v>10.5</v>
      </c>
      <c r="T174"/>
    </row>
    <row r="175" spans="1:45" x14ac:dyDescent="0.3">
      <c r="H175" t="s">
        <v>32</v>
      </c>
      <c r="I175">
        <v>14.5</v>
      </c>
      <c r="J175">
        <v>13.5</v>
      </c>
      <c r="K175">
        <v>14</v>
      </c>
      <c r="L175">
        <v>13.7</v>
      </c>
      <c r="M175">
        <v>14.3</v>
      </c>
      <c r="N175" s="13">
        <v>16.5</v>
      </c>
      <c r="T175"/>
    </row>
    <row r="176" spans="1:45" x14ac:dyDescent="0.3">
      <c r="H176" t="s">
        <v>59</v>
      </c>
      <c r="I176">
        <v>1.5993999999999999</v>
      </c>
      <c r="J176">
        <v>2.0234000000000001</v>
      </c>
      <c r="K176">
        <v>2.5347</v>
      </c>
      <c r="L176">
        <v>2.6404999999999998</v>
      </c>
      <c r="M176">
        <v>2.6042999999999998</v>
      </c>
      <c r="N176">
        <v>2.6381999999999999</v>
      </c>
      <c r="T176"/>
    </row>
    <row r="177" spans="1:35" x14ac:dyDescent="0.3">
      <c r="G177" t="s">
        <v>6</v>
      </c>
      <c r="H177" t="s">
        <v>33</v>
      </c>
      <c r="I177">
        <v>12</v>
      </c>
      <c r="J177">
        <v>13</v>
      </c>
      <c r="K177">
        <v>12.7</v>
      </c>
      <c r="L177">
        <v>12.4</v>
      </c>
      <c r="M177">
        <v>13.5</v>
      </c>
      <c r="N177">
        <v>17</v>
      </c>
      <c r="T177"/>
      <c r="AI177" s="14"/>
    </row>
    <row r="178" spans="1:35" x14ac:dyDescent="0.3">
      <c r="H178" t="s">
        <v>32</v>
      </c>
      <c r="I178">
        <v>15.5</v>
      </c>
      <c r="J178">
        <v>16</v>
      </c>
      <c r="K178">
        <v>15.5</v>
      </c>
      <c r="L178">
        <v>15.5</v>
      </c>
      <c r="M178">
        <v>16.5</v>
      </c>
      <c r="N178">
        <v>19.5</v>
      </c>
      <c r="T178"/>
      <c r="AI178" s="14"/>
    </row>
    <row r="179" spans="1:35" x14ac:dyDescent="0.3">
      <c r="H179" t="s">
        <v>59</v>
      </c>
      <c r="I179">
        <v>2.9194</v>
      </c>
      <c r="J179">
        <v>2.8220000000000001</v>
      </c>
      <c r="K179">
        <v>3.5278999999999998</v>
      </c>
      <c r="L179">
        <v>3.6181000000000001</v>
      </c>
      <c r="M179">
        <v>3.9927000000000001</v>
      </c>
      <c r="N179">
        <v>3.6564999999999999</v>
      </c>
    </row>
    <row r="180" spans="1:35" s="41" customFormat="1" x14ac:dyDescent="0.3">
      <c r="A180" s="41" t="s">
        <v>42</v>
      </c>
      <c r="B180" s="41" t="s">
        <v>60</v>
      </c>
      <c r="G180" s="43" t="s">
        <v>3</v>
      </c>
      <c r="H180" s="41" t="s">
        <v>33</v>
      </c>
      <c r="I180" s="41">
        <v>8.9</v>
      </c>
      <c r="K180" s="41">
        <v>12.2</v>
      </c>
      <c r="M180" s="41">
        <v>13.6</v>
      </c>
      <c r="N180" s="41">
        <v>15.1</v>
      </c>
      <c r="O180" s="42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I180" s="43"/>
    </row>
    <row r="181" spans="1:35" x14ac:dyDescent="0.3">
      <c r="G181" s="14"/>
      <c r="H181" t="s">
        <v>32</v>
      </c>
      <c r="I181">
        <v>17.100000000000001</v>
      </c>
      <c r="K181">
        <v>21</v>
      </c>
      <c r="M181">
        <v>23.3</v>
      </c>
      <c r="S181" s="14"/>
      <c r="T181"/>
      <c r="AI181" s="14"/>
    </row>
    <row r="182" spans="1:35" x14ac:dyDescent="0.3">
      <c r="G182" s="14"/>
      <c r="H182" t="s">
        <v>59</v>
      </c>
      <c r="I182">
        <v>2.4</v>
      </c>
      <c r="J182">
        <v>2.8</v>
      </c>
      <c r="K182">
        <v>3.1</v>
      </c>
      <c r="L182">
        <v>3.5</v>
      </c>
      <c r="M182">
        <v>3.9</v>
      </c>
      <c r="N182">
        <v>4.5999999999999996</v>
      </c>
      <c r="S182" s="14"/>
      <c r="T182"/>
      <c r="AH182" s="14"/>
      <c r="AI182" s="14"/>
    </row>
    <row r="183" spans="1:35" x14ac:dyDescent="0.3">
      <c r="G183" s="14" t="s">
        <v>5</v>
      </c>
      <c r="H183" t="s">
        <v>33</v>
      </c>
      <c r="I183">
        <v>6.6</v>
      </c>
      <c r="J183">
        <v>7.8</v>
      </c>
      <c r="K183">
        <v>9.6</v>
      </c>
      <c r="L183">
        <v>11</v>
      </c>
      <c r="M183">
        <v>11.8</v>
      </c>
      <c r="N183">
        <v>13.9</v>
      </c>
      <c r="S183" s="14"/>
      <c r="T183"/>
    </row>
    <row r="184" spans="1:35" x14ac:dyDescent="0.3">
      <c r="G184" s="14"/>
      <c r="H184" t="s">
        <v>32</v>
      </c>
      <c r="I184">
        <v>11</v>
      </c>
      <c r="J184">
        <v>13.4</v>
      </c>
      <c r="K184">
        <v>15.5</v>
      </c>
      <c r="L184">
        <v>17.8</v>
      </c>
      <c r="M184">
        <v>21.5</v>
      </c>
      <c r="N184">
        <v>22.2</v>
      </c>
      <c r="S184" s="14"/>
      <c r="T184"/>
      <c r="AI184" s="14"/>
    </row>
    <row r="185" spans="1:35" x14ac:dyDescent="0.3">
      <c r="G185" s="14"/>
      <c r="H185" t="s">
        <v>59</v>
      </c>
      <c r="I185">
        <v>12.5</v>
      </c>
      <c r="J185" s="14">
        <v>14.1</v>
      </c>
      <c r="K185">
        <v>16.5</v>
      </c>
      <c r="L185">
        <v>17.7</v>
      </c>
      <c r="M185">
        <v>18.7</v>
      </c>
      <c r="N185">
        <v>20</v>
      </c>
      <c r="T185"/>
      <c r="AI185" s="14"/>
    </row>
    <row r="186" spans="1:35" x14ac:dyDescent="0.3">
      <c r="F186">
        <v>15</v>
      </c>
      <c r="G186" t="s">
        <v>3</v>
      </c>
      <c r="H186" t="s">
        <v>61</v>
      </c>
      <c r="I186"/>
      <c r="N186" s="13"/>
      <c r="S186" s="14"/>
      <c r="T186"/>
      <c r="U186">
        <v>0.75529999999999997</v>
      </c>
      <c r="V186">
        <v>0.75760000000000005</v>
      </c>
      <c r="W186">
        <v>0.75219999999999998</v>
      </c>
      <c r="X186">
        <v>0.73640000000000005</v>
      </c>
      <c r="Y186">
        <v>0.74819999999999998</v>
      </c>
      <c r="Z186">
        <v>0.72950000000000004</v>
      </c>
      <c r="AA186">
        <v>0.70709999999999995</v>
      </c>
      <c r="AI186" s="14"/>
    </row>
    <row r="187" spans="1:35" x14ac:dyDescent="0.3">
      <c r="A187" t="s">
        <v>41</v>
      </c>
      <c r="B187" t="s">
        <v>64</v>
      </c>
      <c r="F187">
        <v>8</v>
      </c>
      <c r="G187" t="s">
        <v>3</v>
      </c>
      <c r="H187" t="s">
        <v>59</v>
      </c>
      <c r="I187">
        <v>1.7</v>
      </c>
      <c r="J187">
        <v>1.7</v>
      </c>
      <c r="K187">
        <v>1.3</v>
      </c>
      <c r="L187">
        <v>1.4</v>
      </c>
      <c r="M187">
        <v>1.9</v>
      </c>
      <c r="N187">
        <v>2.1</v>
      </c>
      <c r="S187" s="14"/>
      <c r="T187"/>
      <c r="AF187" s="14"/>
      <c r="AG187" s="14"/>
      <c r="AI187" s="14"/>
    </row>
    <row r="188" spans="1:35" x14ac:dyDescent="0.3">
      <c r="B188" t="s">
        <v>64</v>
      </c>
      <c r="G188" t="s">
        <v>3</v>
      </c>
      <c r="H188" t="s">
        <v>33</v>
      </c>
      <c r="I188">
        <v>13.7</v>
      </c>
      <c r="J188">
        <v>14.2</v>
      </c>
      <c r="K188">
        <v>15</v>
      </c>
      <c r="L188">
        <v>14.6</v>
      </c>
      <c r="M188">
        <v>14</v>
      </c>
      <c r="N188">
        <v>13.8</v>
      </c>
    </row>
    <row r="189" spans="1:35" x14ac:dyDescent="0.3">
      <c r="B189" t="s">
        <v>64</v>
      </c>
      <c r="G189" t="s">
        <v>3</v>
      </c>
      <c r="H189" t="s">
        <v>32</v>
      </c>
      <c r="I189">
        <v>18.7</v>
      </c>
      <c r="J189">
        <v>19.600000000000001</v>
      </c>
      <c r="K189">
        <v>20</v>
      </c>
      <c r="L189" t="s">
        <v>63</v>
      </c>
      <c r="M189" t="s">
        <v>63</v>
      </c>
      <c r="N189" t="s">
        <v>63</v>
      </c>
    </row>
    <row r="190" spans="1:35" x14ac:dyDescent="0.3">
      <c r="B190" t="s">
        <v>64</v>
      </c>
      <c r="G190" t="s">
        <v>4</v>
      </c>
      <c r="H190" t="s">
        <v>59</v>
      </c>
      <c r="I190">
        <v>1.5</v>
      </c>
      <c r="J190">
        <v>1.7</v>
      </c>
      <c r="K190">
        <v>2</v>
      </c>
      <c r="L190">
        <v>2.2000000000000002</v>
      </c>
      <c r="M190">
        <v>2.7</v>
      </c>
      <c r="N190">
        <v>2.2999999999999998</v>
      </c>
    </row>
    <row r="191" spans="1:35" x14ac:dyDescent="0.3">
      <c r="B191" t="s">
        <v>64</v>
      </c>
      <c r="G191" t="s">
        <v>4</v>
      </c>
      <c r="H191" t="s">
        <v>33</v>
      </c>
      <c r="I191">
        <v>12.7</v>
      </c>
      <c r="J191">
        <v>11.8</v>
      </c>
      <c r="K191">
        <v>11.2</v>
      </c>
      <c r="L191">
        <v>12</v>
      </c>
      <c r="M191">
        <v>12.5</v>
      </c>
      <c r="N191">
        <v>13</v>
      </c>
    </row>
    <row r="192" spans="1:35" x14ac:dyDescent="0.3">
      <c r="B192" t="s">
        <v>64</v>
      </c>
      <c r="G192" t="s">
        <v>4</v>
      </c>
      <c r="H192" t="s">
        <v>32</v>
      </c>
      <c r="I192">
        <v>16.5</v>
      </c>
      <c r="J192">
        <v>16.5</v>
      </c>
      <c r="K192">
        <v>16.600000000000001</v>
      </c>
      <c r="L192">
        <v>17.8</v>
      </c>
      <c r="M192">
        <v>19.2</v>
      </c>
      <c r="N192">
        <v>20</v>
      </c>
    </row>
    <row r="193" spans="2:14" x14ac:dyDescent="0.3">
      <c r="B193" t="s">
        <v>64</v>
      </c>
      <c r="G193" t="s">
        <v>6</v>
      </c>
      <c r="H193" t="s">
        <v>59</v>
      </c>
      <c r="I193" t="s">
        <v>9</v>
      </c>
      <c r="J193">
        <v>3.5</v>
      </c>
      <c r="K193">
        <v>4</v>
      </c>
      <c r="L193">
        <v>4.4000000000000004</v>
      </c>
      <c r="M193">
        <v>4.2</v>
      </c>
      <c r="N193">
        <v>4.2</v>
      </c>
    </row>
    <row r="194" spans="2:14" x14ac:dyDescent="0.3">
      <c r="B194" t="s">
        <v>64</v>
      </c>
      <c r="G194" t="s">
        <v>6</v>
      </c>
      <c r="H194" t="s">
        <v>33</v>
      </c>
      <c r="I194" t="s">
        <v>9</v>
      </c>
      <c r="J194">
        <v>12.9</v>
      </c>
      <c r="K194">
        <v>12.6</v>
      </c>
      <c r="L194">
        <v>13</v>
      </c>
      <c r="M194">
        <v>13.2</v>
      </c>
      <c r="N194">
        <v>13.4</v>
      </c>
    </row>
    <row r="195" spans="2:14" x14ac:dyDescent="0.3">
      <c r="B195" t="s">
        <v>64</v>
      </c>
      <c r="G195" t="s">
        <v>6</v>
      </c>
      <c r="H195" t="s">
        <v>32</v>
      </c>
      <c r="I195" t="s">
        <v>9</v>
      </c>
      <c r="J195">
        <v>15.5</v>
      </c>
      <c r="K195">
        <v>15.8</v>
      </c>
      <c r="L195">
        <v>16.3</v>
      </c>
      <c r="M195">
        <v>17.399999999999999</v>
      </c>
      <c r="N195">
        <v>18</v>
      </c>
    </row>
    <row r="196" spans="2:14" x14ac:dyDescent="0.3">
      <c r="B196" t="s">
        <v>64</v>
      </c>
      <c r="G196" t="s">
        <v>5</v>
      </c>
      <c r="H196" t="s">
        <v>59</v>
      </c>
      <c r="I196">
        <v>8.6999999999999993</v>
      </c>
      <c r="J196">
        <v>9.6</v>
      </c>
      <c r="K196">
        <v>10.8</v>
      </c>
      <c r="L196">
        <v>11.4</v>
      </c>
      <c r="M196">
        <v>12.9</v>
      </c>
      <c r="N196">
        <v>13.3</v>
      </c>
    </row>
    <row r="197" spans="2:14" x14ac:dyDescent="0.3">
      <c r="B197" t="s">
        <v>64</v>
      </c>
      <c r="G197" t="s">
        <v>5</v>
      </c>
      <c r="H197" t="s">
        <v>33</v>
      </c>
      <c r="I197">
        <v>10.3</v>
      </c>
      <c r="J197">
        <v>10.8</v>
      </c>
      <c r="K197">
        <v>11.6</v>
      </c>
      <c r="L197">
        <v>13</v>
      </c>
      <c r="M197">
        <v>15.3</v>
      </c>
      <c r="N197">
        <v>16</v>
      </c>
    </row>
    <row r="198" spans="2:14" x14ac:dyDescent="0.3">
      <c r="B198" t="s">
        <v>64</v>
      </c>
      <c r="G198" t="s">
        <v>5</v>
      </c>
      <c r="H198" t="s">
        <v>32</v>
      </c>
      <c r="I198">
        <v>14.4</v>
      </c>
      <c r="J198">
        <v>15.3</v>
      </c>
      <c r="K198">
        <v>16</v>
      </c>
      <c r="L198">
        <v>17.399999999999999</v>
      </c>
      <c r="M198">
        <v>20</v>
      </c>
      <c r="N198" t="s">
        <v>63</v>
      </c>
    </row>
    <row r="199" spans="2:14" x14ac:dyDescent="0.3">
      <c r="B199" t="s">
        <v>65</v>
      </c>
      <c r="G199" t="s">
        <v>3</v>
      </c>
      <c r="H199" t="s">
        <v>59</v>
      </c>
      <c r="I199" t="s">
        <v>9</v>
      </c>
      <c r="J199" t="s">
        <v>9</v>
      </c>
      <c r="K199">
        <v>1.9</v>
      </c>
      <c r="L199">
        <v>1.6</v>
      </c>
      <c r="M199">
        <v>1.9</v>
      </c>
      <c r="N199">
        <v>2.2000000000000002</v>
      </c>
    </row>
    <row r="200" spans="2:14" x14ac:dyDescent="0.3">
      <c r="B200" t="s">
        <v>65</v>
      </c>
      <c r="G200" t="s">
        <v>3</v>
      </c>
      <c r="H200" t="s">
        <v>33</v>
      </c>
      <c r="I200" t="s">
        <v>9</v>
      </c>
      <c r="J200" t="s">
        <v>9</v>
      </c>
      <c r="K200">
        <v>17</v>
      </c>
      <c r="L200">
        <v>13.7</v>
      </c>
      <c r="M200">
        <v>13</v>
      </c>
      <c r="N200">
        <v>13.4</v>
      </c>
    </row>
    <row r="201" spans="2:14" x14ac:dyDescent="0.3">
      <c r="B201" t="s">
        <v>65</v>
      </c>
      <c r="G201" t="s">
        <v>3</v>
      </c>
      <c r="H201" t="s">
        <v>32</v>
      </c>
      <c r="I201" t="s">
        <v>9</v>
      </c>
      <c r="J201" t="s">
        <v>9</v>
      </c>
      <c r="K201" t="s">
        <v>9</v>
      </c>
      <c r="L201" t="s">
        <v>9</v>
      </c>
      <c r="M201" t="s">
        <v>9</v>
      </c>
      <c r="N201" t="s">
        <v>9</v>
      </c>
    </row>
    <row r="202" spans="2:14" x14ac:dyDescent="0.3">
      <c r="B202" t="s">
        <v>65</v>
      </c>
      <c r="G202" t="s">
        <v>4</v>
      </c>
      <c r="H202" t="s">
        <v>59</v>
      </c>
      <c r="I202" t="s">
        <v>9</v>
      </c>
      <c r="J202" t="s">
        <v>9</v>
      </c>
      <c r="K202">
        <v>2.2000000000000002</v>
      </c>
      <c r="L202">
        <v>2.4</v>
      </c>
      <c r="M202">
        <v>2.7</v>
      </c>
      <c r="N202">
        <v>2.7</v>
      </c>
    </row>
    <row r="203" spans="2:14" x14ac:dyDescent="0.3">
      <c r="B203" t="s">
        <v>65</v>
      </c>
      <c r="G203" t="s">
        <v>4</v>
      </c>
      <c r="H203" t="s">
        <v>33</v>
      </c>
      <c r="I203" t="s">
        <v>9</v>
      </c>
      <c r="J203" t="s">
        <v>9</v>
      </c>
      <c r="K203">
        <v>10.8</v>
      </c>
      <c r="L203">
        <v>11.1</v>
      </c>
      <c r="M203">
        <v>14.5</v>
      </c>
      <c r="N203">
        <v>12.6</v>
      </c>
    </row>
    <row r="204" spans="2:14" x14ac:dyDescent="0.3">
      <c r="B204" t="s">
        <v>65</v>
      </c>
      <c r="G204" t="s">
        <v>4</v>
      </c>
      <c r="H204" t="s">
        <v>32</v>
      </c>
      <c r="I204" t="s">
        <v>9</v>
      </c>
      <c r="J204" t="s">
        <v>9</v>
      </c>
      <c r="K204">
        <v>15</v>
      </c>
      <c r="L204">
        <v>15.5</v>
      </c>
      <c r="M204">
        <v>21</v>
      </c>
      <c r="N204">
        <v>19</v>
      </c>
    </row>
    <row r="205" spans="2:14" x14ac:dyDescent="0.3">
      <c r="B205" t="s">
        <v>65</v>
      </c>
      <c r="G205" t="s">
        <v>6</v>
      </c>
      <c r="H205" t="s">
        <v>59</v>
      </c>
      <c r="I205" t="s">
        <v>9</v>
      </c>
      <c r="J205" t="s">
        <v>9</v>
      </c>
      <c r="K205">
        <v>3.7</v>
      </c>
      <c r="L205">
        <v>3.8</v>
      </c>
      <c r="M205">
        <v>4.0999999999999996</v>
      </c>
      <c r="N205">
        <v>4.2</v>
      </c>
    </row>
    <row r="206" spans="2:14" x14ac:dyDescent="0.3">
      <c r="B206" t="s">
        <v>65</v>
      </c>
      <c r="G206" t="s">
        <v>6</v>
      </c>
      <c r="H206" t="s">
        <v>33</v>
      </c>
      <c r="I206" t="s">
        <v>9</v>
      </c>
      <c r="J206" t="s">
        <v>9</v>
      </c>
      <c r="K206">
        <v>10.8</v>
      </c>
      <c r="L206">
        <v>11.1</v>
      </c>
      <c r="M206">
        <v>11.5</v>
      </c>
      <c r="N206">
        <v>12.2</v>
      </c>
    </row>
    <row r="207" spans="2:14" x14ac:dyDescent="0.3">
      <c r="B207" t="s">
        <v>65</v>
      </c>
      <c r="G207" t="s">
        <v>6</v>
      </c>
      <c r="H207" t="s">
        <v>32</v>
      </c>
      <c r="I207" t="s">
        <v>9</v>
      </c>
      <c r="J207" t="s">
        <v>9</v>
      </c>
      <c r="K207">
        <v>14.4</v>
      </c>
      <c r="L207">
        <v>15</v>
      </c>
      <c r="M207">
        <v>15.5</v>
      </c>
      <c r="N207">
        <v>16.8</v>
      </c>
    </row>
    <row r="208" spans="2:14" x14ac:dyDescent="0.3">
      <c r="B208" t="s">
        <v>65</v>
      </c>
      <c r="G208" t="s">
        <v>5</v>
      </c>
      <c r="H208" t="s">
        <v>59</v>
      </c>
      <c r="I208" t="s">
        <v>9</v>
      </c>
      <c r="J208" t="s">
        <v>9</v>
      </c>
      <c r="K208">
        <v>10.3</v>
      </c>
      <c r="L208">
        <v>11.6</v>
      </c>
      <c r="M208">
        <v>12.3</v>
      </c>
      <c r="N208">
        <v>12.6</v>
      </c>
    </row>
    <row r="209" spans="2:14" x14ac:dyDescent="0.3">
      <c r="B209" t="s">
        <v>65</v>
      </c>
      <c r="G209" t="s">
        <v>5</v>
      </c>
      <c r="H209" t="s">
        <v>33</v>
      </c>
      <c r="I209" t="s">
        <v>9</v>
      </c>
      <c r="J209" t="s">
        <v>9</v>
      </c>
      <c r="K209">
        <v>11</v>
      </c>
      <c r="L209">
        <v>12.7</v>
      </c>
      <c r="M209">
        <v>13.5</v>
      </c>
      <c r="N209">
        <v>14</v>
      </c>
    </row>
    <row r="210" spans="2:14" x14ac:dyDescent="0.3">
      <c r="B210" t="s">
        <v>65</v>
      </c>
      <c r="G210" t="s">
        <v>5</v>
      </c>
      <c r="H210" t="s">
        <v>32</v>
      </c>
      <c r="I210" t="s">
        <v>9</v>
      </c>
      <c r="J210" t="s">
        <v>9</v>
      </c>
      <c r="K210">
        <v>15</v>
      </c>
      <c r="L210">
        <v>16.2</v>
      </c>
      <c r="M210">
        <v>18</v>
      </c>
      <c r="N210">
        <v>19.2</v>
      </c>
    </row>
    <row r="211" spans="2:14" x14ac:dyDescent="0.3">
      <c r="B211" t="s">
        <v>66</v>
      </c>
      <c r="G211" t="s">
        <v>3</v>
      </c>
      <c r="H211" t="s">
        <v>59</v>
      </c>
      <c r="I211" t="s">
        <v>9</v>
      </c>
      <c r="J211" t="s">
        <v>9</v>
      </c>
      <c r="K211">
        <v>1.3</v>
      </c>
      <c r="L211">
        <v>1.8</v>
      </c>
      <c r="M211">
        <v>1.5</v>
      </c>
      <c r="N211">
        <v>2.1</v>
      </c>
    </row>
    <row r="212" spans="2:14" x14ac:dyDescent="0.3">
      <c r="B212" t="s">
        <v>66</v>
      </c>
      <c r="G212" t="s">
        <v>3</v>
      </c>
      <c r="H212" t="s">
        <v>33</v>
      </c>
      <c r="I212" t="s">
        <v>9</v>
      </c>
      <c r="J212" t="s">
        <v>9</v>
      </c>
      <c r="K212">
        <v>15.3</v>
      </c>
      <c r="L212">
        <v>15</v>
      </c>
      <c r="M212">
        <v>14.3</v>
      </c>
      <c r="N212">
        <v>14</v>
      </c>
    </row>
    <row r="213" spans="2:14" x14ac:dyDescent="0.3">
      <c r="B213" t="s">
        <v>66</v>
      </c>
      <c r="G213" t="s">
        <v>3</v>
      </c>
      <c r="H213" t="s">
        <v>32</v>
      </c>
      <c r="I213" t="s">
        <v>9</v>
      </c>
      <c r="J213" t="s">
        <v>9</v>
      </c>
      <c r="K213">
        <v>19.5</v>
      </c>
      <c r="L213">
        <v>21</v>
      </c>
      <c r="M213" t="s">
        <v>63</v>
      </c>
      <c r="N213" t="s">
        <v>63</v>
      </c>
    </row>
    <row r="214" spans="2:14" x14ac:dyDescent="0.3">
      <c r="B214" t="s">
        <v>66</v>
      </c>
      <c r="G214" t="s">
        <v>4</v>
      </c>
      <c r="H214" t="s">
        <v>59</v>
      </c>
      <c r="I214" t="s">
        <v>9</v>
      </c>
      <c r="J214" t="s">
        <v>9</v>
      </c>
      <c r="K214">
        <v>2.85</v>
      </c>
      <c r="L214">
        <v>2.4500000000000002</v>
      </c>
      <c r="M214">
        <v>2.9</v>
      </c>
      <c r="N214">
        <v>3.2</v>
      </c>
    </row>
    <row r="215" spans="2:14" x14ac:dyDescent="0.3">
      <c r="B215" t="s">
        <v>66</v>
      </c>
      <c r="G215" t="s">
        <v>4</v>
      </c>
      <c r="H215" t="s">
        <v>33</v>
      </c>
      <c r="I215" t="s">
        <v>9</v>
      </c>
      <c r="J215" t="s">
        <v>9</v>
      </c>
      <c r="K215">
        <v>12.2</v>
      </c>
      <c r="L215">
        <v>12.7</v>
      </c>
      <c r="M215">
        <v>17.8</v>
      </c>
      <c r="N215">
        <v>15.5</v>
      </c>
    </row>
    <row r="216" spans="2:14" x14ac:dyDescent="0.3">
      <c r="B216" t="s">
        <v>66</v>
      </c>
      <c r="G216" t="s">
        <v>4</v>
      </c>
      <c r="H216" t="s">
        <v>32</v>
      </c>
      <c r="I216" t="s">
        <v>9</v>
      </c>
      <c r="J216" t="s">
        <v>9</v>
      </c>
      <c r="K216">
        <v>17.2</v>
      </c>
      <c r="L216">
        <v>19</v>
      </c>
      <c r="M216">
        <v>21</v>
      </c>
      <c r="N216" t="s">
        <v>63</v>
      </c>
    </row>
    <row r="217" spans="2:14" x14ac:dyDescent="0.3">
      <c r="B217" t="s">
        <v>66</v>
      </c>
      <c r="G217" t="s">
        <v>6</v>
      </c>
      <c r="H217" t="s">
        <v>59</v>
      </c>
      <c r="I217" t="s">
        <v>9</v>
      </c>
      <c r="J217" t="s">
        <v>9</v>
      </c>
      <c r="K217">
        <v>4.2</v>
      </c>
      <c r="L217">
        <v>4.3</v>
      </c>
      <c r="M217">
        <v>4</v>
      </c>
      <c r="N217">
        <v>4.7</v>
      </c>
    </row>
    <row r="218" spans="2:14" x14ac:dyDescent="0.3">
      <c r="B218" t="s">
        <v>66</v>
      </c>
      <c r="G218" t="s">
        <v>6</v>
      </c>
      <c r="H218" t="s">
        <v>33</v>
      </c>
      <c r="I218" t="s">
        <v>9</v>
      </c>
      <c r="J218" t="s">
        <v>9</v>
      </c>
      <c r="K218">
        <v>13.1</v>
      </c>
      <c r="L218">
        <v>13</v>
      </c>
      <c r="M218">
        <v>13.6</v>
      </c>
      <c r="N218">
        <v>14.1</v>
      </c>
    </row>
    <row r="219" spans="2:14" x14ac:dyDescent="0.3">
      <c r="B219" t="s">
        <v>66</v>
      </c>
      <c r="G219" t="s">
        <v>6</v>
      </c>
      <c r="H219" t="s">
        <v>32</v>
      </c>
      <c r="I219" t="s">
        <v>9</v>
      </c>
      <c r="J219" t="s">
        <v>9</v>
      </c>
      <c r="K219">
        <v>15.8</v>
      </c>
      <c r="L219">
        <v>16</v>
      </c>
      <c r="M219">
        <v>16.7</v>
      </c>
      <c r="N219">
        <v>18</v>
      </c>
    </row>
    <row r="220" spans="2:14" x14ac:dyDescent="0.3">
      <c r="B220" t="s">
        <v>66</v>
      </c>
      <c r="G220" t="s">
        <v>5</v>
      </c>
      <c r="H220" t="s">
        <v>59</v>
      </c>
      <c r="I220" t="s">
        <v>9</v>
      </c>
      <c r="J220" t="s">
        <v>9</v>
      </c>
      <c r="K220">
        <v>11.3</v>
      </c>
      <c r="L220">
        <v>12.8</v>
      </c>
      <c r="M220">
        <v>14.2</v>
      </c>
      <c r="N220">
        <v>13.9</v>
      </c>
    </row>
    <row r="221" spans="2:14" x14ac:dyDescent="0.3">
      <c r="B221" t="s">
        <v>66</v>
      </c>
      <c r="G221" t="s">
        <v>5</v>
      </c>
      <c r="H221" t="s">
        <v>33</v>
      </c>
      <c r="I221" t="s">
        <v>9</v>
      </c>
      <c r="J221" t="s">
        <v>9</v>
      </c>
      <c r="K221">
        <v>12.3</v>
      </c>
      <c r="L221">
        <v>13</v>
      </c>
      <c r="M221">
        <v>15</v>
      </c>
      <c r="N221">
        <v>16.2</v>
      </c>
    </row>
    <row r="222" spans="2:14" x14ac:dyDescent="0.3">
      <c r="B222" t="s">
        <v>66</v>
      </c>
      <c r="G222" t="s">
        <v>5</v>
      </c>
      <c r="H222" t="s">
        <v>32</v>
      </c>
      <c r="I222" t="s">
        <v>9</v>
      </c>
      <c r="J222" t="s">
        <v>9</v>
      </c>
      <c r="K222">
        <v>15.6</v>
      </c>
      <c r="L222">
        <v>15.9</v>
      </c>
      <c r="M222">
        <v>19</v>
      </c>
      <c r="N222" t="s">
        <v>63</v>
      </c>
    </row>
    <row r="223" spans="2:14" x14ac:dyDescent="0.3">
      <c r="B223" t="s">
        <v>67</v>
      </c>
      <c r="G223" t="s">
        <v>3</v>
      </c>
      <c r="H223" t="s">
        <v>59</v>
      </c>
      <c r="I223">
        <v>1.7</v>
      </c>
      <c r="J223">
        <v>1.7</v>
      </c>
      <c r="K223">
        <v>1.3</v>
      </c>
      <c r="L223">
        <v>1.4</v>
      </c>
      <c r="M223">
        <v>1.9</v>
      </c>
      <c r="N223">
        <v>2.1</v>
      </c>
    </row>
    <row r="224" spans="2:14" x14ac:dyDescent="0.3">
      <c r="B224" t="s">
        <v>67</v>
      </c>
      <c r="G224" t="s">
        <v>3</v>
      </c>
      <c r="H224" t="s">
        <v>33</v>
      </c>
      <c r="I224">
        <v>14.5</v>
      </c>
      <c r="J224">
        <v>16.8</v>
      </c>
      <c r="K224">
        <v>15.7</v>
      </c>
      <c r="L224">
        <v>15</v>
      </c>
      <c r="M224">
        <v>14.7</v>
      </c>
      <c r="N224">
        <v>15</v>
      </c>
    </row>
    <row r="225" spans="2:14" x14ac:dyDescent="0.3">
      <c r="B225" t="s">
        <v>67</v>
      </c>
      <c r="G225" t="s">
        <v>3</v>
      </c>
      <c r="H225" t="s">
        <v>32</v>
      </c>
      <c r="I225">
        <v>19.5</v>
      </c>
      <c r="J225">
        <v>21</v>
      </c>
      <c r="K225">
        <v>21.7</v>
      </c>
      <c r="L225">
        <v>22</v>
      </c>
      <c r="M225">
        <v>22.7</v>
      </c>
      <c r="N225">
        <v>23.3</v>
      </c>
    </row>
    <row r="226" spans="2:14" x14ac:dyDescent="0.3">
      <c r="B226" t="s">
        <v>67</v>
      </c>
      <c r="G226" t="s">
        <v>4</v>
      </c>
      <c r="H226" t="s">
        <v>59</v>
      </c>
      <c r="I226">
        <v>2.2999999999999998</v>
      </c>
      <c r="J226">
        <v>2.5</v>
      </c>
      <c r="K226">
        <v>2.9</v>
      </c>
      <c r="L226">
        <v>3</v>
      </c>
      <c r="M226">
        <v>3</v>
      </c>
      <c r="N226">
        <v>3</v>
      </c>
    </row>
    <row r="227" spans="2:14" x14ac:dyDescent="0.3">
      <c r="B227" t="s">
        <v>67</v>
      </c>
      <c r="G227" t="s">
        <v>4</v>
      </c>
      <c r="H227" t="s">
        <v>33</v>
      </c>
      <c r="I227">
        <v>14</v>
      </c>
      <c r="J227">
        <v>13.7</v>
      </c>
      <c r="K227">
        <v>12.5</v>
      </c>
      <c r="L227">
        <v>12.8</v>
      </c>
      <c r="M227">
        <v>13.4</v>
      </c>
      <c r="N227">
        <v>14</v>
      </c>
    </row>
    <row r="228" spans="2:14" x14ac:dyDescent="0.3">
      <c r="B228" t="s">
        <v>67</v>
      </c>
      <c r="G228" t="s">
        <v>4</v>
      </c>
      <c r="H228" t="s">
        <v>32</v>
      </c>
      <c r="I228">
        <v>18</v>
      </c>
      <c r="J228">
        <v>17</v>
      </c>
      <c r="K228">
        <v>16.5</v>
      </c>
      <c r="L228">
        <v>18.5</v>
      </c>
      <c r="M228">
        <v>20</v>
      </c>
      <c r="N228">
        <v>21.5</v>
      </c>
    </row>
    <row r="229" spans="2:14" x14ac:dyDescent="0.3">
      <c r="B229" t="s">
        <v>67</v>
      </c>
      <c r="G229" t="s">
        <v>6</v>
      </c>
      <c r="H229" t="s">
        <v>59</v>
      </c>
      <c r="I229">
        <v>3.5</v>
      </c>
      <c r="J229">
        <v>3.6</v>
      </c>
      <c r="K229">
        <v>4.0999999999999996</v>
      </c>
      <c r="L229">
        <v>4.3</v>
      </c>
      <c r="M229">
        <v>4.5999999999999996</v>
      </c>
      <c r="N229">
        <v>4.9000000000000004</v>
      </c>
    </row>
    <row r="230" spans="2:14" x14ac:dyDescent="0.3">
      <c r="B230" t="s">
        <v>67</v>
      </c>
      <c r="G230" t="s">
        <v>6</v>
      </c>
      <c r="H230" t="s">
        <v>33</v>
      </c>
      <c r="I230">
        <v>12</v>
      </c>
      <c r="J230">
        <v>13</v>
      </c>
      <c r="K230">
        <v>12.7</v>
      </c>
      <c r="L230">
        <v>12.4</v>
      </c>
      <c r="M230">
        <v>13.5</v>
      </c>
      <c r="N230">
        <v>17</v>
      </c>
    </row>
    <row r="231" spans="2:14" x14ac:dyDescent="0.3">
      <c r="B231" t="s">
        <v>67</v>
      </c>
      <c r="G231" t="s">
        <v>6</v>
      </c>
      <c r="H231" t="s">
        <v>32</v>
      </c>
      <c r="I231">
        <v>15.5</v>
      </c>
      <c r="J231">
        <v>16</v>
      </c>
      <c r="K231">
        <v>15.5</v>
      </c>
      <c r="L231">
        <v>15.5</v>
      </c>
      <c r="M231">
        <v>16.5</v>
      </c>
      <c r="N231">
        <v>19.5</v>
      </c>
    </row>
    <row r="232" spans="2:14" x14ac:dyDescent="0.3">
      <c r="B232" t="s">
        <v>67</v>
      </c>
      <c r="G232" t="s">
        <v>5</v>
      </c>
      <c r="H232" t="s">
        <v>59</v>
      </c>
      <c r="I232">
        <v>8.6999999999999993</v>
      </c>
      <c r="J232">
        <v>9.4</v>
      </c>
      <c r="K232">
        <v>11</v>
      </c>
      <c r="L232">
        <v>11.9</v>
      </c>
      <c r="M232">
        <v>12.4</v>
      </c>
      <c r="N232">
        <v>12.4</v>
      </c>
    </row>
    <row r="233" spans="2:14" x14ac:dyDescent="0.3">
      <c r="B233" t="s">
        <v>67</v>
      </c>
      <c r="G233" t="s">
        <v>5</v>
      </c>
      <c r="H233" t="s">
        <v>33</v>
      </c>
      <c r="I233">
        <v>10.6</v>
      </c>
      <c r="J233">
        <v>10.4</v>
      </c>
      <c r="K233">
        <v>13</v>
      </c>
      <c r="L233">
        <v>13.5</v>
      </c>
      <c r="M233">
        <v>14.7</v>
      </c>
      <c r="N233">
        <v>15</v>
      </c>
    </row>
    <row r="234" spans="2:14" x14ac:dyDescent="0.3">
      <c r="B234" t="s">
        <v>67</v>
      </c>
      <c r="G234" t="s">
        <v>5</v>
      </c>
      <c r="H234" t="s">
        <v>32</v>
      </c>
      <c r="I234">
        <v>14.2</v>
      </c>
      <c r="J234">
        <v>14</v>
      </c>
      <c r="K234">
        <v>14.8</v>
      </c>
      <c r="L234">
        <v>16.5</v>
      </c>
      <c r="M234">
        <v>19.5</v>
      </c>
      <c r="N234">
        <v>21</v>
      </c>
    </row>
    <row r="235" spans="2:14" x14ac:dyDescent="0.3">
      <c r="B235" t="s">
        <v>68</v>
      </c>
      <c r="G235" t="s">
        <v>3</v>
      </c>
      <c r="H235" t="s">
        <v>59</v>
      </c>
      <c r="I235">
        <v>1.9</v>
      </c>
      <c r="J235">
        <v>1.8</v>
      </c>
      <c r="K235">
        <v>1.5</v>
      </c>
      <c r="L235">
        <v>1.6</v>
      </c>
      <c r="M235">
        <v>2.2000000000000002</v>
      </c>
      <c r="N235">
        <v>2.5</v>
      </c>
    </row>
    <row r="236" spans="2:14" x14ac:dyDescent="0.3">
      <c r="B236" t="s">
        <v>68</v>
      </c>
      <c r="G236" t="s">
        <v>3</v>
      </c>
      <c r="H236" t="s">
        <v>33</v>
      </c>
      <c r="I236">
        <v>11.5</v>
      </c>
      <c r="J236">
        <v>11.7</v>
      </c>
      <c r="K236">
        <v>16</v>
      </c>
      <c r="L236">
        <v>14.3</v>
      </c>
      <c r="M236">
        <v>15.5</v>
      </c>
      <c r="N236">
        <v>15.6</v>
      </c>
    </row>
    <row r="237" spans="2:14" x14ac:dyDescent="0.3">
      <c r="B237" t="s">
        <v>68</v>
      </c>
      <c r="G237" t="s">
        <v>3</v>
      </c>
      <c r="H237" t="s">
        <v>32</v>
      </c>
      <c r="I237">
        <v>15</v>
      </c>
      <c r="J237">
        <v>14.5</v>
      </c>
      <c r="K237">
        <v>21.5</v>
      </c>
      <c r="L237">
        <v>21.8</v>
      </c>
      <c r="M237">
        <v>22</v>
      </c>
      <c r="N237">
        <v>23</v>
      </c>
    </row>
    <row r="238" spans="2:14" x14ac:dyDescent="0.3">
      <c r="B238" t="s">
        <v>68</v>
      </c>
      <c r="G238" t="s">
        <v>4</v>
      </c>
      <c r="H238" t="s">
        <v>59</v>
      </c>
      <c r="I238">
        <v>1.6</v>
      </c>
      <c r="J238">
        <v>2</v>
      </c>
      <c r="K238">
        <v>2.5</v>
      </c>
      <c r="L238">
        <v>2.6</v>
      </c>
      <c r="M238">
        <v>2.6</v>
      </c>
      <c r="N238">
        <v>2.6</v>
      </c>
    </row>
    <row r="239" spans="2:14" x14ac:dyDescent="0.3">
      <c r="B239" t="s">
        <v>68</v>
      </c>
      <c r="G239" t="s">
        <v>4</v>
      </c>
      <c r="H239" t="s">
        <v>33</v>
      </c>
      <c r="I239">
        <v>11.3</v>
      </c>
      <c r="J239">
        <v>10.3</v>
      </c>
      <c r="K239">
        <v>10.5</v>
      </c>
      <c r="L239">
        <v>9.5</v>
      </c>
      <c r="M239">
        <v>9.6999999999999993</v>
      </c>
      <c r="N239">
        <v>10.5</v>
      </c>
    </row>
    <row r="240" spans="2:14" x14ac:dyDescent="0.3">
      <c r="B240" t="s">
        <v>68</v>
      </c>
      <c r="G240" t="s">
        <v>4</v>
      </c>
      <c r="H240" t="s">
        <v>32</v>
      </c>
      <c r="I240">
        <v>14.5</v>
      </c>
      <c r="J240">
        <v>13.5</v>
      </c>
      <c r="K240">
        <v>14</v>
      </c>
      <c r="L240">
        <v>13.7</v>
      </c>
      <c r="M240">
        <v>14.3</v>
      </c>
      <c r="N240">
        <v>16.5</v>
      </c>
    </row>
    <row r="241" spans="2:14" x14ac:dyDescent="0.3">
      <c r="B241" t="s">
        <v>68</v>
      </c>
      <c r="G241" t="s">
        <v>6</v>
      </c>
      <c r="H241" t="s">
        <v>59</v>
      </c>
      <c r="I241">
        <v>2.9</v>
      </c>
      <c r="J241">
        <v>2.8</v>
      </c>
      <c r="K241">
        <v>3.5</v>
      </c>
      <c r="L241">
        <v>3.6</v>
      </c>
      <c r="M241">
        <v>4</v>
      </c>
      <c r="N241">
        <v>3.7</v>
      </c>
    </row>
    <row r="242" spans="2:14" x14ac:dyDescent="0.3">
      <c r="B242" t="s">
        <v>68</v>
      </c>
      <c r="G242" t="s">
        <v>6</v>
      </c>
      <c r="H242" t="s">
        <v>33</v>
      </c>
      <c r="I242">
        <v>11.7</v>
      </c>
      <c r="J242">
        <v>11</v>
      </c>
      <c r="K242">
        <v>10</v>
      </c>
      <c r="L242">
        <v>9.6999999999999993</v>
      </c>
      <c r="M242">
        <v>10.3</v>
      </c>
      <c r="N242">
        <v>10.4</v>
      </c>
    </row>
    <row r="243" spans="2:14" x14ac:dyDescent="0.3">
      <c r="B243" t="s">
        <v>68</v>
      </c>
      <c r="G243" t="s">
        <v>6</v>
      </c>
      <c r="H243" t="s">
        <v>32</v>
      </c>
      <c r="I243">
        <v>14.5</v>
      </c>
      <c r="J243">
        <v>13.8</v>
      </c>
      <c r="K243">
        <v>12.5</v>
      </c>
      <c r="L243">
        <v>12.5</v>
      </c>
      <c r="M243">
        <v>13.5</v>
      </c>
      <c r="N243">
        <v>13.5</v>
      </c>
    </row>
    <row r="244" spans="2:14" x14ac:dyDescent="0.3">
      <c r="B244" t="s">
        <v>68</v>
      </c>
      <c r="G244" t="s">
        <v>5</v>
      </c>
      <c r="H244" t="s">
        <v>59</v>
      </c>
      <c r="I244">
        <v>8.6999999999999993</v>
      </c>
      <c r="J244">
        <v>10</v>
      </c>
      <c r="K244">
        <v>11.9</v>
      </c>
      <c r="L244">
        <v>12.8</v>
      </c>
      <c r="M244">
        <v>14</v>
      </c>
      <c r="N244">
        <v>14.8</v>
      </c>
    </row>
    <row r="245" spans="2:14" x14ac:dyDescent="0.3">
      <c r="B245" t="s">
        <v>68</v>
      </c>
      <c r="G245" t="s">
        <v>5</v>
      </c>
      <c r="H245" t="s">
        <v>33</v>
      </c>
      <c r="I245">
        <v>8.3000000000000007</v>
      </c>
      <c r="J245">
        <v>8.6999999999999993</v>
      </c>
      <c r="K245">
        <v>8.9</v>
      </c>
      <c r="L245">
        <v>10.199999999999999</v>
      </c>
      <c r="M245">
        <v>13.4</v>
      </c>
      <c r="N245">
        <v>13.9</v>
      </c>
    </row>
    <row r="246" spans="2:14" x14ac:dyDescent="0.3">
      <c r="B246" t="s">
        <v>68</v>
      </c>
      <c r="G246" t="s">
        <v>5</v>
      </c>
      <c r="H246" t="s">
        <v>32</v>
      </c>
      <c r="I246">
        <v>12</v>
      </c>
      <c r="J246">
        <v>12.5</v>
      </c>
      <c r="K246">
        <v>12.2</v>
      </c>
      <c r="L246">
        <v>13.5</v>
      </c>
      <c r="M246">
        <v>17.3</v>
      </c>
      <c r="N246">
        <v>18.2</v>
      </c>
    </row>
  </sheetData>
  <mergeCells count="2">
    <mergeCell ref="AH2:AJ2"/>
    <mergeCell ref="AD3:AE3"/>
  </mergeCells>
  <phoneticPr fontId="5" type="noConversion"/>
  <pageMargins left="0.7" right="0.7" top="0.78740157499999996" bottom="0.78740157499999996" header="0.3" footer="0.3"/>
  <pageSetup paperSize="9" orientation="portrait" r:id="rId1"/>
  <ignoredErrors>
    <ignoredError sqref="P48 R10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5288-D17F-4056-8745-CA72DD924B6E}">
  <dimension ref="A3:B3"/>
  <sheetViews>
    <sheetView workbookViewId="0">
      <selection activeCell="R9" sqref="R9"/>
    </sheetView>
  </sheetViews>
  <sheetFormatPr defaultRowHeight="14.4" x14ac:dyDescent="0.3"/>
  <sheetData>
    <row r="3" spans="1:2" x14ac:dyDescent="0.3">
      <c r="A3" t="s">
        <v>70</v>
      </c>
      <c r="B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cutfit fwhm</vt:lpstr>
      <vt:lpstr>Sheet1</vt:lpstr>
    </vt:vector>
  </TitlesOfParts>
  <Company>Physikalisches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Gasser, Jonathan (SPACE)</dc:creator>
  <cp:lastModifiedBy>Jonathan Bower</cp:lastModifiedBy>
  <dcterms:created xsi:type="dcterms:W3CDTF">2020-11-13T09:47:35Z</dcterms:created>
  <dcterms:modified xsi:type="dcterms:W3CDTF">2023-10-25T17:23:43Z</dcterms:modified>
</cp:coreProperties>
</file>