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favi\Documents\00000000 Hygiene Aug2020\00000 M3 Select\"/>
    </mc:Choice>
  </mc:AlternateContent>
  <xr:revisionPtr revIDLastSave="0" documentId="13_ncr:1_{8AFB96D6-6F6D-4E86-A684-1921CA9AC2D4}" xr6:coauthVersionLast="45" xr6:coauthVersionMax="45" xr10:uidLastSave="{00000000-0000-0000-0000-000000000000}"/>
  <bookViews>
    <workbookView xWindow="-120" yWindow="-120" windowWidth="24240" windowHeight="13140" firstSheet="1" activeTab="1" xr2:uid="{00000000-000D-0000-FFFF-FFFF00000000}"/>
  </bookViews>
  <sheets>
    <sheet name="English Hygiene" sheetId="2" r:id="rId1"/>
    <sheet name="Master" sheetId="3" r:id="rId2"/>
    <sheet name="Smuggle" sheetId="4" r:id="rId3"/>
    <sheet name="Smuggle 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P5" i="3" l="1"/>
  <c r="DP6" i="3"/>
  <c r="DP7" i="3"/>
  <c r="DP8" i="3"/>
  <c r="DP9" i="3"/>
  <c r="DP10" i="3"/>
  <c r="DP11" i="3"/>
  <c r="DP12" i="3"/>
  <c r="DP13" i="3"/>
  <c r="DP14" i="3"/>
  <c r="DP4" i="3"/>
  <c r="DK5" i="3"/>
  <c r="DK6" i="3"/>
  <c r="DK7" i="3"/>
  <c r="DK8" i="3"/>
  <c r="DK9" i="3"/>
  <c r="DK10" i="3"/>
  <c r="DK11" i="3"/>
  <c r="DK12" i="3"/>
  <c r="DK13" i="3"/>
  <c r="DK14" i="3"/>
  <c r="DK4" i="3"/>
  <c r="DF5" i="3"/>
  <c r="DF6" i="3"/>
  <c r="DF7" i="3"/>
  <c r="DF8" i="3"/>
  <c r="DF9" i="3"/>
  <c r="DF10" i="3"/>
  <c r="DF11" i="3"/>
  <c r="DF12" i="3"/>
  <c r="DF13" i="3"/>
  <c r="DF14" i="3"/>
  <c r="DF4" i="3"/>
  <c r="DA4" i="3"/>
  <c r="DA5" i="3"/>
  <c r="DA6" i="3"/>
  <c r="DA7" i="3"/>
  <c r="DA8" i="3"/>
  <c r="DA9" i="3"/>
  <c r="DA10" i="3"/>
  <c r="DA11" i="3"/>
  <c r="DA12" i="3"/>
  <c r="DA13" i="3"/>
  <c r="DA14" i="3"/>
  <c r="DA3" i="3"/>
  <c r="CV4" i="3"/>
  <c r="CV5" i="3"/>
  <c r="CV6" i="3"/>
  <c r="CV7" i="3"/>
  <c r="CV8" i="3"/>
  <c r="CV9" i="3"/>
  <c r="CV10" i="3"/>
  <c r="CV11" i="3"/>
  <c r="CV12" i="3"/>
  <c r="CV13" i="3"/>
  <c r="CV14" i="3"/>
  <c r="CV3" i="3"/>
  <c r="CQ4" i="3"/>
  <c r="CQ5" i="3"/>
  <c r="CQ6" i="3"/>
  <c r="CQ7" i="3"/>
  <c r="CQ8" i="3"/>
  <c r="CQ9" i="3"/>
  <c r="CQ10" i="3"/>
  <c r="CQ11" i="3"/>
  <c r="CQ12" i="3"/>
  <c r="CQ13" i="3"/>
  <c r="CQ14" i="3"/>
  <c r="CQ3" i="3"/>
  <c r="Z9" i="3"/>
  <c r="Z8" i="3"/>
  <c r="Z7" i="3"/>
  <c r="Z6" i="3"/>
  <c r="Z5" i="3"/>
  <c r="Z4" i="3"/>
  <c r="C8" i="6" l="1"/>
  <c r="C7" i="6"/>
  <c r="C6" i="6"/>
  <c r="C5" i="6"/>
  <c r="B8" i="6"/>
  <c r="AR3" i="3" l="1"/>
  <c r="BK3" i="3" l="1"/>
  <c r="AQ3" i="3"/>
  <c r="AO3" i="3"/>
  <c r="BJ3" i="3"/>
  <c r="P12" i="3"/>
  <c r="P11" i="3"/>
  <c r="Q11" i="3" s="1"/>
  <c r="P10" i="3"/>
  <c r="Q9" i="3"/>
  <c r="P9" i="3"/>
  <c r="R9" i="3" s="1"/>
  <c r="S9" i="3" s="1"/>
  <c r="P8" i="3"/>
  <c r="R8" i="3" s="1"/>
  <c r="S8" i="3" s="1"/>
  <c r="P7" i="3"/>
  <c r="P6" i="3"/>
  <c r="R6" i="3" s="1"/>
  <c r="P5" i="3"/>
  <c r="P4" i="3"/>
  <c r="P3" i="3"/>
  <c r="Q3" i="3" s="1"/>
  <c r="D12" i="3"/>
  <c r="F12" i="3" s="1"/>
  <c r="D11" i="3"/>
  <c r="F11" i="3" s="1"/>
  <c r="H11" i="3" s="1"/>
  <c r="D10" i="3"/>
  <c r="D9" i="3"/>
  <c r="F9" i="3" s="1"/>
  <c r="D8" i="3"/>
  <c r="D7" i="3"/>
  <c r="E7" i="3" s="1"/>
  <c r="D6" i="3"/>
  <c r="E6" i="3" s="1"/>
  <c r="D5" i="3"/>
  <c r="E5" i="3" s="1"/>
  <c r="D4" i="3"/>
  <c r="F4" i="3" s="1"/>
  <c r="D3" i="3"/>
  <c r="F3" i="3" s="1"/>
  <c r="G3" i="3" s="1"/>
  <c r="R11" i="3" l="1"/>
  <c r="T11" i="3" s="1"/>
  <c r="E11" i="3"/>
  <c r="T9" i="3"/>
  <c r="F6" i="3"/>
  <c r="H6" i="3" s="1"/>
  <c r="Q8" i="3"/>
  <c r="R5" i="3"/>
  <c r="S5" i="3" s="1"/>
  <c r="T5" i="3"/>
  <c r="E3" i="3"/>
  <c r="R3" i="3"/>
  <c r="T3" i="3" s="1"/>
  <c r="S6" i="3"/>
  <c r="T6" i="3"/>
  <c r="T10" i="3"/>
  <c r="S3" i="3"/>
  <c r="Q10" i="3"/>
  <c r="Q7" i="3"/>
  <c r="T8" i="3"/>
  <c r="R10" i="3"/>
  <c r="S10" i="3" s="1"/>
  <c r="Q4" i="3"/>
  <c r="R7" i="3"/>
  <c r="S7" i="3" s="1"/>
  <c r="Q12" i="3"/>
  <c r="R4" i="3"/>
  <c r="S4" i="3" s="1"/>
  <c r="R12" i="3"/>
  <c r="S12" i="3" s="1"/>
  <c r="Q6" i="3"/>
  <c r="Q5" i="3"/>
  <c r="S11" i="3"/>
  <c r="G4" i="3"/>
  <c r="H4" i="3"/>
  <c r="H9" i="3"/>
  <c r="G9" i="3"/>
  <c r="G12" i="3"/>
  <c r="H12" i="3"/>
  <c r="G11" i="3"/>
  <c r="F8" i="3"/>
  <c r="G8" i="3" s="1"/>
  <c r="H3" i="3"/>
  <c r="F5" i="3"/>
  <c r="G5" i="3" s="1"/>
  <c r="E10" i="3"/>
  <c r="F10" i="3"/>
  <c r="G10" i="3" s="1"/>
  <c r="E4" i="3"/>
  <c r="F7" i="3"/>
  <c r="G7" i="3" s="1"/>
  <c r="E12" i="3"/>
  <c r="E8" i="3"/>
  <c r="E9" i="3"/>
  <c r="H7" i="3" l="1"/>
  <c r="G6" i="3"/>
  <c r="T7" i="3"/>
  <c r="T12" i="3"/>
  <c r="T4" i="3"/>
  <c r="H10" i="3"/>
  <c r="H8" i="3"/>
  <c r="H5" i="3"/>
  <c r="CG6" i="3" l="1"/>
  <c r="CG7" i="3"/>
  <c r="CG8" i="3"/>
  <c r="CG9" i="3"/>
  <c r="CG10" i="3"/>
  <c r="CG11" i="3"/>
  <c r="CG12" i="3"/>
  <c r="CG13" i="3"/>
  <c r="CG14" i="3"/>
  <c r="CG5" i="3"/>
  <c r="CF6" i="3"/>
  <c r="CF7" i="3"/>
  <c r="CF8" i="3"/>
  <c r="CF9" i="3"/>
  <c r="CF10" i="3"/>
  <c r="CF11" i="3"/>
  <c r="CF12" i="3"/>
  <c r="CF13" i="3"/>
  <c r="CF14" i="3"/>
  <c r="CF5" i="3"/>
  <c r="CC6" i="3"/>
  <c r="CC7" i="3"/>
  <c r="CC8" i="3"/>
  <c r="CC9" i="3"/>
  <c r="CC10" i="3"/>
  <c r="CC11" i="3"/>
  <c r="CC12" i="3"/>
  <c r="CC13" i="3"/>
  <c r="CC14" i="3"/>
  <c r="CC5" i="3"/>
  <c r="CB6" i="3"/>
  <c r="CB7" i="3"/>
  <c r="CB8" i="3"/>
  <c r="CB9" i="3"/>
  <c r="CB10" i="3"/>
  <c r="CB11" i="3"/>
  <c r="CB12" i="3"/>
  <c r="CB13" i="3"/>
  <c r="CB14" i="3"/>
  <c r="BY6" i="3"/>
  <c r="BY7" i="3"/>
  <c r="BY8" i="3"/>
  <c r="BY9" i="3"/>
  <c r="BY10" i="3"/>
  <c r="BY11" i="3"/>
  <c r="BY12" i="3"/>
  <c r="BY13" i="3"/>
  <c r="BY14" i="3"/>
  <c r="BY5" i="3"/>
  <c r="BX6" i="3"/>
  <c r="BX7" i="3"/>
  <c r="BX8" i="3"/>
  <c r="BX9" i="3"/>
  <c r="BX10" i="3"/>
  <c r="BX11" i="3"/>
  <c r="BX12" i="3"/>
  <c r="BX13" i="3"/>
  <c r="BX14" i="3"/>
  <c r="BX5" i="3"/>
  <c r="CB5" i="3"/>
  <c r="BU6" i="3"/>
  <c r="BU7" i="3"/>
  <c r="BU8" i="3"/>
  <c r="BU9" i="3"/>
  <c r="BU10" i="3"/>
  <c r="BU11" i="3"/>
  <c r="BU12" i="3"/>
  <c r="BU13" i="3"/>
  <c r="BU5" i="3"/>
  <c r="BT6" i="3"/>
  <c r="BT7" i="3"/>
  <c r="BT8" i="3"/>
  <c r="BT9" i="3"/>
  <c r="BT10" i="3"/>
  <c r="BT11" i="3"/>
  <c r="BT12" i="3"/>
  <c r="BT13" i="3"/>
  <c r="BT5" i="3"/>
  <c r="AR5" i="3"/>
  <c r="AR6" i="3"/>
  <c r="AR7" i="3"/>
  <c r="AR8" i="3"/>
  <c r="AR9" i="3"/>
  <c r="AR10" i="3"/>
  <c r="AR11" i="3"/>
  <c r="AR12" i="3"/>
  <c r="AR13" i="3"/>
  <c r="AR14" i="3"/>
  <c r="AR4" i="3"/>
  <c r="AK5" i="3"/>
  <c r="BI5" i="3" s="1"/>
  <c r="AK6" i="3"/>
  <c r="BI6" i="3" s="1"/>
  <c r="AK7" i="3"/>
  <c r="BI7" i="3" s="1"/>
  <c r="AK8" i="3"/>
  <c r="AK9" i="3"/>
  <c r="BH9" i="3" s="1"/>
  <c r="AK10" i="3"/>
  <c r="BH10" i="3" s="1"/>
  <c r="AK11" i="3"/>
  <c r="BI11" i="3" s="1"/>
  <c r="AK12" i="3"/>
  <c r="BI12" i="3" s="1"/>
  <c r="AK13" i="3"/>
  <c r="BI13" i="3" s="1"/>
  <c r="AK4" i="3"/>
  <c r="BI4" i="3" s="1"/>
  <c r="BE5" i="3"/>
  <c r="BE6" i="3"/>
  <c r="BE7" i="3"/>
  <c r="BE8" i="3"/>
  <c r="BE9" i="3"/>
  <c r="BE10" i="3"/>
  <c r="BE11" i="3"/>
  <c r="BE12" i="3"/>
  <c r="BE13" i="3"/>
  <c r="BE14" i="3"/>
  <c r="BE4" i="3"/>
  <c r="AX5" i="3"/>
  <c r="BO5" i="3" s="1"/>
  <c r="AX6" i="3"/>
  <c r="BO6" i="3" s="1"/>
  <c r="AX7" i="3"/>
  <c r="BO7" i="3" s="1"/>
  <c r="AX8" i="3"/>
  <c r="BO8" i="3" s="1"/>
  <c r="AX9" i="3"/>
  <c r="BO9" i="3" s="1"/>
  <c r="AX10" i="3"/>
  <c r="BN10" i="3" s="1"/>
  <c r="AX11" i="3"/>
  <c r="BN11" i="3" s="1"/>
  <c r="AX12" i="3"/>
  <c r="BN12" i="3" s="1"/>
  <c r="AX13" i="3"/>
  <c r="BO13" i="3" s="1"/>
  <c r="AX14" i="3"/>
  <c r="BO14" i="3" s="1"/>
  <c r="AX4" i="3"/>
  <c r="BO4" i="3" s="1"/>
  <c r="BQ4" i="3" l="1"/>
  <c r="BD4" i="3"/>
  <c r="BB4" i="3"/>
  <c r="BQ14" i="3"/>
  <c r="BB14" i="3"/>
  <c r="BD14" i="3"/>
  <c r="BQ6" i="3"/>
  <c r="BB6" i="3"/>
  <c r="BD6" i="3"/>
  <c r="BP9" i="3"/>
  <c r="BD9" i="3"/>
  <c r="BB9" i="3"/>
  <c r="BQ13" i="3"/>
  <c r="BD13" i="3"/>
  <c r="BB13" i="3"/>
  <c r="BQ5" i="3"/>
  <c r="BD5" i="3"/>
  <c r="BB5" i="3"/>
  <c r="BQ7" i="3"/>
  <c r="BB7" i="3"/>
  <c r="BD7" i="3"/>
  <c r="BQ11" i="3"/>
  <c r="BD11" i="3"/>
  <c r="BB11" i="3"/>
  <c r="BP8" i="3"/>
  <c r="BB8" i="3"/>
  <c r="BD8" i="3"/>
  <c r="BQ12" i="3"/>
  <c r="BD12" i="3"/>
  <c r="BB12" i="3"/>
  <c r="BP10" i="3"/>
  <c r="BB10" i="3"/>
  <c r="BD10" i="3"/>
  <c r="AO14" i="3"/>
  <c r="AQ14" i="3"/>
  <c r="BK6" i="3"/>
  <c r="AO6" i="3"/>
  <c r="AQ6" i="3"/>
  <c r="BJ5" i="3"/>
  <c r="AQ5" i="3"/>
  <c r="AO5" i="3"/>
  <c r="BK12" i="3"/>
  <c r="AQ12" i="3"/>
  <c r="AO12" i="3"/>
  <c r="BK10" i="3"/>
  <c r="AO10" i="3"/>
  <c r="AQ10" i="3"/>
  <c r="BK9" i="3"/>
  <c r="AQ9" i="3"/>
  <c r="AO9" i="3"/>
  <c r="BK11" i="3"/>
  <c r="AO11" i="3"/>
  <c r="AQ11" i="3"/>
  <c r="BK8" i="3"/>
  <c r="AO8" i="3"/>
  <c r="AQ8" i="3"/>
  <c r="BJ13" i="3"/>
  <c r="AO13" i="3"/>
  <c r="AQ13" i="3"/>
  <c r="BJ4" i="3"/>
  <c r="AQ4" i="3"/>
  <c r="AO4" i="3"/>
  <c r="BK7" i="3"/>
  <c r="AO7" i="3"/>
  <c r="AQ7" i="3"/>
  <c r="BO10" i="3"/>
  <c r="BH7" i="3"/>
  <c r="BJ11" i="3"/>
  <c r="BZ14" i="3"/>
  <c r="BO12" i="3"/>
  <c r="BV8" i="3"/>
  <c r="BH5" i="3"/>
  <c r="BP4" i="3"/>
  <c r="BI10" i="3"/>
  <c r="BP7" i="3"/>
  <c r="CD9" i="3"/>
  <c r="BI9" i="3"/>
  <c r="BP5" i="3"/>
  <c r="BZ11" i="3"/>
  <c r="BZ10" i="3"/>
  <c r="CH14" i="3"/>
  <c r="BJ9" i="3"/>
  <c r="CH6" i="3"/>
  <c r="CD8" i="3"/>
  <c r="BK4" i="3"/>
  <c r="CD7" i="3"/>
  <c r="BN4" i="3"/>
  <c r="CD14" i="3"/>
  <c r="CH12" i="3"/>
  <c r="BH4" i="3"/>
  <c r="BI8" i="3"/>
  <c r="BN9" i="3"/>
  <c r="BP14" i="3"/>
  <c r="BZ8" i="3"/>
  <c r="CD13" i="3"/>
  <c r="CH11" i="3"/>
  <c r="CD5" i="3"/>
  <c r="BZ9" i="3"/>
  <c r="BH13" i="3"/>
  <c r="BN8" i="3"/>
  <c r="BP13" i="3"/>
  <c r="BV5" i="3"/>
  <c r="BZ5" i="3"/>
  <c r="BZ7" i="3"/>
  <c r="CD12" i="3"/>
  <c r="CH10" i="3"/>
  <c r="BQ10" i="3"/>
  <c r="CH13" i="3"/>
  <c r="CD6" i="3"/>
  <c r="BV7" i="3"/>
  <c r="BH8" i="3"/>
  <c r="BJ12" i="3"/>
  <c r="BN7" i="3"/>
  <c r="BP12" i="3"/>
  <c r="BV13" i="3"/>
  <c r="BZ6" i="3"/>
  <c r="CD11" i="3"/>
  <c r="CH9" i="3"/>
  <c r="BV6" i="3"/>
  <c r="BZ13" i="3"/>
  <c r="CD10" i="3"/>
  <c r="CH8" i="3"/>
  <c r="BH6" i="3"/>
  <c r="BJ10" i="3"/>
  <c r="BO11" i="3"/>
  <c r="BP6" i="3"/>
  <c r="BZ12" i="3"/>
  <c r="CH5" i="3"/>
  <c r="CH7" i="3"/>
  <c r="BQ8" i="3"/>
  <c r="BN6" i="3"/>
  <c r="BV11" i="3"/>
  <c r="BH12" i="3"/>
  <c r="BJ8" i="3"/>
  <c r="BN13" i="3"/>
  <c r="BN5" i="3"/>
  <c r="BP11" i="3"/>
  <c r="BV10" i="3"/>
  <c r="BK13" i="3"/>
  <c r="BQ9" i="3"/>
  <c r="BH11" i="3"/>
  <c r="BJ7" i="3"/>
  <c r="BV9" i="3"/>
  <c r="BV12" i="3"/>
  <c r="BN14" i="3"/>
  <c r="BJ6" i="3"/>
  <c r="BK5" i="3"/>
  <c r="B19" i="4"/>
  <c r="C16" i="4" s="1"/>
  <c r="C18" i="4"/>
  <c r="C17" i="4"/>
  <c r="F19" i="4" l="1"/>
  <c r="C15" i="4"/>
  <c r="C19" i="4" s="1"/>
  <c r="O16" i="3" l="1"/>
  <c r="I16" i="3"/>
  <c r="F16" i="3"/>
  <c r="E16" i="3"/>
  <c r="C16" i="3"/>
  <c r="J12" i="3"/>
  <c r="L12" i="3" s="1"/>
  <c r="J11" i="3"/>
  <c r="L11" i="3" s="1"/>
  <c r="J10" i="3"/>
  <c r="K10" i="3" s="1"/>
  <c r="J9" i="3"/>
  <c r="L9" i="3" s="1"/>
  <c r="N9" i="3" s="1"/>
  <c r="J8" i="3"/>
  <c r="J7" i="3"/>
  <c r="J6" i="3"/>
  <c r="J5" i="3"/>
  <c r="K5" i="3" s="1"/>
  <c r="J4" i="3"/>
  <c r="L4" i="3" s="1"/>
  <c r="J3" i="3"/>
  <c r="L3" i="3" s="1"/>
  <c r="L10" i="3" l="1"/>
  <c r="N10" i="3" s="1"/>
  <c r="D16" i="3"/>
  <c r="H16" i="3" s="1"/>
  <c r="G16" i="3"/>
  <c r="K9" i="3"/>
  <c r="M12" i="3"/>
  <c r="N12" i="3"/>
  <c r="M4" i="3"/>
  <c r="N4" i="3"/>
  <c r="N11" i="3"/>
  <c r="M11" i="3"/>
  <c r="N3" i="3"/>
  <c r="M3" i="3"/>
  <c r="K8" i="3"/>
  <c r="K7" i="3"/>
  <c r="L8" i="3"/>
  <c r="M8" i="3" s="1"/>
  <c r="M9" i="3"/>
  <c r="K6" i="3"/>
  <c r="L7" i="3"/>
  <c r="M7" i="3" s="1"/>
  <c r="P16" i="3"/>
  <c r="L6" i="3"/>
  <c r="M6" i="3" s="1"/>
  <c r="K4" i="3"/>
  <c r="L5" i="3"/>
  <c r="M5" i="3" s="1"/>
  <c r="K12" i="3"/>
  <c r="J16" i="3"/>
  <c r="K3" i="3"/>
  <c r="K11" i="3"/>
  <c r="W3" i="2"/>
  <c r="M10" i="3" l="1"/>
  <c r="N8" i="3"/>
  <c r="K16" i="3"/>
  <c r="N6" i="3"/>
  <c r="N7" i="3"/>
  <c r="R16" i="3"/>
  <c r="S16" i="3" s="1"/>
  <c r="Q16" i="3"/>
  <c r="L16" i="3"/>
  <c r="M16" i="3" s="1"/>
  <c r="N5" i="3"/>
  <c r="AC12" i="2"/>
  <c r="AC11" i="2"/>
  <c r="AC10" i="2"/>
  <c r="AC9" i="2"/>
  <c r="AC8" i="2"/>
  <c r="AC7" i="2"/>
  <c r="AC6" i="2"/>
  <c r="AC5" i="2"/>
  <c r="AC4" i="2"/>
  <c r="AC3" i="2"/>
  <c r="AB16" i="2"/>
  <c r="W12" i="2"/>
  <c r="W11" i="2"/>
  <c r="W10" i="2"/>
  <c r="W9" i="2"/>
  <c r="W8" i="2"/>
  <c r="W7" i="2"/>
  <c r="W6" i="2"/>
  <c r="W5" i="2"/>
  <c r="W4" i="2"/>
  <c r="V16" i="2"/>
  <c r="Q10" i="2"/>
  <c r="Q12" i="2"/>
  <c r="Q11" i="2"/>
  <c r="Q9" i="2"/>
  <c r="Q8" i="2"/>
  <c r="Q7" i="2"/>
  <c r="Q6" i="2"/>
  <c r="Q5" i="2"/>
  <c r="Q4" i="2"/>
  <c r="Q3" i="2"/>
  <c r="P16" i="2"/>
  <c r="E13" i="2"/>
  <c r="D13" i="2"/>
  <c r="N16" i="3" l="1"/>
  <c r="T16" i="3"/>
  <c r="U7" i="2"/>
  <c r="U8" i="2"/>
  <c r="U3" i="2"/>
  <c r="U12" i="2"/>
  <c r="U5" i="2"/>
  <c r="U6" i="2"/>
  <c r="R3" i="2"/>
  <c r="S3" i="2"/>
  <c r="T3" i="2" s="1"/>
  <c r="R10" i="2"/>
  <c r="S10" i="2"/>
  <c r="T10" i="2" s="1"/>
  <c r="R5" i="2"/>
  <c r="S5" i="2"/>
  <c r="T5" i="2" s="1"/>
  <c r="R11" i="2"/>
  <c r="S11" i="2"/>
  <c r="T11" i="2" s="1"/>
  <c r="R12" i="2"/>
  <c r="S12" i="2"/>
  <c r="T12" i="2" s="1"/>
  <c r="R6" i="2"/>
  <c r="S6" i="2"/>
  <c r="T6" i="2" s="1"/>
  <c r="R8" i="2"/>
  <c r="S8" i="2"/>
  <c r="T8" i="2" s="1"/>
  <c r="R4" i="2"/>
  <c r="S4" i="2"/>
  <c r="T4" i="2" s="1"/>
  <c r="R7" i="2"/>
  <c r="S7" i="2"/>
  <c r="T7" i="2" s="1"/>
  <c r="R9" i="2"/>
  <c r="S9" i="2"/>
  <c r="T9" i="2" s="1"/>
  <c r="W16" i="2"/>
  <c r="U11" i="2" l="1"/>
  <c r="U10" i="2"/>
  <c r="U4" i="2"/>
  <c r="U9" i="2"/>
  <c r="C13" i="2"/>
  <c r="L13" i="2" l="1"/>
  <c r="AC16" i="2" l="1"/>
  <c r="AD4" i="2"/>
  <c r="AD5" i="2"/>
  <c r="AD6" i="2"/>
  <c r="AD7" i="2"/>
  <c r="AD8" i="2"/>
  <c r="AD9" i="2"/>
  <c r="AD10" i="2"/>
  <c r="AD11" i="2"/>
  <c r="AD12" i="2"/>
  <c r="AD3" i="2"/>
  <c r="X4" i="2"/>
  <c r="X5" i="2"/>
  <c r="X6" i="2"/>
  <c r="X7" i="2"/>
  <c r="X8" i="2"/>
  <c r="X9" i="2"/>
  <c r="X10" i="2"/>
  <c r="X11" i="2"/>
  <c r="X12" i="2"/>
  <c r="X3" i="2"/>
  <c r="Q16" i="2"/>
  <c r="X16" i="2" l="1"/>
  <c r="AD16" i="2"/>
  <c r="R16" i="2"/>
  <c r="S16" i="2" l="1"/>
  <c r="T16" i="2" l="1"/>
  <c r="U16" i="2"/>
  <c r="K13" i="2"/>
  <c r="J13" i="2"/>
  <c r="AE12" i="2"/>
  <c r="AG12" i="2" s="1"/>
  <c r="Y12" i="2"/>
  <c r="AA12" i="2" s="1"/>
  <c r="AE11" i="2"/>
  <c r="AG11" i="2" s="1"/>
  <c r="Y11" i="2"/>
  <c r="AA11" i="2" s="1"/>
  <c r="AE10" i="2"/>
  <c r="AF10" i="2" s="1"/>
  <c r="Y10" i="2"/>
  <c r="AA10" i="2" s="1"/>
  <c r="AE9" i="2"/>
  <c r="AG9" i="2" s="1"/>
  <c r="Y9" i="2"/>
  <c r="Z9" i="2" s="1"/>
  <c r="AE8" i="2"/>
  <c r="AF8" i="2" s="1"/>
  <c r="Y8" i="2"/>
  <c r="Z8" i="2" s="1"/>
  <c r="AE7" i="2"/>
  <c r="AF7" i="2" s="1"/>
  <c r="Y7" i="2"/>
  <c r="AA7" i="2" s="1"/>
  <c r="AE6" i="2"/>
  <c r="AG6" i="2" s="1"/>
  <c r="Y6" i="2"/>
  <c r="AA6" i="2" s="1"/>
  <c r="AE5" i="2"/>
  <c r="AF5" i="2" s="1"/>
  <c r="Y5" i="2"/>
  <c r="Z5" i="2" s="1"/>
  <c r="AE4" i="2"/>
  <c r="AF4" i="2" s="1"/>
  <c r="Y4" i="2"/>
  <c r="AA4" i="2" s="1"/>
  <c r="AE3" i="2"/>
  <c r="Y3" i="2"/>
  <c r="AG7" i="2" l="1"/>
  <c r="Z4" i="2"/>
  <c r="AA3" i="2"/>
  <c r="Y16" i="2"/>
  <c r="AA5" i="2"/>
  <c r="AG3" i="2"/>
  <c r="AE16" i="2"/>
  <c r="Z11" i="2"/>
  <c r="Z10" i="2"/>
  <c r="AF6" i="2"/>
  <c r="Z12" i="2"/>
  <c r="Z3" i="2"/>
  <c r="AG8" i="2"/>
  <c r="AG4" i="2"/>
  <c r="AA8" i="2"/>
  <c r="AF12" i="2"/>
  <c r="AF3" i="2"/>
  <c r="AA9" i="2"/>
  <c r="AF11" i="2"/>
  <c r="Z7" i="2"/>
  <c r="Z6" i="2"/>
  <c r="AF9" i="2"/>
  <c r="AG10" i="2"/>
  <c r="AG5" i="2"/>
  <c r="AF16" i="2" l="1"/>
  <c r="AG16" i="2"/>
  <c r="AA16" i="2"/>
  <c r="Z16" i="2"/>
</calcChain>
</file>

<file path=xl/sharedStrings.xml><?xml version="1.0" encoding="utf-8"?>
<sst xmlns="http://schemas.openxmlformats.org/spreadsheetml/2006/main" count="253" uniqueCount="148">
  <si>
    <t>Iranian Year</t>
  </si>
  <si>
    <t>Year</t>
  </si>
  <si>
    <t>Shampoo</t>
  </si>
  <si>
    <t>Soap</t>
  </si>
  <si>
    <t>Toothpaste</t>
  </si>
  <si>
    <t>Local Production of Shampoo, Soap, and Toothpaste in Metric Ton Between 2010-2019</t>
  </si>
  <si>
    <t>Shampoo Local</t>
  </si>
  <si>
    <t>Shampoo Import</t>
  </si>
  <si>
    <t>Soap Local</t>
  </si>
  <si>
    <t>Soap Import</t>
  </si>
  <si>
    <t>Soap Difference</t>
  </si>
  <si>
    <t>Shampoo Difference</t>
  </si>
  <si>
    <t>Soap Total</t>
  </si>
  <si>
    <t>Soap Local %</t>
  </si>
  <si>
    <t>Soap Import %</t>
  </si>
  <si>
    <t>Toothpaste Local</t>
  </si>
  <si>
    <t>Toothpaste Import</t>
  </si>
  <si>
    <t>Toothpaste Difference</t>
  </si>
  <si>
    <t>Toothpaste Total</t>
  </si>
  <si>
    <t>Toothpaste Local %</t>
  </si>
  <si>
    <t>Toothpaste Import %</t>
  </si>
  <si>
    <t>Shampoo Total</t>
  </si>
  <si>
    <t>Shampoo Local %</t>
  </si>
  <si>
    <t>Shampoo Import %</t>
  </si>
  <si>
    <t>Total 10 years Production</t>
  </si>
  <si>
    <t>10-year  Import &amp;  Production</t>
  </si>
  <si>
    <t>Soap  In ton</t>
  </si>
  <si>
    <t>Toothpaste in ton</t>
  </si>
  <si>
    <t xml:space="preserve">    Shampoo  In ton</t>
  </si>
  <si>
    <t>؟</t>
  </si>
  <si>
    <t>Members</t>
  </si>
  <si>
    <t>Male</t>
  </si>
  <si>
    <t>Female</t>
  </si>
  <si>
    <t>Exp-Imp</t>
  </si>
  <si>
    <t>Iran Members</t>
  </si>
  <si>
    <t>Tehran Members</t>
  </si>
  <si>
    <t>Data for the Imported, Internally Produced, and Smuggled Personal Hygiene and Cosmetics in Iran during 2016</t>
  </si>
  <si>
    <t>Source: internal memo of the Inspector General for the Iranian Ministry of Health and Medical Education (May 14, 2017)</t>
  </si>
  <si>
    <t>Product Group:</t>
  </si>
  <si>
    <t xml:space="preserve">Import </t>
  </si>
  <si>
    <t>Import</t>
  </si>
  <si>
    <t>Production</t>
  </si>
  <si>
    <t>Demand</t>
  </si>
  <si>
    <t>Smuggled</t>
  </si>
  <si>
    <t xml:space="preserve">Personal Hygiene &amp; </t>
  </si>
  <si>
    <t>(Bureaus)</t>
  </si>
  <si>
    <t xml:space="preserve">(Central) </t>
  </si>
  <si>
    <t>Cosmetics</t>
  </si>
  <si>
    <t>(Reporting)</t>
  </si>
  <si>
    <t xml:space="preserve"> The share of the market sources for personal hygiene and cosmetic products in Iran In U.S. Dollars</t>
  </si>
  <si>
    <t xml:space="preserve"> during 2016; computed by Inspector General of the Ministry of Health and Medical Education</t>
  </si>
  <si>
    <t>$ Million</t>
  </si>
  <si>
    <t>Centrally Reported Data</t>
  </si>
  <si>
    <t>% of Total</t>
  </si>
  <si>
    <t>Local Production</t>
  </si>
  <si>
    <t>Stored</t>
  </si>
  <si>
    <t>Total:</t>
  </si>
  <si>
    <t>Note: The Ministry refused to supply similare data for other 9 years of the decade.</t>
  </si>
  <si>
    <t>Total</t>
  </si>
  <si>
    <t xml:space="preserve">Total </t>
  </si>
  <si>
    <t>Computation</t>
  </si>
  <si>
    <t xml:space="preserve">Iran Cham Com % Male/ Total </t>
  </si>
  <si>
    <t>Iran Cham Com % Female/Total</t>
  </si>
  <si>
    <t>Iran Card Holders/ Membership % Male</t>
  </si>
  <si>
    <t>Iran Card Holders/ Membership % Female</t>
  </si>
  <si>
    <t>Iran Card Holders/ Membership % Total</t>
  </si>
  <si>
    <t xml:space="preserve">Tehran Cham Com % Male/ Total </t>
  </si>
  <si>
    <t>Tehran Cham Com % Female/Total</t>
  </si>
  <si>
    <t>Tehran Card Holders/ Membership % Male</t>
  </si>
  <si>
    <t>Tehran Card Holders/ Membership % Female</t>
  </si>
  <si>
    <t>Tehran Card Holders/ Membership % Total</t>
  </si>
  <si>
    <t>Tehran Ex-Im Card</t>
  </si>
  <si>
    <t>Iran Ex-Im Card</t>
  </si>
  <si>
    <t>Iran ROG Memb Male</t>
  </si>
  <si>
    <t>Iran ROG Memb Female</t>
  </si>
  <si>
    <t>Iran ROG Memb Total</t>
  </si>
  <si>
    <t>Tehran ROG Memb Male</t>
  </si>
  <si>
    <t>Tehran ROG Memb Female</t>
  </si>
  <si>
    <t>Tehran ROG Memb Total</t>
  </si>
  <si>
    <t>Iran ROG Card Male</t>
  </si>
  <si>
    <t>Iran ROG Card Female</t>
  </si>
  <si>
    <t>Iran ROG Card Total</t>
  </si>
  <si>
    <t>Tehran ROG Card Male</t>
  </si>
  <si>
    <t>Tehran ROG Card Female</t>
  </si>
  <si>
    <t>Tehran ROG Card Total</t>
  </si>
  <si>
    <t>Shampoo Local (Tons)</t>
  </si>
  <si>
    <t>Shampoo Import (Tons)</t>
  </si>
  <si>
    <t>Shampoo Difference (Tons)</t>
  </si>
  <si>
    <t>Shampoo Total (Tons)</t>
  </si>
  <si>
    <t>Soap Local (Tons)</t>
  </si>
  <si>
    <t>Soap Difference (Tons)</t>
  </si>
  <si>
    <t>Soap Total (Tons)</t>
  </si>
  <si>
    <t>Soap Import (Tons)</t>
  </si>
  <si>
    <t xml:space="preserve">Soap Local % </t>
  </si>
  <si>
    <t>Toothpaste Local (Tons)</t>
  </si>
  <si>
    <t>Toothpaste Import (Tons)</t>
  </si>
  <si>
    <t>Toothpaste Difference (Tons)</t>
  </si>
  <si>
    <t>Toothpaste Total (Tons)</t>
  </si>
  <si>
    <t xml:space="preserve">Toothpaste Local % </t>
  </si>
  <si>
    <t xml:space="preserve">                    Shampoo in tons</t>
  </si>
  <si>
    <t xml:space="preserve">                                                                      Toothpaste  In tons</t>
  </si>
  <si>
    <t>In millions of U.S. Dollars (data petains to the Iranian calendar year 1396, corresponding to March 21, 2016-March 20, 2017)</t>
  </si>
  <si>
    <t>Contribution of the three major sources of supply to the Iranian market of personal hygiene and cosmetic products during the Iranian year 1395, corresponding to March 21, 2016- March 20, 2017.</t>
  </si>
  <si>
    <t xml:space="preserve">Total Demand </t>
  </si>
  <si>
    <t>Source: Internal memo of the Inspector General of the Minister of Health and Medical Education,  May 14th, 2017</t>
  </si>
  <si>
    <t>No</t>
  </si>
  <si>
    <t xml:space="preserve">Note: The Ministry of Health did not provide us with comparative data for the other 9 years of the decade </t>
  </si>
  <si>
    <t xml:space="preserve">Sources of Supply </t>
  </si>
  <si>
    <t>Volume</t>
  </si>
  <si>
    <r>
      <rPr>
        <b/>
        <sz val="18"/>
        <color theme="1"/>
        <rFont val="Times New Roman"/>
        <family val="1"/>
      </rPr>
      <t>Iran</t>
    </r>
    <r>
      <rPr>
        <sz val="18"/>
        <color theme="1"/>
        <rFont val="Times New Roman"/>
        <family val="1"/>
      </rPr>
      <t xml:space="preserve"> Chamber of Commerce Membership &amp; Export-Import Card Holders</t>
    </r>
  </si>
  <si>
    <r>
      <rPr>
        <b/>
        <sz val="18"/>
        <color theme="1"/>
        <rFont val="Times New Roman"/>
        <family val="1"/>
      </rPr>
      <t>Tehran</t>
    </r>
    <r>
      <rPr>
        <sz val="18"/>
        <color theme="1"/>
        <rFont val="Times New Roman"/>
        <family val="1"/>
      </rPr>
      <t xml:space="preserve"> Chamber of Commerce Membership &amp; Export-Import Card Holders</t>
    </r>
  </si>
  <si>
    <t>Proportion</t>
  </si>
  <si>
    <t>Rate of Growth</t>
  </si>
  <si>
    <t>Iran Toothpaste in tons/ Male cardholder</t>
  </si>
  <si>
    <t>Iran % Male Cardholder</t>
  </si>
  <si>
    <t>Iran % Female Cardholder</t>
  </si>
  <si>
    <t>Tehran % Female Cardholder</t>
  </si>
  <si>
    <t>Tehran % Male Cardholder</t>
  </si>
  <si>
    <t>Iran Toothpaste in tons/ Female cardholder</t>
  </si>
  <si>
    <t>Iran Toothpaste in tons/ Male cardholder Difference</t>
  </si>
  <si>
    <t xml:space="preserve">Iran Toothpaste in tons/ total cardholder </t>
  </si>
  <si>
    <t>Iran Soap in tons/ Male cardholder</t>
  </si>
  <si>
    <t>Iran Soap in tons/ Female cardholder</t>
  </si>
  <si>
    <t>Iran Soap in tons/ Male cardholder Difference</t>
  </si>
  <si>
    <t xml:space="preserve">Iran Soap in tons/ total cardholder </t>
  </si>
  <si>
    <t>Iran Shampoo in tons/ Male cardholder</t>
  </si>
  <si>
    <t>Iran Shampoo tons/ Female cardholder</t>
  </si>
  <si>
    <t>Iran Shampoo in tons/ Male cardholder Difference</t>
  </si>
  <si>
    <t xml:space="preserve">Iran Shampoo in tons/ total cardholder </t>
  </si>
  <si>
    <t>Tehran Toothpaste in tons/ Male cardholder</t>
  </si>
  <si>
    <t>Tehran Toothpaste in tons/ Female cardholder</t>
  </si>
  <si>
    <t>Tehran Toothpaste in tons/ Male cardholder Difference</t>
  </si>
  <si>
    <t xml:space="preserve">Tehran Toothpaste in tons/ total cardholder </t>
  </si>
  <si>
    <t>Tehran Soap in tons/ Male cardholder</t>
  </si>
  <si>
    <t>Tehran Soap in tons/ Female cardholder</t>
  </si>
  <si>
    <t>Tehran Soap in tons/ Male cardholder Difference</t>
  </si>
  <si>
    <t xml:space="preserve">Tehran Soap in tons/ total cardholder </t>
  </si>
  <si>
    <t>Tehran Shampoo in tons/ Male cardholder</t>
  </si>
  <si>
    <t>Tehran Shampoo tons/ Female cardholder</t>
  </si>
  <si>
    <t>Tehran Shampoo in tons/ Male cardholder Difference</t>
  </si>
  <si>
    <t xml:space="preserve">Tehran Shampoo in tons/ total cardholder </t>
  </si>
  <si>
    <t>Inflation Rate</t>
  </si>
  <si>
    <t>CIF Value/Kilo in Rial Toothpaste</t>
  </si>
  <si>
    <t>CIF Value/Kilo in Rial Soap</t>
  </si>
  <si>
    <t>CIF Value/Kilo in Rial Shampoo</t>
  </si>
  <si>
    <t>Iranian Population</t>
  </si>
  <si>
    <t>GNI Per Capita-CBI Rial - Current</t>
  </si>
  <si>
    <t>Total Import in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</si>
</sst>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7" formatCode="0_);\(0\)"/>
    <numFmt numFmtId="169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sz val="14"/>
      <name val="Calibri"/>
      <family val="2"/>
    </font>
    <font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8"/>
      <color theme="1"/>
      <name val="Times New Roman"/>
      <family val="1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i/>
      <sz val="14"/>
      <color rgb="FFFF0000"/>
      <name val="Calibri"/>
      <family val="2"/>
      <scheme val="minor"/>
    </font>
    <font>
      <b/>
      <sz val="18"/>
      <color theme="1"/>
      <name val="Times New Roman"/>
      <family val="1"/>
    </font>
    <font>
      <sz val="14"/>
      <color rgb="FF000000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5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2" fillId="0" borderId="0" xfId="0" applyFont="1"/>
    <xf numFmtId="37" fontId="2" fillId="3" borderId="1" xfId="1" applyNumberFormat="1" applyFont="1" applyFill="1" applyBorder="1" applyAlignment="1">
      <alignment horizontal="center"/>
    </xf>
    <xf numFmtId="37" fontId="2" fillId="5" borderId="1" xfId="1" applyNumberFormat="1" applyFont="1" applyFill="1" applyBorder="1" applyAlignment="1">
      <alignment horizontal="center"/>
    </xf>
    <xf numFmtId="1" fontId="2" fillId="0" borderId="0" xfId="0" applyNumberFormat="1" applyFont="1"/>
    <xf numFmtId="164" fontId="0" fillId="0" borderId="0" xfId="0" applyNumberFormat="1"/>
    <xf numFmtId="3" fontId="3" fillId="7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37" fontId="2" fillId="3" borderId="1" xfId="1" applyNumberFormat="1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Fill="1"/>
    <xf numFmtId="37" fontId="2" fillId="3" borderId="1" xfId="1" applyNumberFormat="1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3" fontId="5" fillId="8" borderId="1" xfId="0" applyNumberFormat="1" applyFont="1" applyFill="1" applyBorder="1" applyAlignment="1">
      <alignment horizontal="center" vertical="center"/>
    </xf>
    <xf numFmtId="3" fontId="5" fillId="8" borderId="1" xfId="0" applyNumberFormat="1" applyFont="1" applyFill="1" applyBorder="1" applyAlignment="1">
      <alignment horizontal="center" vertical="center" wrapText="1"/>
    </xf>
    <xf numFmtId="37" fontId="3" fillId="7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37" fontId="4" fillId="4" borderId="1" xfId="1" applyNumberFormat="1" applyFont="1" applyFill="1" applyBorder="1" applyAlignment="1">
      <alignment horizontal="center" vertical="center" readingOrder="2"/>
    </xf>
    <xf numFmtId="37" fontId="4" fillId="4" borderId="1" xfId="1" applyNumberFormat="1" applyFont="1" applyFill="1" applyBorder="1" applyAlignment="1">
      <alignment horizontal="center" vertical="center" wrapText="1" readingOrder="2"/>
    </xf>
    <xf numFmtId="164" fontId="3" fillId="7" borderId="1" xfId="1" applyNumberFormat="1" applyFont="1" applyFill="1" applyBorder="1" applyAlignment="1">
      <alignment horizontal="center" vertical="center"/>
    </xf>
    <xf numFmtId="37" fontId="4" fillId="3" borderId="1" xfId="1" applyNumberFormat="1" applyFont="1" applyFill="1" applyBorder="1" applyAlignment="1">
      <alignment horizontal="center" vertical="center" readingOrder="2"/>
    </xf>
    <xf numFmtId="37" fontId="4" fillId="3" borderId="1" xfId="1" applyNumberFormat="1" applyFont="1" applyFill="1" applyBorder="1" applyAlignment="1">
      <alignment horizontal="center" vertical="center" wrapText="1" readingOrder="2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7" fontId="2" fillId="5" borderId="1" xfId="1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43" fontId="2" fillId="3" borderId="1" xfId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37" fontId="2" fillId="9" borderId="1" xfId="1" applyNumberFormat="1" applyFont="1" applyFill="1" applyBorder="1" applyAlignment="1">
      <alignment horizontal="center" vertical="center"/>
    </xf>
    <xf numFmtId="43" fontId="2" fillId="9" borderId="1" xfId="1" applyFont="1" applyFill="1" applyBorder="1" applyAlignment="1">
      <alignment vertical="center"/>
    </xf>
    <xf numFmtId="0" fontId="0" fillId="9" borderId="0" xfId="0" applyFill="1"/>
    <xf numFmtId="0" fontId="0" fillId="10" borderId="0" xfId="0" applyFill="1" applyAlignment="1">
      <alignment horizontal="center"/>
    </xf>
    <xf numFmtId="0" fontId="0" fillId="10" borderId="0" xfId="0" applyFill="1"/>
    <xf numFmtId="0" fontId="8" fillId="0" borderId="0" xfId="0" applyFont="1" applyFill="1"/>
    <xf numFmtId="0" fontId="2" fillId="2" borderId="0" xfId="0" applyFont="1" applyFill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37" fontId="2" fillId="4" borderId="0" xfId="0" applyNumberFormat="1" applyFont="1" applyFill="1" applyAlignment="1">
      <alignment horizontal="center"/>
    </xf>
    <xf numFmtId="10" fontId="2" fillId="4" borderId="0" xfId="0" applyNumberFormat="1" applyFont="1" applyFill="1" applyAlignment="1">
      <alignment horizontal="center"/>
    </xf>
    <xf numFmtId="10" fontId="2" fillId="3" borderId="1" xfId="1" applyNumberFormat="1" applyFont="1" applyFill="1" applyBorder="1" applyAlignment="1">
      <alignment horizontal="center" wrapText="1"/>
    </xf>
    <xf numFmtId="10" fontId="2" fillId="5" borderId="1" xfId="1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37" fontId="2" fillId="0" borderId="0" xfId="1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0" fillId="0" borderId="0" xfId="0" applyFont="1"/>
    <xf numFmtId="3" fontId="2" fillId="2" borderId="0" xfId="0" applyNumberFormat="1" applyFont="1" applyFill="1" applyAlignment="1">
      <alignment horizontal="center"/>
    </xf>
    <xf numFmtId="3" fontId="0" fillId="9" borderId="0" xfId="0" applyNumberFormat="1" applyFill="1"/>
    <xf numFmtId="6" fontId="2" fillId="0" borderId="0" xfId="0" applyNumberFormat="1" applyFont="1" applyAlignment="1">
      <alignment horizontal="center" vertical="center"/>
    </xf>
    <xf numFmtId="5" fontId="2" fillId="0" borderId="0" xfId="1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165" fontId="2" fillId="0" borderId="5" xfId="2" applyNumberFormat="1" applyFont="1" applyBorder="1"/>
    <xf numFmtId="10" fontId="2" fillId="0" borderId="0" xfId="3" applyNumberFormat="1" applyFont="1" applyBorder="1"/>
    <xf numFmtId="0" fontId="11" fillId="0" borderId="1" xfId="0" applyFont="1" applyBorder="1" applyAlignment="1">
      <alignment vertical="center"/>
    </xf>
    <xf numFmtId="6" fontId="2" fillId="0" borderId="0" xfId="0" applyNumberFormat="1" applyFont="1" applyAlignment="1">
      <alignment horizontal="right" vertical="center"/>
    </xf>
    <xf numFmtId="165" fontId="2" fillId="0" borderId="5" xfId="2" applyNumberFormat="1" applyFont="1" applyBorder="1" applyAlignment="1">
      <alignment horizontal="right"/>
    </xf>
    <xf numFmtId="165" fontId="2" fillId="0" borderId="7" xfId="2" applyNumberFormat="1" applyFont="1" applyFill="1" applyBorder="1" applyAlignment="1">
      <alignment horizontal="right"/>
    </xf>
    <xf numFmtId="0" fontId="12" fillId="0" borderId="0" xfId="0" applyFont="1" applyAlignment="1">
      <alignment vertical="center"/>
    </xf>
    <xf numFmtId="10" fontId="2" fillId="0" borderId="0" xfId="1" applyNumberFormat="1" applyFont="1" applyBorder="1"/>
    <xf numFmtId="5" fontId="2" fillId="0" borderId="0" xfId="0" applyNumberFormat="1" applyFont="1"/>
    <xf numFmtId="0" fontId="1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12" borderId="0" xfId="0" applyFill="1"/>
    <xf numFmtId="0" fontId="14" fillId="0" borderId="0" xfId="0" applyFont="1" applyAlignment="1">
      <alignment horizontal="center" vertical="center"/>
    </xf>
    <xf numFmtId="0" fontId="0" fillId="13" borderId="0" xfId="0" applyFill="1"/>
    <xf numFmtId="9" fontId="2" fillId="0" borderId="0" xfId="0" applyNumberFormat="1" applyFont="1"/>
    <xf numFmtId="9" fontId="2" fillId="13" borderId="0" xfId="0" applyNumberFormat="1" applyFont="1" applyFill="1"/>
    <xf numFmtId="0" fontId="2" fillId="13" borderId="0" xfId="0" applyFont="1" applyFill="1"/>
    <xf numFmtId="0" fontId="0" fillId="0" borderId="0" xfId="0" applyAlignment="1"/>
    <xf numFmtId="0" fontId="2" fillId="0" borderId="0" xfId="0" applyFont="1" applyAlignment="1">
      <alignment horizontal="center"/>
    </xf>
    <xf numFmtId="164" fontId="3" fillId="4" borderId="1" xfId="1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37" fontId="4" fillId="0" borderId="0" xfId="1" applyNumberFormat="1" applyFont="1" applyFill="1" applyBorder="1" applyAlignment="1">
      <alignment horizontal="center" vertical="center" readingOrder="2"/>
    </xf>
    <xf numFmtId="37" fontId="2" fillId="0" borderId="0" xfId="0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 vertical="center"/>
    </xf>
    <xf numFmtId="37" fontId="4" fillId="0" borderId="0" xfId="1" applyNumberFormat="1" applyFont="1" applyFill="1" applyBorder="1" applyAlignment="1">
      <alignment horizontal="center" vertical="center" wrapText="1" readingOrder="2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2" fillId="0" borderId="1" xfId="0" applyFont="1" applyFill="1" applyBorder="1" applyAlignment="1">
      <alignment horizontal="center" vertical="center" wrapText="1"/>
    </xf>
    <xf numFmtId="9" fontId="2" fillId="5" borderId="1" xfId="1" applyNumberFormat="1" applyFont="1" applyFill="1" applyBorder="1" applyAlignment="1">
      <alignment horizontal="center"/>
    </xf>
    <xf numFmtId="9" fontId="2" fillId="3" borderId="1" xfId="1" applyNumberFormat="1" applyFont="1" applyFill="1" applyBorder="1" applyAlignment="1">
      <alignment horizontal="center" wrapText="1"/>
    </xf>
    <xf numFmtId="0" fontId="0" fillId="7" borderId="0" xfId="0" applyFill="1"/>
    <xf numFmtId="0" fontId="2" fillId="7" borderId="0" xfId="0" applyFont="1" applyFill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37" fontId="2" fillId="4" borderId="1" xfId="0" applyNumberFormat="1" applyFont="1" applyFill="1" applyBorder="1" applyAlignment="1">
      <alignment horizontal="center"/>
    </xf>
    <xf numFmtId="9" fontId="2" fillId="4" borderId="1" xfId="0" applyNumberFormat="1" applyFont="1" applyFill="1" applyBorder="1" applyAlignment="1">
      <alignment horizontal="center"/>
    </xf>
    <xf numFmtId="9" fontId="2" fillId="4" borderId="8" xfId="0" applyNumberFormat="1" applyFont="1" applyFill="1" applyBorder="1" applyAlignment="1">
      <alignment horizontal="center"/>
    </xf>
    <xf numFmtId="6" fontId="2" fillId="9" borderId="0" xfId="0" applyNumberFormat="1" applyFont="1" applyFill="1" applyAlignment="1">
      <alignment horizontal="center" vertical="center"/>
    </xf>
    <xf numFmtId="5" fontId="2" fillId="9" borderId="0" xfId="1" applyNumberFormat="1" applyFont="1" applyFill="1" applyAlignment="1">
      <alignment horizontal="center" vertical="center"/>
    </xf>
    <xf numFmtId="165" fontId="2" fillId="0" borderId="7" xfId="2" applyNumberFormat="1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5" fontId="2" fillId="0" borderId="0" xfId="1" applyNumberFormat="1" applyFont="1" applyBorder="1" applyAlignment="1">
      <alignment horizontal="center" vertical="center"/>
    </xf>
    <xf numFmtId="165" fontId="2" fillId="0" borderId="0" xfId="2" applyNumberFormat="1" applyFont="1" applyBorder="1"/>
    <xf numFmtId="10" fontId="2" fillId="0" borderId="6" xfId="3" applyNumberFormat="1" applyFont="1" applyBorder="1"/>
    <xf numFmtId="165" fontId="2" fillId="0" borderId="10" xfId="2" applyNumberFormat="1" applyFont="1" applyBorder="1"/>
    <xf numFmtId="10" fontId="2" fillId="0" borderId="9" xfId="3" applyNumberFormat="1" applyFont="1" applyBorder="1"/>
    <xf numFmtId="0" fontId="2" fillId="2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1" fontId="3" fillId="7" borderId="2" xfId="0" applyNumberFormat="1" applyFont="1" applyFill="1" applyBorder="1" applyAlignment="1">
      <alignment horizontal="center" vertical="center" wrapText="1"/>
    </xf>
    <xf numFmtId="164" fontId="7" fillId="0" borderId="2" xfId="1" applyNumberFormat="1" applyFont="1" applyFill="1" applyBorder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5" borderId="0" xfId="0" applyFont="1" applyFill="1"/>
    <xf numFmtId="0" fontId="0" fillId="5" borderId="0" xfId="0" applyFill="1"/>
    <xf numFmtId="0" fontId="2" fillId="14" borderId="0" xfId="0" applyFont="1" applyFill="1"/>
    <xf numFmtId="0" fontId="0" fillId="14" borderId="0" xfId="0" applyFill="1"/>
    <xf numFmtId="0" fontId="2" fillId="0" borderId="0" xfId="0" applyFont="1" applyFill="1"/>
    <xf numFmtId="9" fontId="2" fillId="0" borderId="0" xfId="3" applyFont="1" applyAlignment="1">
      <alignment horizontal="center"/>
    </xf>
    <xf numFmtId="0" fontId="2" fillId="3" borderId="0" xfId="0" applyFont="1" applyFill="1"/>
    <xf numFmtId="0" fontId="2" fillId="4" borderId="0" xfId="0" applyFont="1" applyFill="1"/>
    <xf numFmtId="0" fontId="3" fillId="0" borderId="11" xfId="0" applyFont="1" applyFill="1" applyBorder="1" applyAlignment="1">
      <alignment horizontal="center" vertical="center" wrapText="1"/>
    </xf>
    <xf numFmtId="167" fontId="0" fillId="9" borderId="0" xfId="1" applyNumberFormat="1" applyFont="1" applyFill="1" applyAlignment="1"/>
    <xf numFmtId="167" fontId="0" fillId="0" borderId="0" xfId="1" applyNumberFormat="1" applyFont="1" applyAlignment="1"/>
    <xf numFmtId="0" fontId="0" fillId="15" borderId="0" xfId="0" applyFill="1" applyAlignment="1">
      <alignment horizontal="center" vertical="center" wrapText="1"/>
    </xf>
    <xf numFmtId="164" fontId="0" fillId="9" borderId="0" xfId="1" applyNumberFormat="1" applyFont="1" applyFill="1"/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0" fontId="15" fillId="9" borderId="0" xfId="0" applyFont="1" applyFill="1"/>
    <xf numFmtId="0" fontId="15" fillId="16" borderId="0" xfId="0" applyFont="1" applyFill="1"/>
    <xf numFmtId="3" fontId="0" fillId="9" borderId="0" xfId="0" applyNumberFormat="1" applyFill="1" applyAlignment="1">
      <alignment horizontal="right"/>
    </xf>
    <xf numFmtId="3" fontId="0" fillId="0" borderId="0" xfId="0" applyNumberFormat="1" applyAlignment="1">
      <alignment horizontal="right"/>
    </xf>
    <xf numFmtId="167" fontId="5" fillId="9" borderId="0" xfId="1" applyNumberFormat="1" applyFont="1" applyFill="1" applyBorder="1" applyAlignment="1" applyProtection="1">
      <alignment horizontal="right" vertical="top" wrapText="1"/>
      <protection locked="0"/>
    </xf>
    <xf numFmtId="167" fontId="5" fillId="0" borderId="0" xfId="1" applyNumberFormat="1" applyFont="1" applyFill="1" applyBorder="1" applyAlignment="1" applyProtection="1">
      <alignment horizontal="right" vertical="top" wrapText="1"/>
      <protection locked="0"/>
    </xf>
    <xf numFmtId="164" fontId="5" fillId="0" borderId="0" xfId="1" applyNumberFormat="1" applyFont="1" applyFill="1" applyBorder="1" applyAlignment="1" applyProtection="1">
      <alignment horizontal="right" vertical="top" wrapText="1"/>
      <protection locked="0"/>
    </xf>
    <xf numFmtId="169" fontId="2" fillId="0" borderId="0" xfId="0" applyNumberFormat="1" applyFont="1"/>
    <xf numFmtId="169" fontId="2" fillId="5" borderId="0" xfId="0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opLeftCell="I1" zoomScale="90" zoomScaleNormal="90" zoomScaleSheetLayoutView="110" workbookViewId="0">
      <selection activeCell="Q1" sqref="Q1:AG1"/>
    </sheetView>
  </sheetViews>
  <sheetFormatPr defaultRowHeight="15" x14ac:dyDescent="0.25"/>
  <cols>
    <col min="1" max="1" width="12.28515625" bestFit="1" customWidth="1"/>
    <col min="2" max="2" width="9.42578125" customWidth="1"/>
    <col min="3" max="3" width="22.140625" style="1" customWidth="1"/>
    <col min="4" max="4" width="22.5703125" customWidth="1"/>
    <col min="5" max="5" width="19.5703125" customWidth="1"/>
    <col min="8" max="9" width="9.42578125" bestFit="1" customWidth="1"/>
    <col min="10" max="10" width="19.5703125" customWidth="1"/>
    <col min="11" max="11" width="18" customWidth="1"/>
    <col min="12" max="12" width="18.140625" customWidth="1"/>
    <col min="14" max="15" width="10.85546875" customWidth="1"/>
    <col min="16" max="16" width="20.140625" customWidth="1"/>
    <col min="17" max="17" width="21" style="8" customWidth="1"/>
    <col min="18" max="18" width="22.28515625" style="8" customWidth="1"/>
    <col min="19" max="21" width="20.140625" style="8" customWidth="1"/>
    <col min="22" max="27" width="18" customWidth="1"/>
    <col min="28" max="28" width="15.85546875" customWidth="1"/>
    <col min="29" max="29" width="17.28515625" customWidth="1"/>
    <col min="30" max="33" width="15.85546875" customWidth="1"/>
  </cols>
  <sheetData>
    <row r="1" spans="1:33" ht="29.1" customHeight="1" x14ac:dyDescent="0.3">
      <c r="A1" s="124" t="s">
        <v>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0" t="s">
        <v>28</v>
      </c>
      <c r="R1" s="10"/>
      <c r="S1" s="11"/>
      <c r="T1" s="11"/>
      <c r="U1" s="11"/>
      <c r="V1" s="2"/>
      <c r="W1" s="2"/>
      <c r="X1" s="39" t="s">
        <v>26</v>
      </c>
      <c r="Y1" s="2"/>
      <c r="Z1" s="2"/>
      <c r="AA1" s="2"/>
      <c r="AB1" s="2"/>
      <c r="AC1" s="2"/>
      <c r="AD1" s="39" t="s">
        <v>27</v>
      </c>
      <c r="AE1" s="2"/>
      <c r="AF1" s="2"/>
      <c r="AG1" s="2"/>
    </row>
    <row r="2" spans="1:33" ht="37.5" x14ac:dyDescent="0.3">
      <c r="A2" s="32" t="s">
        <v>0</v>
      </c>
      <c r="B2" s="32" t="s">
        <v>1</v>
      </c>
      <c r="C2" s="30" t="s">
        <v>2</v>
      </c>
      <c r="D2" s="28" t="s">
        <v>3</v>
      </c>
      <c r="E2" s="33" t="s">
        <v>4</v>
      </c>
      <c r="F2" s="2"/>
      <c r="G2" s="2"/>
      <c r="H2" s="32" t="s">
        <v>0</v>
      </c>
      <c r="I2" s="32" t="s">
        <v>1</v>
      </c>
      <c r="J2" s="30" t="s">
        <v>2</v>
      </c>
      <c r="K2" s="28" t="s">
        <v>3</v>
      </c>
      <c r="L2" s="33" t="s">
        <v>4</v>
      </c>
      <c r="M2" s="2"/>
      <c r="N2" s="32" t="s">
        <v>0</v>
      </c>
      <c r="O2" s="32" t="s">
        <v>1</v>
      </c>
      <c r="P2" s="30" t="s">
        <v>6</v>
      </c>
      <c r="Q2" s="30" t="s">
        <v>7</v>
      </c>
      <c r="R2" s="30" t="s">
        <v>11</v>
      </c>
      <c r="S2" s="27" t="s">
        <v>21</v>
      </c>
      <c r="T2" s="27" t="s">
        <v>22</v>
      </c>
      <c r="U2" s="27" t="s">
        <v>23</v>
      </c>
      <c r="V2" s="28" t="s">
        <v>8</v>
      </c>
      <c r="W2" s="28" t="s">
        <v>9</v>
      </c>
      <c r="X2" s="28" t="s">
        <v>10</v>
      </c>
      <c r="Y2" s="29" t="s">
        <v>12</v>
      </c>
      <c r="Z2" s="29" t="s">
        <v>13</v>
      </c>
      <c r="AA2" s="29" t="s">
        <v>14</v>
      </c>
      <c r="AB2" s="12" t="s">
        <v>15</v>
      </c>
      <c r="AC2" s="12" t="s">
        <v>16</v>
      </c>
      <c r="AD2" s="12" t="s">
        <v>17</v>
      </c>
      <c r="AE2" s="12" t="s">
        <v>18</v>
      </c>
      <c r="AF2" s="12" t="s">
        <v>19</v>
      </c>
      <c r="AG2" s="12" t="s">
        <v>20</v>
      </c>
    </row>
    <row r="3" spans="1:33" ht="20.100000000000001" customHeight="1" x14ac:dyDescent="0.3">
      <c r="A3" s="20">
        <v>1389</v>
      </c>
      <c r="B3" s="20">
        <v>2010</v>
      </c>
      <c r="C3" s="37">
        <v>2270</v>
      </c>
      <c r="D3" s="38">
        <v>0</v>
      </c>
      <c r="E3" s="35">
        <v>18</v>
      </c>
      <c r="F3" s="2"/>
      <c r="G3" s="2"/>
      <c r="H3" s="20">
        <v>1389</v>
      </c>
      <c r="I3" s="20">
        <v>2010</v>
      </c>
      <c r="J3" s="21">
        <v>2270</v>
      </c>
      <c r="K3" s="38">
        <v>0</v>
      </c>
      <c r="L3" s="35">
        <v>18</v>
      </c>
      <c r="M3" s="2"/>
      <c r="N3" s="20">
        <v>1388</v>
      </c>
      <c r="O3" s="20">
        <v>2009</v>
      </c>
      <c r="P3" s="45"/>
      <c r="Q3" s="22">
        <f>7022984.01/1000</f>
        <v>7022.9840100000001</v>
      </c>
      <c r="R3" s="51">
        <f>P3-Q3</f>
        <v>-7022.9840100000001</v>
      </c>
      <c r="S3" s="51">
        <f>P3+Q3</f>
        <v>7022.9840100000001</v>
      </c>
      <c r="T3" s="52">
        <f>P3/S3</f>
        <v>0</v>
      </c>
      <c r="U3" s="52">
        <f>Q3/S3</f>
        <v>1</v>
      </c>
      <c r="V3" s="44">
        <v>0</v>
      </c>
      <c r="W3" s="25">
        <f>6309486.63/1000</f>
        <v>6309.4866300000003</v>
      </c>
      <c r="X3" s="3">
        <f>V3-W3</f>
        <v>-6309.4866300000003</v>
      </c>
      <c r="Y3" s="9">
        <f>V3+W3</f>
        <v>6309.4866300000003</v>
      </c>
      <c r="Z3" s="53">
        <f>V3/Y3</f>
        <v>0</v>
      </c>
      <c r="AA3" s="53">
        <f>W3/Y3</f>
        <v>1</v>
      </c>
      <c r="AB3" s="43"/>
      <c r="AC3" s="17">
        <f>3690423.59/1000</f>
        <v>3690.4235899999999</v>
      </c>
      <c r="AD3" s="4">
        <f>AB3-AC3</f>
        <v>-3690.4235899999999</v>
      </c>
      <c r="AE3" s="4">
        <f>AB3+AC3</f>
        <v>3690.4235899999999</v>
      </c>
      <c r="AF3" s="54">
        <f>AB3/AE3</f>
        <v>0</v>
      </c>
      <c r="AG3" s="54">
        <f>AC3/AE3</f>
        <v>1</v>
      </c>
    </row>
    <row r="4" spans="1:33" ht="20.100000000000001" customHeight="1" x14ac:dyDescent="0.3">
      <c r="A4" s="20">
        <v>1390</v>
      </c>
      <c r="B4" s="20">
        <v>2011</v>
      </c>
      <c r="C4" s="21">
        <v>7881</v>
      </c>
      <c r="D4" s="3">
        <v>7860</v>
      </c>
      <c r="E4" s="35">
        <v>569</v>
      </c>
      <c r="F4" s="2"/>
      <c r="G4" s="2"/>
      <c r="H4" s="20">
        <v>1390</v>
      </c>
      <c r="I4" s="20">
        <v>2011</v>
      </c>
      <c r="J4" s="21">
        <v>7881</v>
      </c>
      <c r="K4" s="3">
        <v>7860</v>
      </c>
      <c r="L4" s="35">
        <v>569</v>
      </c>
      <c r="M4" s="2"/>
      <c r="N4" s="20">
        <v>1389</v>
      </c>
      <c r="O4" s="20">
        <v>2010</v>
      </c>
      <c r="P4" s="37">
        <v>2270</v>
      </c>
      <c r="Q4" s="22">
        <f>6412082.71/1000</f>
        <v>6412.0827099999997</v>
      </c>
      <c r="R4" s="51">
        <f t="shared" ref="R4:R12" si="0">P4-Q4</f>
        <v>-4142.0827099999997</v>
      </c>
      <c r="S4" s="51">
        <f t="shared" ref="S4:S12" si="1">P4+Q4</f>
        <v>8682.0827099999988</v>
      </c>
      <c r="T4" s="52">
        <f t="shared" ref="T4:T12" si="2">P4/S4</f>
        <v>0.26145800216639498</v>
      </c>
      <c r="U4" s="52">
        <f t="shared" ref="U4:U12" si="3">Q4/S4</f>
        <v>0.73854199783360508</v>
      </c>
      <c r="V4" s="38">
        <v>0</v>
      </c>
      <c r="W4" s="25">
        <f>8752230.05/1000</f>
        <v>8752.2300500000001</v>
      </c>
      <c r="X4" s="3">
        <f t="shared" ref="X4:X12" si="4">V4-W4</f>
        <v>-8752.2300500000001</v>
      </c>
      <c r="Y4" s="9">
        <f>V4+W4</f>
        <v>8752.2300500000001</v>
      </c>
      <c r="Z4" s="53">
        <f>V4/Y4</f>
        <v>0</v>
      </c>
      <c r="AA4" s="53">
        <f t="shared" ref="AA4:AA12" si="5">W4/Y4</f>
        <v>1</v>
      </c>
      <c r="AB4" s="35">
        <v>18</v>
      </c>
      <c r="AC4" s="17">
        <f>2963728.65/1000</f>
        <v>2963.72865</v>
      </c>
      <c r="AD4" s="4">
        <f t="shared" ref="AD4:AD12" si="6">AB4-AC4</f>
        <v>-2945.72865</v>
      </c>
      <c r="AE4" s="4">
        <f t="shared" ref="AE4:AE12" si="7">AB4+AC4</f>
        <v>2981.72865</v>
      </c>
      <c r="AF4" s="54">
        <f t="shared" ref="AF4:AF12" si="8">AB4/AE4</f>
        <v>6.036766625293016E-3</v>
      </c>
      <c r="AG4" s="54">
        <f t="shared" ref="AG4:AG12" si="9">AC4/AE4</f>
        <v>0.99396323337470693</v>
      </c>
    </row>
    <row r="5" spans="1:33" ht="20.100000000000001" customHeight="1" x14ac:dyDescent="0.3">
      <c r="A5" s="20">
        <v>1391</v>
      </c>
      <c r="B5" s="20">
        <v>2012</v>
      </c>
      <c r="C5" s="21">
        <v>182106</v>
      </c>
      <c r="D5" s="15">
        <v>18282</v>
      </c>
      <c r="E5" s="35">
        <v>2902</v>
      </c>
      <c r="F5" s="2"/>
      <c r="G5" s="2"/>
      <c r="H5" s="20">
        <v>1391</v>
      </c>
      <c r="I5" s="20">
        <v>2012</v>
      </c>
      <c r="J5" s="21">
        <v>182106</v>
      </c>
      <c r="K5" s="15">
        <v>18282</v>
      </c>
      <c r="L5" s="35">
        <v>2902</v>
      </c>
      <c r="M5" s="2"/>
      <c r="N5" s="20">
        <v>1390</v>
      </c>
      <c r="O5" s="20">
        <v>2011</v>
      </c>
      <c r="P5" s="37">
        <v>7881</v>
      </c>
      <c r="Q5" s="22">
        <f>7804411.37/1000</f>
        <v>7804.4113699999998</v>
      </c>
      <c r="R5" s="51">
        <f t="shared" si="0"/>
        <v>76.588630000000194</v>
      </c>
      <c r="S5" s="51">
        <f t="shared" si="1"/>
        <v>15685.41137</v>
      </c>
      <c r="T5" s="52">
        <f t="shared" si="2"/>
        <v>0.50244139691951228</v>
      </c>
      <c r="U5" s="52">
        <f t="shared" si="3"/>
        <v>0.49755860308048777</v>
      </c>
      <c r="V5" s="3">
        <v>7860</v>
      </c>
      <c r="W5" s="25">
        <f>7879954.4/1000</f>
        <v>7879.9544000000005</v>
      </c>
      <c r="X5" s="3">
        <f t="shared" si="4"/>
        <v>-19.954400000000533</v>
      </c>
      <c r="Y5" s="9">
        <f t="shared" ref="Y5:Y12" si="10">V5+W5</f>
        <v>15739.954400000001</v>
      </c>
      <c r="Z5" s="53">
        <f t="shared" ref="Z5:Z12" si="11">V5/Y5</f>
        <v>0.49936612268711528</v>
      </c>
      <c r="AA5" s="53">
        <f t="shared" si="5"/>
        <v>0.50063387731288478</v>
      </c>
      <c r="AB5" s="35">
        <v>569</v>
      </c>
      <c r="AC5" s="17">
        <f>3559981.97/1000</f>
        <v>3559.9819700000003</v>
      </c>
      <c r="AD5" s="4">
        <f t="shared" si="6"/>
        <v>-2990.9819700000003</v>
      </c>
      <c r="AE5" s="4">
        <f t="shared" si="7"/>
        <v>4128.9819700000007</v>
      </c>
      <c r="AF5" s="54">
        <f t="shared" si="8"/>
        <v>0.13780636586310885</v>
      </c>
      <c r="AG5" s="54">
        <f t="shared" si="9"/>
        <v>0.8621936341368911</v>
      </c>
    </row>
    <row r="6" spans="1:33" ht="20.100000000000001" customHeight="1" x14ac:dyDescent="0.3">
      <c r="A6" s="20">
        <v>1392</v>
      </c>
      <c r="B6" s="20">
        <v>2013</v>
      </c>
      <c r="C6" s="21">
        <v>956103</v>
      </c>
      <c r="D6" s="3">
        <v>56433</v>
      </c>
      <c r="E6" s="35">
        <v>6334</v>
      </c>
      <c r="F6" s="2"/>
      <c r="G6" s="2"/>
      <c r="H6" s="20">
        <v>1392</v>
      </c>
      <c r="I6" s="20">
        <v>2013</v>
      </c>
      <c r="J6" s="21">
        <v>956103</v>
      </c>
      <c r="K6" s="3">
        <v>56433</v>
      </c>
      <c r="L6" s="35">
        <v>6334</v>
      </c>
      <c r="M6" s="2"/>
      <c r="N6" s="20">
        <v>1391</v>
      </c>
      <c r="O6" s="20">
        <v>2012</v>
      </c>
      <c r="P6" s="37">
        <v>182106</v>
      </c>
      <c r="Q6" s="22">
        <f>8235479.56/1000</f>
        <v>8235.4795599999998</v>
      </c>
      <c r="R6" s="51">
        <f t="shared" si="0"/>
        <v>173870.52043999999</v>
      </c>
      <c r="S6" s="51">
        <f t="shared" si="1"/>
        <v>190341.47956000001</v>
      </c>
      <c r="T6" s="52">
        <f t="shared" si="2"/>
        <v>0.95673313258341042</v>
      </c>
      <c r="U6" s="52">
        <f t="shared" si="3"/>
        <v>4.3266867416589493E-2</v>
      </c>
      <c r="V6" s="15">
        <v>18282</v>
      </c>
      <c r="W6" s="25">
        <f>8103132.24/1000</f>
        <v>8103.1322399999999</v>
      </c>
      <c r="X6" s="3">
        <f t="shared" si="4"/>
        <v>10178.867760000001</v>
      </c>
      <c r="Y6" s="9">
        <f t="shared" si="10"/>
        <v>26385.132239999999</v>
      </c>
      <c r="Z6" s="53">
        <f t="shared" si="11"/>
        <v>0.69289021687313701</v>
      </c>
      <c r="AA6" s="53">
        <f t="shared" si="5"/>
        <v>0.30710978312686299</v>
      </c>
      <c r="AB6" s="35">
        <v>2902</v>
      </c>
      <c r="AC6" s="17">
        <f>3742296.68/1000</f>
        <v>3742.2966800000004</v>
      </c>
      <c r="AD6" s="4">
        <f t="shared" si="6"/>
        <v>-840.29668000000038</v>
      </c>
      <c r="AE6" s="4">
        <f t="shared" si="7"/>
        <v>6644.2966800000004</v>
      </c>
      <c r="AF6" s="54">
        <f t="shared" si="8"/>
        <v>0.43676556598312521</v>
      </c>
      <c r="AG6" s="54">
        <f t="shared" si="9"/>
        <v>0.56323443401687479</v>
      </c>
    </row>
    <row r="7" spans="1:33" ht="20.100000000000001" customHeight="1" x14ac:dyDescent="0.3">
      <c r="A7" s="20">
        <v>1393</v>
      </c>
      <c r="B7" s="20">
        <v>2014</v>
      </c>
      <c r="C7" s="21">
        <v>857013</v>
      </c>
      <c r="D7" s="3">
        <v>49892</v>
      </c>
      <c r="E7" s="35">
        <v>5784</v>
      </c>
      <c r="F7" s="2"/>
      <c r="G7" s="2"/>
      <c r="H7" s="20">
        <v>1393</v>
      </c>
      <c r="I7" s="20">
        <v>2014</v>
      </c>
      <c r="J7" s="21">
        <v>857013</v>
      </c>
      <c r="K7" s="3">
        <v>49892</v>
      </c>
      <c r="L7" s="35">
        <v>5784</v>
      </c>
      <c r="M7" s="2"/>
      <c r="N7" s="20">
        <v>1392</v>
      </c>
      <c r="O7" s="20">
        <v>2013</v>
      </c>
      <c r="P7" s="37">
        <v>956103</v>
      </c>
      <c r="Q7" s="22">
        <f>7192205.93/1000</f>
        <v>7192.2059300000001</v>
      </c>
      <c r="R7" s="51">
        <f t="shared" si="0"/>
        <v>948910.79406999995</v>
      </c>
      <c r="S7" s="51">
        <f t="shared" si="1"/>
        <v>963295.20593000005</v>
      </c>
      <c r="T7" s="52">
        <f t="shared" si="2"/>
        <v>0.99253374678320294</v>
      </c>
      <c r="U7" s="52">
        <f t="shared" si="3"/>
        <v>7.4662532167970091E-3</v>
      </c>
      <c r="V7" s="3">
        <v>56433</v>
      </c>
      <c r="W7" s="25">
        <f>11125865.67/1000</f>
        <v>11125.865669999999</v>
      </c>
      <c r="X7" s="3">
        <f t="shared" si="4"/>
        <v>45307.134330000001</v>
      </c>
      <c r="Y7" s="9">
        <f t="shared" si="10"/>
        <v>67558.865669999999</v>
      </c>
      <c r="Z7" s="53">
        <f t="shared" si="11"/>
        <v>0.83531597874443708</v>
      </c>
      <c r="AA7" s="53">
        <f t="shared" si="5"/>
        <v>0.16468402125556292</v>
      </c>
      <c r="AB7" s="35">
        <v>6334</v>
      </c>
      <c r="AC7" s="17">
        <f>3606526.51/1000</f>
        <v>3606.5265099999997</v>
      </c>
      <c r="AD7" s="4">
        <f t="shared" si="6"/>
        <v>2727.4734900000003</v>
      </c>
      <c r="AE7" s="4">
        <f t="shared" si="7"/>
        <v>9940.5265099999997</v>
      </c>
      <c r="AF7" s="54">
        <f t="shared" si="8"/>
        <v>0.63718958886414157</v>
      </c>
      <c r="AG7" s="54">
        <f t="shared" si="9"/>
        <v>0.36281041113585843</v>
      </c>
    </row>
    <row r="8" spans="1:33" ht="20.100000000000001" customHeight="1" x14ac:dyDescent="0.3">
      <c r="A8" s="20">
        <v>1394</v>
      </c>
      <c r="B8" s="20">
        <v>2015</v>
      </c>
      <c r="C8" s="21">
        <v>923135</v>
      </c>
      <c r="D8" s="3">
        <v>52462</v>
      </c>
      <c r="E8" s="35">
        <v>5287</v>
      </c>
      <c r="F8" s="2"/>
      <c r="G8" s="2"/>
      <c r="H8" s="20">
        <v>1394</v>
      </c>
      <c r="I8" s="20">
        <v>2015</v>
      </c>
      <c r="J8" s="21">
        <v>923135</v>
      </c>
      <c r="K8" s="3">
        <v>52462</v>
      </c>
      <c r="L8" s="35">
        <v>5287</v>
      </c>
      <c r="M8" s="2"/>
      <c r="N8" s="20">
        <v>1393</v>
      </c>
      <c r="O8" s="20">
        <v>2014</v>
      </c>
      <c r="P8" s="37">
        <v>857013</v>
      </c>
      <c r="Q8" s="22">
        <f>8778517.9/1000</f>
        <v>8778.5179000000007</v>
      </c>
      <c r="R8" s="51">
        <f t="shared" si="0"/>
        <v>848234.48210000002</v>
      </c>
      <c r="S8" s="51">
        <f t="shared" si="1"/>
        <v>865791.51789999998</v>
      </c>
      <c r="T8" s="52">
        <f t="shared" si="2"/>
        <v>0.98986070235327261</v>
      </c>
      <c r="U8" s="52">
        <f t="shared" si="3"/>
        <v>1.0139297646727385E-2</v>
      </c>
      <c r="V8" s="3">
        <v>49892</v>
      </c>
      <c r="W8" s="25">
        <f>7635591.119/1000</f>
        <v>7635.5911189999997</v>
      </c>
      <c r="X8" s="3">
        <f t="shared" si="4"/>
        <v>42256.408881000003</v>
      </c>
      <c r="Y8" s="9">
        <f t="shared" si="10"/>
        <v>57527.591118999997</v>
      </c>
      <c r="Z8" s="53">
        <f t="shared" si="11"/>
        <v>0.86727080048936478</v>
      </c>
      <c r="AA8" s="53">
        <f t="shared" si="5"/>
        <v>0.13272919951063525</v>
      </c>
      <c r="AB8" s="35">
        <v>5784</v>
      </c>
      <c r="AC8" s="17">
        <f>4984456.96/1000</f>
        <v>4984.4569599999995</v>
      </c>
      <c r="AD8" s="4">
        <f t="shared" si="6"/>
        <v>799.54304000000047</v>
      </c>
      <c r="AE8" s="4">
        <f t="shared" si="7"/>
        <v>10768.45696</v>
      </c>
      <c r="AF8" s="54">
        <f t="shared" si="8"/>
        <v>0.53712430866232486</v>
      </c>
      <c r="AG8" s="54">
        <f t="shared" si="9"/>
        <v>0.46287569133767514</v>
      </c>
    </row>
    <row r="9" spans="1:33" ht="20.100000000000001" customHeight="1" x14ac:dyDescent="0.3">
      <c r="A9" s="20">
        <v>1395</v>
      </c>
      <c r="B9" s="20">
        <v>2016</v>
      </c>
      <c r="C9" s="21">
        <v>457800</v>
      </c>
      <c r="D9" s="3">
        <v>73188</v>
      </c>
      <c r="E9" s="35">
        <v>4983</v>
      </c>
      <c r="F9" s="2"/>
      <c r="G9" s="2"/>
      <c r="H9" s="20">
        <v>1395</v>
      </c>
      <c r="I9" s="20">
        <v>2016</v>
      </c>
      <c r="J9" s="21">
        <v>457800</v>
      </c>
      <c r="K9" s="3">
        <v>73188</v>
      </c>
      <c r="L9" s="35">
        <v>4983</v>
      </c>
      <c r="M9" s="2"/>
      <c r="N9" s="20">
        <v>1394</v>
      </c>
      <c r="O9" s="20">
        <v>2015</v>
      </c>
      <c r="P9" s="37">
        <v>923135</v>
      </c>
      <c r="Q9" s="23">
        <f>9054517.1478/1000</f>
        <v>9054.5171478000011</v>
      </c>
      <c r="R9" s="51">
        <f t="shared" si="0"/>
        <v>914080.48285220005</v>
      </c>
      <c r="S9" s="51">
        <f t="shared" si="1"/>
        <v>932189.51714779995</v>
      </c>
      <c r="T9" s="52">
        <f t="shared" si="2"/>
        <v>0.99028682796658785</v>
      </c>
      <c r="U9" s="52">
        <f t="shared" si="3"/>
        <v>9.7131720334121662E-3</v>
      </c>
      <c r="V9" s="3">
        <v>52462</v>
      </c>
      <c r="W9" s="26">
        <f>9477437.166/1000</f>
        <v>9477.4371659999997</v>
      </c>
      <c r="X9" s="3">
        <f t="shared" si="4"/>
        <v>42984.562833999997</v>
      </c>
      <c r="Y9" s="9">
        <f t="shared" si="10"/>
        <v>61939.437166000003</v>
      </c>
      <c r="Z9" s="53">
        <f t="shared" si="11"/>
        <v>0.84698864568949639</v>
      </c>
      <c r="AA9" s="53">
        <f t="shared" si="5"/>
        <v>0.15301135431050358</v>
      </c>
      <c r="AB9" s="35">
        <v>5287</v>
      </c>
      <c r="AC9" s="18">
        <f>4521667.36/1000</f>
        <v>4521.6673600000004</v>
      </c>
      <c r="AD9" s="4">
        <f t="shared" si="6"/>
        <v>765.33263999999963</v>
      </c>
      <c r="AE9" s="4">
        <f t="shared" si="7"/>
        <v>9808.6673599999995</v>
      </c>
      <c r="AF9" s="54">
        <f t="shared" si="8"/>
        <v>0.5390130795504926</v>
      </c>
      <c r="AG9" s="54">
        <f t="shared" si="9"/>
        <v>0.46098692044950751</v>
      </c>
    </row>
    <row r="10" spans="1:33" ht="20.100000000000001" customHeight="1" x14ac:dyDescent="0.3">
      <c r="A10" s="20">
        <v>1396</v>
      </c>
      <c r="B10" s="20">
        <v>2017</v>
      </c>
      <c r="C10" s="21">
        <v>593612</v>
      </c>
      <c r="D10" s="3">
        <v>59287</v>
      </c>
      <c r="E10" s="35">
        <v>5197</v>
      </c>
      <c r="F10" s="2"/>
      <c r="G10" s="2"/>
      <c r="H10" s="20">
        <v>1396</v>
      </c>
      <c r="I10" s="20">
        <v>2017</v>
      </c>
      <c r="J10" s="21">
        <v>593612</v>
      </c>
      <c r="K10" s="3">
        <v>59287</v>
      </c>
      <c r="L10" s="35">
        <v>5197</v>
      </c>
      <c r="M10" s="2"/>
      <c r="N10" s="20">
        <v>1395</v>
      </c>
      <c r="O10" s="20">
        <v>2016</v>
      </c>
      <c r="P10" s="37">
        <v>457800</v>
      </c>
      <c r="Q10" s="22">
        <f>12409312.464/1000</f>
        <v>12409.312464000001</v>
      </c>
      <c r="R10" s="51">
        <f t="shared" si="0"/>
        <v>445390.68753599998</v>
      </c>
      <c r="S10" s="51">
        <f t="shared" si="1"/>
        <v>470209.31246400002</v>
      </c>
      <c r="T10" s="52">
        <f t="shared" si="2"/>
        <v>0.97360896065845126</v>
      </c>
      <c r="U10" s="52">
        <f t="shared" si="3"/>
        <v>2.6391039341548721E-2</v>
      </c>
      <c r="V10" s="3">
        <v>73188</v>
      </c>
      <c r="W10" s="25">
        <f>11111406.152/1000</f>
        <v>11111.406152000001</v>
      </c>
      <c r="X10" s="3">
        <f t="shared" si="4"/>
        <v>62076.593847999997</v>
      </c>
      <c r="Y10" s="9">
        <f t="shared" si="10"/>
        <v>84299.406151999996</v>
      </c>
      <c r="Z10" s="53">
        <f t="shared" si="11"/>
        <v>0.86819116931897411</v>
      </c>
      <c r="AA10" s="53">
        <f t="shared" si="5"/>
        <v>0.13180883068102592</v>
      </c>
      <c r="AB10" s="35">
        <v>4983</v>
      </c>
      <c r="AC10" s="17">
        <f>3916234.72/1000</f>
        <v>3916.2347200000004</v>
      </c>
      <c r="AD10" s="4">
        <f t="shared" si="6"/>
        <v>1066.7652799999996</v>
      </c>
      <c r="AE10" s="4">
        <f t="shared" si="7"/>
        <v>8899.2347200000004</v>
      </c>
      <c r="AF10" s="54">
        <f t="shared" si="8"/>
        <v>0.55993578737745664</v>
      </c>
      <c r="AG10" s="54">
        <f t="shared" si="9"/>
        <v>0.44006421262254336</v>
      </c>
    </row>
    <row r="11" spans="1:33" ht="20.100000000000001" customHeight="1" x14ac:dyDescent="0.3">
      <c r="A11" s="20">
        <v>1397</v>
      </c>
      <c r="B11" s="20">
        <v>2018</v>
      </c>
      <c r="C11" s="21">
        <v>207567</v>
      </c>
      <c r="D11" s="3">
        <v>46068</v>
      </c>
      <c r="E11" s="35">
        <v>6630</v>
      </c>
      <c r="F11" s="2"/>
      <c r="G11" s="2"/>
      <c r="H11" s="20">
        <v>1397</v>
      </c>
      <c r="I11" s="20">
        <v>2018</v>
      </c>
      <c r="J11" s="21">
        <v>207567</v>
      </c>
      <c r="K11" s="3">
        <v>46068</v>
      </c>
      <c r="L11" s="35">
        <v>6630</v>
      </c>
      <c r="M11" s="2"/>
      <c r="N11" s="20">
        <v>1396</v>
      </c>
      <c r="O11" s="20">
        <v>2017</v>
      </c>
      <c r="P11" s="37">
        <v>593612</v>
      </c>
      <c r="Q11" s="22">
        <f>14713632.92/1000</f>
        <v>14713.63292</v>
      </c>
      <c r="R11" s="51">
        <f t="shared" si="0"/>
        <v>578898.36708</v>
      </c>
      <c r="S11" s="51">
        <f t="shared" si="1"/>
        <v>608325.63292</v>
      </c>
      <c r="T11" s="52">
        <f t="shared" si="2"/>
        <v>0.97581289999342347</v>
      </c>
      <c r="U11" s="52">
        <f t="shared" si="3"/>
        <v>2.4187100006576524E-2</v>
      </c>
      <c r="V11" s="3">
        <v>59287</v>
      </c>
      <c r="W11" s="25">
        <f>13354452.12/1000</f>
        <v>13354.45212</v>
      </c>
      <c r="X11" s="3">
        <f t="shared" si="4"/>
        <v>45932.547879999998</v>
      </c>
      <c r="Y11" s="9">
        <f t="shared" si="10"/>
        <v>72641.452120000002</v>
      </c>
      <c r="Z11" s="53">
        <f t="shared" si="11"/>
        <v>0.81615934524630473</v>
      </c>
      <c r="AA11" s="53">
        <f t="shared" si="5"/>
        <v>0.18384065475369518</v>
      </c>
      <c r="AB11" s="35">
        <v>5197</v>
      </c>
      <c r="AC11" s="17">
        <f>4375432.99/1000</f>
        <v>4375.4329900000002</v>
      </c>
      <c r="AD11" s="4">
        <f t="shared" si="6"/>
        <v>821.56700999999975</v>
      </c>
      <c r="AE11" s="4">
        <f t="shared" si="7"/>
        <v>9572.4329900000012</v>
      </c>
      <c r="AF11" s="54">
        <f t="shared" si="8"/>
        <v>0.54291317635016423</v>
      </c>
      <c r="AG11" s="54">
        <f t="shared" si="9"/>
        <v>0.45708682364983572</v>
      </c>
    </row>
    <row r="12" spans="1:33" ht="20.100000000000001" customHeight="1" x14ac:dyDescent="0.3">
      <c r="A12" s="34">
        <v>1398</v>
      </c>
      <c r="B12" s="34">
        <v>2019</v>
      </c>
      <c r="C12" s="21">
        <v>473983</v>
      </c>
      <c r="D12" s="3">
        <v>38809</v>
      </c>
      <c r="E12" s="35">
        <v>5684</v>
      </c>
      <c r="F12" s="2"/>
      <c r="G12" s="2"/>
      <c r="H12" s="34">
        <v>1398</v>
      </c>
      <c r="I12" s="34">
        <v>2019</v>
      </c>
      <c r="J12" s="21">
        <v>473983</v>
      </c>
      <c r="K12" s="3">
        <v>38809</v>
      </c>
      <c r="L12" s="35">
        <v>5684</v>
      </c>
      <c r="M12" s="2"/>
      <c r="N12" s="34">
        <v>1397</v>
      </c>
      <c r="O12" s="50">
        <v>2018</v>
      </c>
      <c r="P12" s="37">
        <v>207567</v>
      </c>
      <c r="Q12" s="22">
        <f>8682787/1000</f>
        <v>8682.7870000000003</v>
      </c>
      <c r="R12" s="51">
        <f t="shared" si="0"/>
        <v>198884.21299999999</v>
      </c>
      <c r="S12" s="51">
        <f t="shared" si="1"/>
        <v>216249.78700000001</v>
      </c>
      <c r="T12" s="52">
        <f t="shared" si="2"/>
        <v>0.95984834426680843</v>
      </c>
      <c r="U12" s="52">
        <f t="shared" si="3"/>
        <v>4.0151655733191544E-2</v>
      </c>
      <c r="V12" s="3">
        <v>46068</v>
      </c>
      <c r="W12" s="25">
        <f>14372299/1000</f>
        <v>14372.299000000001</v>
      </c>
      <c r="X12" s="3">
        <f t="shared" si="4"/>
        <v>31695.701000000001</v>
      </c>
      <c r="Y12" s="9">
        <f t="shared" si="10"/>
        <v>60440.298999999999</v>
      </c>
      <c r="Z12" s="53">
        <f t="shared" si="11"/>
        <v>0.76220668597288044</v>
      </c>
      <c r="AA12" s="53">
        <f t="shared" si="5"/>
        <v>0.23779331402711956</v>
      </c>
      <c r="AB12" s="35">
        <v>6630</v>
      </c>
      <c r="AC12" s="17">
        <f>213127/1000</f>
        <v>213.12700000000001</v>
      </c>
      <c r="AD12" s="4">
        <f t="shared" si="6"/>
        <v>6416.8729999999996</v>
      </c>
      <c r="AE12" s="4">
        <f t="shared" si="7"/>
        <v>6843.1270000000004</v>
      </c>
      <c r="AF12" s="54">
        <f t="shared" si="8"/>
        <v>0.96885532008977759</v>
      </c>
      <c r="AG12" s="54">
        <f t="shared" si="9"/>
        <v>3.114467991022233E-2</v>
      </c>
    </row>
    <row r="13" spans="1:33" ht="26.25" customHeight="1" x14ac:dyDescent="0.3">
      <c r="A13" s="125" t="s">
        <v>24</v>
      </c>
      <c r="B13" s="125"/>
      <c r="C13" s="31">
        <f>SUM(C3:C12)</f>
        <v>4661470</v>
      </c>
      <c r="D13" s="36">
        <f>SUM(D3:D12)</f>
        <v>402281</v>
      </c>
      <c r="E13" s="36">
        <f>SUM(E3:E12)</f>
        <v>43388</v>
      </c>
      <c r="F13" s="2"/>
      <c r="G13" s="2"/>
      <c r="H13" s="126" t="s">
        <v>24</v>
      </c>
      <c r="I13" s="126"/>
      <c r="J13" s="24">
        <f>SUM(J3:J12)</f>
        <v>4661470</v>
      </c>
      <c r="K13" s="24">
        <f>SUM(K3:K12)</f>
        <v>402281</v>
      </c>
      <c r="L13" s="24">
        <f>SUM(L3:L12)</f>
        <v>43388</v>
      </c>
      <c r="M13" s="5"/>
      <c r="N13" s="34">
        <v>1398</v>
      </c>
      <c r="O13" s="34">
        <v>2019</v>
      </c>
      <c r="P13" s="37">
        <v>473983</v>
      </c>
      <c r="Q13" s="46"/>
      <c r="V13" s="3">
        <v>38809</v>
      </c>
      <c r="W13" s="47"/>
      <c r="AB13" s="35">
        <v>5684</v>
      </c>
      <c r="AC13" s="47"/>
    </row>
    <row r="14" spans="1:33" x14ac:dyDescent="0.25">
      <c r="C14" s="128"/>
      <c r="J14" s="6"/>
    </row>
    <row r="15" spans="1:33" x14ac:dyDescent="0.25">
      <c r="C15" s="129"/>
      <c r="J15" s="14"/>
      <c r="K15" s="13"/>
      <c r="L15" s="13"/>
    </row>
    <row r="16" spans="1:33" ht="45" customHeight="1" x14ac:dyDescent="0.25">
      <c r="C16" s="129"/>
      <c r="J16" s="14"/>
      <c r="K16" s="13"/>
      <c r="L16" s="13"/>
      <c r="N16" s="127" t="s">
        <v>25</v>
      </c>
      <c r="O16" s="127"/>
      <c r="P16" s="7">
        <f>SUM(P4:P13)</f>
        <v>4661470</v>
      </c>
      <c r="Q16" s="7">
        <f>SUM(Q3:Q12)</f>
        <v>90305.931011799999</v>
      </c>
      <c r="R16" s="7" t="e">
        <f>SUM(#REF!)</f>
        <v>#REF!</v>
      </c>
      <c r="S16" s="7" t="e">
        <f>SUM(#REF!)</f>
        <v>#REF!</v>
      </c>
      <c r="T16" s="7" t="e">
        <f>P16/S16</f>
        <v>#REF!</v>
      </c>
      <c r="U16" s="7" t="e">
        <f>Q16/S16</f>
        <v>#REF!</v>
      </c>
      <c r="V16" s="16">
        <f>SUM(V3:V12)</f>
        <v>363472</v>
      </c>
      <c r="W16" s="16">
        <f>SUM(W3:W12)</f>
        <v>98121.854546999995</v>
      </c>
      <c r="X16" s="16">
        <f>SUM(X3:X12)</f>
        <v>265350.14545299998</v>
      </c>
      <c r="Y16" s="16">
        <f>SUM(Y3:Y12)</f>
        <v>461593.85454700002</v>
      </c>
      <c r="Z16" s="16">
        <f>V16/Y16</f>
        <v>0.78742816096783819</v>
      </c>
      <c r="AA16" s="16">
        <f>W16/Y16</f>
        <v>0.21257183903216179</v>
      </c>
      <c r="AB16" s="16">
        <f>SUM(AB3:AB12)</f>
        <v>37704</v>
      </c>
      <c r="AC16" s="16">
        <f>SUM(AC3:AC12)</f>
        <v>35573.876429999997</v>
      </c>
      <c r="AD16" s="16">
        <f>SUM(AD3:AD12)</f>
        <v>2130.1235699999997</v>
      </c>
      <c r="AE16" s="19">
        <f>SUM(AE3:AE12)</f>
        <v>73277.876430000004</v>
      </c>
      <c r="AF16" s="16">
        <f>AB16/AE16</f>
        <v>0.514534561273994</v>
      </c>
      <c r="AG16" s="16">
        <f>AC16/AE16</f>
        <v>0.48546543872600589</v>
      </c>
    </row>
    <row r="17" spans="3:23" ht="23.25" x14ac:dyDescent="0.35">
      <c r="C17" s="129"/>
      <c r="N17" s="13"/>
      <c r="O17" s="13"/>
      <c r="P17" s="40"/>
      <c r="Q17" s="41"/>
      <c r="R17" s="41"/>
      <c r="S17" s="42"/>
    </row>
    <row r="18" spans="3:23" ht="23.25" x14ac:dyDescent="0.35">
      <c r="C18" s="129"/>
      <c r="N18" s="13"/>
      <c r="O18" s="13"/>
      <c r="P18" s="40"/>
      <c r="Q18" s="41"/>
      <c r="R18" s="13"/>
      <c r="S18" s="13"/>
      <c r="T18" s="13"/>
      <c r="U18" s="13"/>
      <c r="V18" s="13"/>
      <c r="W18" s="13"/>
    </row>
    <row r="19" spans="3:23" ht="23.25" x14ac:dyDescent="0.35">
      <c r="C19" s="129"/>
      <c r="G19" s="13"/>
      <c r="H19" s="13"/>
      <c r="I19" s="13"/>
      <c r="J19" s="40"/>
      <c r="K19" s="40"/>
      <c r="L19" s="40"/>
      <c r="N19" s="13"/>
      <c r="O19" s="13"/>
      <c r="P19" s="40"/>
      <c r="Q19" s="41"/>
      <c r="R19" s="13"/>
      <c r="S19" s="13"/>
      <c r="T19" s="13"/>
      <c r="U19" s="13"/>
      <c r="V19" s="13"/>
      <c r="W19" s="13"/>
    </row>
    <row r="20" spans="3:23" ht="23.25" x14ac:dyDescent="0.35">
      <c r="G20" s="13"/>
      <c r="H20" s="13"/>
      <c r="I20" s="13"/>
      <c r="J20" s="40"/>
      <c r="K20" s="40"/>
      <c r="L20" s="40"/>
      <c r="N20" s="13"/>
      <c r="O20" s="13"/>
      <c r="P20" s="40"/>
      <c r="Q20" s="41"/>
      <c r="R20" s="13"/>
      <c r="S20" s="48"/>
      <c r="T20" s="13"/>
      <c r="U20" s="13"/>
      <c r="V20" s="13"/>
      <c r="W20" s="13"/>
    </row>
    <row r="21" spans="3:23" x14ac:dyDescent="0.25">
      <c r="P21" s="13"/>
      <c r="Q21" s="42"/>
      <c r="R21" s="13"/>
      <c r="S21" s="13"/>
      <c r="T21" s="13"/>
      <c r="U21" s="13"/>
      <c r="V21" s="13"/>
      <c r="W21" s="13"/>
    </row>
    <row r="22" spans="3:23" x14ac:dyDescent="0.25">
      <c r="P22" s="13"/>
      <c r="Q22" s="42"/>
      <c r="R22" s="13"/>
      <c r="S22" s="13"/>
      <c r="T22" s="13"/>
      <c r="U22" s="13"/>
      <c r="V22" s="13"/>
      <c r="W22" s="13"/>
    </row>
    <row r="23" spans="3:23" x14ac:dyDescent="0.25">
      <c r="R23"/>
      <c r="S23"/>
      <c r="T23"/>
      <c r="U23"/>
    </row>
    <row r="24" spans="3:23" x14ac:dyDescent="0.25">
      <c r="R24"/>
      <c r="S24"/>
      <c r="T24"/>
      <c r="U24"/>
    </row>
    <row r="25" spans="3:23" x14ac:dyDescent="0.25">
      <c r="R25"/>
      <c r="S25"/>
      <c r="T25"/>
      <c r="U25"/>
    </row>
    <row r="26" spans="3:23" x14ac:dyDescent="0.25">
      <c r="R26"/>
      <c r="S26"/>
      <c r="T26"/>
      <c r="U26"/>
    </row>
    <row r="27" spans="3:23" x14ac:dyDescent="0.25">
      <c r="R27"/>
      <c r="S27"/>
      <c r="T27"/>
      <c r="U27"/>
    </row>
  </sheetData>
  <mergeCells count="5">
    <mergeCell ref="A1:P1"/>
    <mergeCell ref="A13:B13"/>
    <mergeCell ref="H13:I13"/>
    <mergeCell ref="N16:O16"/>
    <mergeCell ref="C14:C1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4A4C-5E14-43F0-B354-D2F93C1E63FE}">
  <dimension ref="A1:DR31"/>
  <sheetViews>
    <sheetView tabSelected="1" topLeftCell="CD1" workbookViewId="0">
      <selection activeCell="CY8" sqref="CY8"/>
    </sheetView>
  </sheetViews>
  <sheetFormatPr defaultRowHeight="15" x14ac:dyDescent="0.25"/>
  <cols>
    <col min="2" max="2" width="7" bestFit="1" customWidth="1"/>
    <col min="3" max="3" width="13.7109375" customWidth="1"/>
    <col min="4" max="4" width="13.5703125" customWidth="1"/>
    <col min="5" max="5" width="18" customWidth="1"/>
    <col min="6" max="6" width="10.5703125" bestFit="1" customWidth="1"/>
    <col min="7" max="7" width="9.42578125" bestFit="1" customWidth="1"/>
    <col min="8" max="8" width="10.7109375" bestFit="1" customWidth="1"/>
    <col min="9" max="10" width="12.28515625" customWidth="1"/>
    <col min="11" max="11" width="13.5703125" customWidth="1"/>
    <col min="12" max="12" width="10.5703125" bestFit="1" customWidth="1"/>
    <col min="13" max="13" width="10.7109375" bestFit="1" customWidth="1"/>
    <col min="14" max="14" width="12" bestFit="1" customWidth="1"/>
    <col min="15" max="15" width="11.7109375" customWidth="1"/>
    <col min="17" max="17" width="10.7109375" customWidth="1"/>
    <col min="18" max="18" width="14.5703125" customWidth="1"/>
    <col min="19" max="19" width="15.140625" customWidth="1"/>
    <col min="20" max="20" width="15.28515625" customWidth="1"/>
    <col min="21" max="21" width="3.85546875" customWidth="1"/>
    <col min="22" max="22" width="7" bestFit="1" customWidth="1"/>
    <col min="23" max="23" width="21.5703125" style="13" customWidth="1"/>
    <col min="24" max="24" width="7.7109375" style="13" customWidth="1"/>
    <col min="25" max="25" width="10.140625" style="13" customWidth="1"/>
    <col min="26" max="26" width="12.28515625" style="13" customWidth="1"/>
    <col min="27" max="27" width="10" style="13" customWidth="1"/>
    <col min="28" max="28" width="6.5703125" style="13" customWidth="1"/>
    <col min="29" max="29" width="6.7109375" style="13" customWidth="1"/>
    <col min="30" max="31" width="3.85546875" style="13" customWidth="1"/>
    <col min="32" max="32" width="10.85546875" customWidth="1"/>
    <col min="33" max="33" width="13.85546875" customWidth="1"/>
    <col min="34" max="34" width="15.28515625" customWidth="1"/>
    <col min="35" max="35" width="13.5703125" bestFit="1" customWidth="1"/>
    <col min="36" max="36" width="12.140625" bestFit="1" customWidth="1"/>
    <col min="37" max="37" width="12.140625" customWidth="1"/>
    <col min="38" max="38" width="2.140625" customWidth="1"/>
    <col min="39" max="39" width="12.140625" customWidth="1"/>
    <col min="40" max="40" width="11" customWidth="1"/>
    <col min="41" max="41" width="8.28515625" customWidth="1"/>
    <col min="42" max="42" width="10.85546875" bestFit="1" customWidth="1"/>
    <col min="43" max="43" width="7.7109375" customWidth="1"/>
    <col min="44" max="44" width="10.85546875" customWidth="1"/>
    <col min="45" max="45" width="2.5703125" customWidth="1"/>
    <col min="46" max="46" width="8.28515625" customWidth="1"/>
    <col min="47" max="47" width="13.140625" customWidth="1"/>
    <col min="48" max="48" width="10.28515625" customWidth="1"/>
    <col min="49" max="50" width="11.140625" customWidth="1"/>
    <col min="51" max="51" width="2.28515625" customWidth="1"/>
    <col min="52" max="52" width="14" customWidth="1"/>
    <col min="53" max="54" width="9.5703125" customWidth="1"/>
    <col min="55" max="57" width="10" customWidth="1"/>
    <col min="58" max="58" width="2.7109375" customWidth="1"/>
    <col min="60" max="60" width="8.7109375" customWidth="1"/>
    <col min="61" max="61" width="11.140625" customWidth="1"/>
    <col min="62" max="62" width="9.42578125" bestFit="1" customWidth="1"/>
    <col min="63" max="63" width="10.140625" customWidth="1"/>
    <col min="65" max="65" width="3.28515625" customWidth="1"/>
    <col min="67" max="67" width="9.7109375" customWidth="1"/>
    <col min="68" max="68" width="10.140625" customWidth="1"/>
    <col min="69" max="69" width="9.7109375" customWidth="1"/>
    <col min="70" max="70" width="9.85546875" customWidth="1"/>
    <col min="71" max="71" width="3" customWidth="1"/>
    <col min="72" max="72" width="11" customWidth="1"/>
    <col min="73" max="73" width="9.7109375" customWidth="1"/>
    <col min="75" max="75" width="4" customWidth="1"/>
    <col min="77" max="77" width="10.140625" customWidth="1"/>
    <col min="79" max="79" width="2.85546875" customWidth="1"/>
    <col min="80" max="80" width="9.85546875" customWidth="1"/>
    <col min="81" max="81" width="10.7109375" customWidth="1"/>
    <col min="82" max="82" width="10.5703125" customWidth="1"/>
    <col min="83" max="83" width="3.28515625" customWidth="1"/>
    <col min="84" max="84" width="10.7109375" customWidth="1"/>
    <col min="85" max="85" width="10.140625" customWidth="1"/>
    <col min="86" max="86" width="10" customWidth="1"/>
    <col min="87" max="87" width="3.5703125" customWidth="1"/>
    <col min="88" max="88" width="7.85546875" style="13" customWidth="1"/>
    <col min="89" max="89" width="9.140625" style="13" customWidth="1"/>
    <col min="90" max="90" width="9.42578125" style="13" customWidth="1"/>
    <col min="91" max="91" width="3.5703125" customWidth="1"/>
    <col min="92" max="92" width="8.28515625" customWidth="1"/>
    <col min="93" max="93" width="11.5703125" customWidth="1"/>
    <col min="94" max="94" width="10.7109375" customWidth="1"/>
    <col min="95" max="95" width="9.7109375" bestFit="1" customWidth="1"/>
    <col min="96" max="96" width="1.7109375" customWidth="1"/>
    <col min="100" max="100" width="9.7109375" bestFit="1" customWidth="1"/>
    <col min="101" max="101" width="1.85546875" customWidth="1"/>
    <col min="102" max="102" width="9.42578125" customWidth="1"/>
    <col min="103" max="103" width="9" customWidth="1"/>
    <col min="104" max="105" width="8.7109375" customWidth="1"/>
    <col min="106" max="106" width="1.85546875" customWidth="1"/>
    <col min="111" max="111" width="2.5703125" customWidth="1"/>
    <col min="116" max="116" width="2.42578125" customWidth="1"/>
    <col min="121" max="121" width="2.42578125" customWidth="1"/>
  </cols>
  <sheetData>
    <row r="1" spans="1:122" ht="23.25" x14ac:dyDescent="0.35">
      <c r="A1" s="49" t="s">
        <v>100</v>
      </c>
      <c r="B1" s="49"/>
      <c r="C1" s="2"/>
      <c r="D1" s="2"/>
      <c r="E1" s="2"/>
      <c r="F1" s="104"/>
      <c r="G1" s="104"/>
      <c r="H1" s="104"/>
      <c r="I1" s="2" t="s">
        <v>89</v>
      </c>
      <c r="J1" s="2"/>
      <c r="K1" s="2"/>
      <c r="L1" s="2"/>
      <c r="M1" s="2"/>
      <c r="N1" s="39" t="s">
        <v>99</v>
      </c>
      <c r="O1" s="2"/>
      <c r="P1" s="2"/>
      <c r="Q1" s="2"/>
      <c r="R1" s="104"/>
      <c r="S1" s="104"/>
      <c r="T1" s="104"/>
      <c r="U1" s="45"/>
      <c r="V1" s="109"/>
      <c r="AE1" s="45"/>
      <c r="AG1" s="60" t="s">
        <v>109</v>
      </c>
      <c r="AL1" s="13"/>
      <c r="AS1" s="45"/>
      <c r="AT1" s="60" t="s">
        <v>110</v>
      </c>
      <c r="AY1" s="13"/>
      <c r="BF1" s="84"/>
      <c r="BG1" s="82"/>
      <c r="BH1" s="82"/>
      <c r="BI1" s="85" t="s">
        <v>60</v>
      </c>
      <c r="BJ1" s="82"/>
      <c r="BK1" s="82" t="s">
        <v>111</v>
      </c>
      <c r="BL1" s="82"/>
      <c r="BM1" s="82"/>
      <c r="BN1" s="82"/>
      <c r="BO1" s="85" t="s">
        <v>60</v>
      </c>
      <c r="BP1" s="82"/>
      <c r="BQ1" s="82" t="s">
        <v>111</v>
      </c>
      <c r="BR1" s="82"/>
      <c r="BS1" s="82"/>
      <c r="BT1" s="82" t="s">
        <v>112</v>
      </c>
      <c r="BU1" s="82"/>
      <c r="BV1" s="2"/>
      <c r="BW1" s="2"/>
      <c r="BX1" s="82" t="s">
        <v>112</v>
      </c>
      <c r="BY1" s="2"/>
      <c r="BZ1" s="2"/>
      <c r="CA1" s="2"/>
      <c r="CB1" s="82" t="s">
        <v>112</v>
      </c>
      <c r="CC1" s="2"/>
      <c r="CD1" s="2"/>
      <c r="CE1" s="2"/>
      <c r="CF1" s="82" t="s">
        <v>112</v>
      </c>
      <c r="CG1" s="2"/>
      <c r="CH1" s="2"/>
      <c r="CI1" s="2"/>
      <c r="CJ1" s="135"/>
      <c r="CK1" s="135"/>
      <c r="CL1" s="135"/>
      <c r="CM1" s="2"/>
      <c r="CN1" s="131"/>
      <c r="CO1" s="2"/>
      <c r="CP1" s="2"/>
      <c r="CQ1" s="2"/>
      <c r="CR1" s="131"/>
      <c r="CS1" s="137"/>
      <c r="CT1" s="2"/>
      <c r="CU1" s="2"/>
      <c r="CV1" s="2"/>
      <c r="CW1" s="131"/>
      <c r="CX1" s="138"/>
      <c r="CY1" s="2"/>
      <c r="CZ1" s="2"/>
      <c r="DA1" s="2"/>
      <c r="DB1" s="133"/>
      <c r="DC1" s="131"/>
      <c r="DD1" s="2"/>
      <c r="DE1" s="2"/>
      <c r="DF1" s="2"/>
      <c r="DG1" s="2"/>
      <c r="DH1" s="137"/>
      <c r="DI1" s="2"/>
      <c r="DJ1" s="2"/>
      <c r="DK1" s="2"/>
      <c r="DM1" s="138"/>
    </row>
    <row r="2" spans="1:122" ht="206.25" x14ac:dyDescent="0.3">
      <c r="A2" s="32" t="s">
        <v>0</v>
      </c>
      <c r="B2" s="32" t="s">
        <v>1</v>
      </c>
      <c r="C2" s="93" t="s">
        <v>94</v>
      </c>
      <c r="D2" s="93" t="s">
        <v>95</v>
      </c>
      <c r="E2" s="93" t="s">
        <v>96</v>
      </c>
      <c r="F2" s="93" t="s">
        <v>97</v>
      </c>
      <c r="G2" s="93" t="s">
        <v>98</v>
      </c>
      <c r="H2" s="93" t="s">
        <v>20</v>
      </c>
      <c r="I2" s="29" t="s">
        <v>89</v>
      </c>
      <c r="J2" s="29" t="s">
        <v>92</v>
      </c>
      <c r="K2" s="29" t="s">
        <v>90</v>
      </c>
      <c r="L2" s="29" t="s">
        <v>91</v>
      </c>
      <c r="M2" s="29" t="s">
        <v>93</v>
      </c>
      <c r="N2" s="29" t="s">
        <v>14</v>
      </c>
      <c r="O2" s="92" t="s">
        <v>85</v>
      </c>
      <c r="P2" s="92" t="s">
        <v>86</v>
      </c>
      <c r="Q2" s="92" t="s">
        <v>87</v>
      </c>
      <c r="R2" s="27" t="s">
        <v>88</v>
      </c>
      <c r="S2" s="27" t="s">
        <v>22</v>
      </c>
      <c r="T2" s="27" t="s">
        <v>23</v>
      </c>
      <c r="U2" s="45"/>
      <c r="V2" s="32" t="s">
        <v>1</v>
      </c>
      <c r="W2" s="139" t="s">
        <v>147</v>
      </c>
      <c r="X2" s="139" t="s">
        <v>141</v>
      </c>
      <c r="Y2" s="139" t="s">
        <v>145</v>
      </c>
      <c r="Z2" s="142" t="s">
        <v>146</v>
      </c>
      <c r="AA2" s="139" t="s">
        <v>142</v>
      </c>
      <c r="AB2" s="139" t="s">
        <v>143</v>
      </c>
      <c r="AC2" s="139" t="s">
        <v>144</v>
      </c>
      <c r="AE2" s="45"/>
      <c r="AF2" s="57" t="s">
        <v>0</v>
      </c>
      <c r="AG2" s="55" t="s">
        <v>1</v>
      </c>
      <c r="AH2" s="57" t="s">
        <v>34</v>
      </c>
      <c r="AI2" s="55" t="s">
        <v>31</v>
      </c>
      <c r="AJ2" s="55" t="s">
        <v>32</v>
      </c>
      <c r="AK2" s="55" t="s">
        <v>59</v>
      </c>
      <c r="AL2" s="45"/>
      <c r="AM2" s="57" t="s">
        <v>72</v>
      </c>
      <c r="AN2" s="55" t="s">
        <v>31</v>
      </c>
      <c r="AO2" s="57" t="s">
        <v>114</v>
      </c>
      <c r="AP2" s="55" t="s">
        <v>32</v>
      </c>
      <c r="AQ2" s="57" t="s">
        <v>115</v>
      </c>
      <c r="AR2" s="55" t="s">
        <v>59</v>
      </c>
      <c r="AS2" s="45"/>
      <c r="AT2" s="55" t="s">
        <v>1</v>
      </c>
      <c r="AU2" s="57" t="s">
        <v>35</v>
      </c>
      <c r="AV2" s="55" t="s">
        <v>31</v>
      </c>
      <c r="AW2" s="55" t="s">
        <v>32</v>
      </c>
      <c r="AX2" s="55" t="s">
        <v>58</v>
      </c>
      <c r="AY2" s="45"/>
      <c r="AZ2" s="57" t="s">
        <v>71</v>
      </c>
      <c r="BA2" s="55" t="s">
        <v>31</v>
      </c>
      <c r="BB2" s="57" t="s">
        <v>117</v>
      </c>
      <c r="BC2" s="55" t="s">
        <v>32</v>
      </c>
      <c r="BD2" s="57" t="s">
        <v>116</v>
      </c>
      <c r="BE2" s="55" t="s">
        <v>59</v>
      </c>
      <c r="BF2" s="84"/>
      <c r="BG2" s="82" t="s">
        <v>1</v>
      </c>
      <c r="BH2" s="83" t="s">
        <v>61</v>
      </c>
      <c r="BI2" s="83" t="s">
        <v>62</v>
      </c>
      <c r="BJ2" s="83" t="s">
        <v>63</v>
      </c>
      <c r="BK2" s="83" t="s">
        <v>64</v>
      </c>
      <c r="BL2" s="83" t="s">
        <v>65</v>
      </c>
      <c r="BM2" s="82"/>
      <c r="BN2" s="83" t="s">
        <v>66</v>
      </c>
      <c r="BO2" s="83" t="s">
        <v>67</v>
      </c>
      <c r="BP2" s="83" t="s">
        <v>68</v>
      </c>
      <c r="BQ2" s="83" t="s">
        <v>69</v>
      </c>
      <c r="BR2" s="83" t="s">
        <v>70</v>
      </c>
      <c r="BS2" s="82"/>
      <c r="BT2" s="83" t="s">
        <v>73</v>
      </c>
      <c r="BU2" s="83" t="s">
        <v>74</v>
      </c>
      <c r="BV2" s="83" t="s">
        <v>75</v>
      </c>
      <c r="BW2" s="83"/>
      <c r="BX2" s="83" t="s">
        <v>79</v>
      </c>
      <c r="BY2" s="83" t="s">
        <v>80</v>
      </c>
      <c r="BZ2" s="83" t="s">
        <v>81</v>
      </c>
      <c r="CB2" s="83" t="s">
        <v>76</v>
      </c>
      <c r="CC2" s="83" t="s">
        <v>77</v>
      </c>
      <c r="CD2" s="83" t="s">
        <v>78</v>
      </c>
      <c r="CF2" s="83" t="s">
        <v>82</v>
      </c>
      <c r="CG2" s="83" t="s">
        <v>83</v>
      </c>
      <c r="CH2" s="83" t="s">
        <v>84</v>
      </c>
      <c r="CI2" s="107"/>
      <c r="CL2" s="55" t="s">
        <v>1</v>
      </c>
      <c r="CM2" s="107"/>
      <c r="CN2" s="83" t="s">
        <v>113</v>
      </c>
      <c r="CO2" s="83" t="s">
        <v>118</v>
      </c>
      <c r="CP2" s="83" t="s">
        <v>119</v>
      </c>
      <c r="CQ2" s="83" t="s">
        <v>120</v>
      </c>
      <c r="CR2" s="132"/>
      <c r="CS2" s="83" t="s">
        <v>121</v>
      </c>
      <c r="CT2" s="83" t="s">
        <v>122</v>
      </c>
      <c r="CU2" s="83" t="s">
        <v>123</v>
      </c>
      <c r="CV2" s="83" t="s">
        <v>124</v>
      </c>
      <c r="CW2" s="132"/>
      <c r="CX2" s="83" t="s">
        <v>125</v>
      </c>
      <c r="CY2" s="83" t="s">
        <v>126</v>
      </c>
      <c r="CZ2" s="83" t="s">
        <v>127</v>
      </c>
      <c r="DA2" s="83" t="s">
        <v>128</v>
      </c>
      <c r="DB2" s="134"/>
      <c r="DC2" s="83" t="s">
        <v>129</v>
      </c>
      <c r="DD2" s="83" t="s">
        <v>130</v>
      </c>
      <c r="DE2" s="83" t="s">
        <v>131</v>
      </c>
      <c r="DF2" s="83" t="s">
        <v>132</v>
      </c>
      <c r="DG2" s="132"/>
      <c r="DH2" s="83" t="s">
        <v>133</v>
      </c>
      <c r="DI2" s="83" t="s">
        <v>134</v>
      </c>
      <c r="DJ2" s="83" t="s">
        <v>135</v>
      </c>
      <c r="DK2" s="83" t="s">
        <v>136</v>
      </c>
      <c r="DL2" s="132"/>
      <c r="DM2" s="83" t="s">
        <v>137</v>
      </c>
      <c r="DN2" s="83" t="s">
        <v>138</v>
      </c>
      <c r="DO2" s="83" t="s">
        <v>139</v>
      </c>
      <c r="DP2" s="83" t="s">
        <v>140</v>
      </c>
      <c r="DQ2" s="132"/>
      <c r="DR2" s="83"/>
    </row>
    <row r="3" spans="1:122" ht="18.75" x14ac:dyDescent="0.3">
      <c r="A3" s="20">
        <v>1388</v>
      </c>
      <c r="B3" s="20">
        <v>2009</v>
      </c>
      <c r="C3" s="43"/>
      <c r="D3" s="17">
        <f>3690423.59/1000</f>
        <v>3690.4235899999999</v>
      </c>
      <c r="E3" s="4">
        <f>C3-D3</f>
        <v>-3690.4235899999999</v>
      </c>
      <c r="F3" s="4">
        <f t="shared" ref="F3:F12" si="0">C3+D3</f>
        <v>3690.4235899999999</v>
      </c>
      <c r="G3" s="105">
        <f t="shared" ref="G3:G12" si="1">C3/F3</f>
        <v>0</v>
      </c>
      <c r="H3" s="105">
        <f t="shared" ref="H3:H12" si="2">D3/F3</f>
        <v>1</v>
      </c>
      <c r="I3" s="44">
        <v>0</v>
      </c>
      <c r="J3" s="25">
        <f>6309486.63/1000</f>
        <v>6309.4866300000003</v>
      </c>
      <c r="K3" s="3">
        <f>I3-J3</f>
        <v>-6309.4866300000003</v>
      </c>
      <c r="L3" s="9">
        <f>I3+J3</f>
        <v>6309.4866300000003</v>
      </c>
      <c r="M3" s="106">
        <f>I3/L3</f>
        <v>0</v>
      </c>
      <c r="N3" s="106">
        <f>J3/L3</f>
        <v>1</v>
      </c>
      <c r="O3" s="45"/>
      <c r="P3" s="22">
        <f>7022984.01/1000</f>
        <v>7022.9840100000001</v>
      </c>
      <c r="Q3" s="111">
        <f>O3-P3</f>
        <v>-7022.9840100000001</v>
      </c>
      <c r="R3" s="111">
        <f>O3+P3</f>
        <v>7022.9840100000001</v>
      </c>
      <c r="S3" s="112">
        <f>O3/R3</f>
        <v>0</v>
      </c>
      <c r="T3" s="113">
        <f>P3/R3</f>
        <v>1</v>
      </c>
      <c r="U3" s="45"/>
      <c r="V3" s="20">
        <v>2009</v>
      </c>
      <c r="W3" s="150">
        <v>91378822732</v>
      </c>
      <c r="X3" s="146">
        <v>0.10100000000000001</v>
      </c>
      <c r="Y3" s="140">
        <v>72924837</v>
      </c>
      <c r="Z3" s="143">
        <v>47384000.191426799</v>
      </c>
      <c r="AA3" s="148">
        <v>20836.828792106218</v>
      </c>
      <c r="AB3" s="13">
        <v>14974.209727855467</v>
      </c>
      <c r="AC3" s="13">
        <v>31843.150803252363</v>
      </c>
      <c r="AE3" s="45"/>
      <c r="AF3" s="56">
        <v>1388</v>
      </c>
      <c r="AG3" s="20">
        <v>2009</v>
      </c>
      <c r="AL3" s="45"/>
      <c r="AM3" s="91" t="s">
        <v>33</v>
      </c>
      <c r="AN3" s="91">
        <v>7243</v>
      </c>
      <c r="AO3" s="136">
        <f>AN3/AR3</f>
        <v>0.93241503604531406</v>
      </c>
      <c r="AP3" s="91">
        <v>525</v>
      </c>
      <c r="AQ3" s="136">
        <f>AP3/AR3</f>
        <v>6.7584963954685898E-2</v>
      </c>
      <c r="AR3" s="91">
        <f>AN3+AP3</f>
        <v>7768</v>
      </c>
      <c r="AS3" s="45"/>
      <c r="AT3" s="20">
        <v>2009</v>
      </c>
      <c r="AY3" s="45"/>
      <c r="BF3" s="84"/>
      <c r="BG3" s="20">
        <v>2009</v>
      </c>
      <c r="BJ3" s="87">
        <f>AN3/AR3</f>
        <v>0.93241503604531406</v>
      </c>
      <c r="BK3" s="87">
        <f>AP3/AR3</f>
        <v>6.7584963954685898E-2</v>
      </c>
      <c r="BM3" s="86"/>
      <c r="BS3" s="86"/>
      <c r="BT3" s="90"/>
      <c r="BW3" s="86"/>
      <c r="CA3" s="86"/>
      <c r="CE3" s="86"/>
      <c r="CI3" s="107"/>
      <c r="CL3" s="20">
        <v>2009</v>
      </c>
      <c r="CM3" s="107"/>
      <c r="CQ3" s="153">
        <f>D3/AR3</f>
        <v>0.47508027677651904</v>
      </c>
      <c r="CR3" s="154"/>
      <c r="CS3" s="153"/>
      <c r="CT3" s="153"/>
      <c r="CU3" s="153"/>
      <c r="CV3" s="153">
        <f>J3/AR3</f>
        <v>0.81224081230690015</v>
      </c>
      <c r="CW3" s="154"/>
      <c r="CX3" s="153"/>
      <c r="CY3" s="153"/>
      <c r="CZ3" s="153"/>
      <c r="DA3" s="153">
        <f>P3/AR3</f>
        <v>0.90409165937178171</v>
      </c>
      <c r="DB3" s="134"/>
    </row>
    <row r="4" spans="1:122" ht="18.75" x14ac:dyDescent="0.3">
      <c r="A4" s="20">
        <v>1389</v>
      </c>
      <c r="B4" s="20">
        <v>2010</v>
      </c>
      <c r="C4" s="35">
        <v>18</v>
      </c>
      <c r="D4" s="17">
        <f>2963728.65/1000</f>
        <v>2963.72865</v>
      </c>
      <c r="E4" s="4">
        <f t="shared" ref="E4:E12" si="3">C4-D4</f>
        <v>-2945.72865</v>
      </c>
      <c r="F4" s="4">
        <f t="shared" si="0"/>
        <v>2981.72865</v>
      </c>
      <c r="G4" s="105">
        <f t="shared" si="1"/>
        <v>6.036766625293016E-3</v>
      </c>
      <c r="H4" s="105">
        <f t="shared" si="2"/>
        <v>0.99396323337470693</v>
      </c>
      <c r="I4" s="38">
        <v>0</v>
      </c>
      <c r="J4" s="25">
        <f>8752230.05/1000</f>
        <v>8752.2300500000001</v>
      </c>
      <c r="K4" s="3">
        <f t="shared" ref="K4:K12" si="4">I4-J4</f>
        <v>-8752.2300500000001</v>
      </c>
      <c r="L4" s="9">
        <f>I4+J4</f>
        <v>8752.2300500000001</v>
      </c>
      <c r="M4" s="106">
        <f>I4/L4</f>
        <v>0</v>
      </c>
      <c r="N4" s="106">
        <f t="shared" ref="N4:N12" si="5">J4/L4</f>
        <v>1</v>
      </c>
      <c r="O4" s="37">
        <v>2270</v>
      </c>
      <c r="P4" s="22">
        <f>6412082.71/1000</f>
        <v>6412.0827099999997</v>
      </c>
      <c r="Q4" s="111">
        <f t="shared" ref="Q4:Q12" si="6">O4-P4</f>
        <v>-4142.0827099999997</v>
      </c>
      <c r="R4" s="111">
        <f t="shared" ref="R4:R12" si="7">O4+P4</f>
        <v>8682.0827099999988</v>
      </c>
      <c r="S4" s="112">
        <f t="shared" ref="S4:S12" si="8">O4/R4</f>
        <v>0.26145800216639498</v>
      </c>
      <c r="T4" s="113">
        <f>P4/R4</f>
        <v>0.73854199783360508</v>
      </c>
      <c r="U4" s="45"/>
      <c r="V4" s="20">
        <v>2010</v>
      </c>
      <c r="W4" s="151">
        <v>118652876282</v>
      </c>
      <c r="X4" s="147">
        <v>0.26300000000000001</v>
      </c>
      <c r="Y4" s="141">
        <v>73762519</v>
      </c>
      <c r="Z4" s="144">
        <f>58348.4578955804*1000</f>
        <v>58348457.895580404</v>
      </c>
      <c r="AA4" s="149">
        <v>28174.855348370038</v>
      </c>
      <c r="AB4" s="13">
        <v>13718.521313361731</v>
      </c>
      <c r="AC4" s="13">
        <v>27441.645621640771</v>
      </c>
      <c r="AE4" s="45"/>
      <c r="AF4" s="56">
        <v>1389</v>
      </c>
      <c r="AG4" s="20">
        <v>2010</v>
      </c>
      <c r="AH4" s="56" t="s">
        <v>30</v>
      </c>
      <c r="AI4" s="58">
        <v>26969</v>
      </c>
      <c r="AJ4" s="58">
        <v>2063</v>
      </c>
      <c r="AK4" s="58">
        <f>AI4+AJ4</f>
        <v>29032</v>
      </c>
      <c r="AL4" s="45"/>
      <c r="AM4" s="56" t="s">
        <v>33</v>
      </c>
      <c r="AN4" s="59">
        <v>12485</v>
      </c>
      <c r="AO4" s="136">
        <f t="shared" ref="AO4:AO14" si="9">AN4/AR4</f>
        <v>0.92481481481481487</v>
      </c>
      <c r="AP4" s="59">
        <v>1015</v>
      </c>
      <c r="AQ4" s="136">
        <f t="shared" ref="AQ4:AQ14" si="10">AP4/AR4</f>
        <v>7.5185185185185188E-2</v>
      </c>
      <c r="AR4" s="59">
        <f>AN4+AP4</f>
        <v>13500</v>
      </c>
      <c r="AS4" s="45"/>
      <c r="AT4" s="20">
        <v>2010</v>
      </c>
      <c r="AU4" s="56" t="s">
        <v>30</v>
      </c>
      <c r="AV4" s="61">
        <v>2886</v>
      </c>
      <c r="AW4" s="61">
        <v>284</v>
      </c>
      <c r="AX4" s="61">
        <f>AV4+AW4</f>
        <v>3170</v>
      </c>
      <c r="AY4" s="62"/>
      <c r="AZ4" s="59" t="s">
        <v>33</v>
      </c>
      <c r="BA4" s="59">
        <v>2791</v>
      </c>
      <c r="BB4" s="136">
        <f>BA4/BE4</f>
        <v>0.91119817172706496</v>
      </c>
      <c r="BC4" s="59">
        <v>272</v>
      </c>
      <c r="BD4" s="136">
        <f>BC4/BE4</f>
        <v>8.8801828272935035E-2</v>
      </c>
      <c r="BE4" s="59">
        <f>BA4+BC4</f>
        <v>3063</v>
      </c>
      <c r="BF4" s="84"/>
      <c r="BG4" s="20">
        <v>2010</v>
      </c>
      <c r="BH4" s="87">
        <f>AI4/AK4</f>
        <v>0.92894047947092862</v>
      </c>
      <c r="BI4" s="87">
        <f>AJ4/AK4</f>
        <v>7.1059520529071371E-2</v>
      </c>
      <c r="BJ4" s="87">
        <f>AN4/AR4</f>
        <v>0.92481481481481487</v>
      </c>
      <c r="BK4" s="87">
        <f>AP4/AR4</f>
        <v>7.5185185185185188E-2</v>
      </c>
      <c r="BL4" s="87"/>
      <c r="BM4" s="88"/>
      <c r="BN4" s="87">
        <f>AV4/AX4</f>
        <v>0.910410094637224</v>
      </c>
      <c r="BO4" s="87">
        <f>AW4/AX4</f>
        <v>8.9589905362776029E-2</v>
      </c>
      <c r="BP4" s="87">
        <f>BA4/BE4</f>
        <v>0.91119817172706496</v>
      </c>
      <c r="BQ4" s="87">
        <f>BC4/BE4</f>
        <v>8.8801828272935035E-2</v>
      </c>
      <c r="BR4" s="2"/>
      <c r="BS4" s="89"/>
      <c r="BU4" s="2"/>
      <c r="BV4" s="2"/>
      <c r="BW4" s="89"/>
      <c r="BX4" s="2"/>
      <c r="BY4" s="2"/>
      <c r="BZ4" s="2"/>
      <c r="CA4" s="89"/>
      <c r="CB4" s="2"/>
      <c r="CC4" s="2"/>
      <c r="CD4" s="2"/>
      <c r="CE4" s="89"/>
      <c r="CF4" s="2"/>
      <c r="CG4" s="2"/>
      <c r="CH4" s="2"/>
      <c r="CI4" s="108"/>
      <c r="CJ4" s="135"/>
      <c r="CK4" s="135"/>
      <c r="CL4" s="20">
        <v>2010</v>
      </c>
      <c r="CM4" s="108"/>
      <c r="CN4" s="2"/>
      <c r="CO4" s="2"/>
      <c r="CP4" s="2"/>
      <c r="CQ4" s="153">
        <f t="shared" ref="CQ4:CQ14" si="11">D4/AR4</f>
        <v>0.21953545555555556</v>
      </c>
      <c r="CR4" s="154"/>
      <c r="CS4" s="153"/>
      <c r="CT4" s="153"/>
      <c r="CU4" s="153"/>
      <c r="CV4" s="153">
        <f t="shared" ref="CV4:CV14" si="12">J4/AR4</f>
        <v>0.64831333703703709</v>
      </c>
      <c r="CW4" s="154"/>
      <c r="CX4" s="153"/>
      <c r="CY4" s="153"/>
      <c r="CZ4" s="153"/>
      <c r="DA4" s="153">
        <f t="shared" ref="DA4:DA14" si="13">P4/AR4</f>
        <v>0.47496908962962958</v>
      </c>
      <c r="DB4" s="134"/>
      <c r="DF4" s="153">
        <f>D4/BE4</f>
        <v>0.96759015670910875</v>
      </c>
      <c r="DG4" s="153"/>
      <c r="DH4" s="153"/>
      <c r="DI4" s="153"/>
      <c r="DJ4" s="153"/>
      <c r="DK4" s="153">
        <f>J4/BE4</f>
        <v>2.8574045217107411</v>
      </c>
      <c r="DL4" s="153"/>
      <c r="DM4" s="153"/>
      <c r="DN4" s="153"/>
      <c r="DO4" s="153"/>
      <c r="DP4" s="153">
        <f>P4/BE4</f>
        <v>2.0933995135488082</v>
      </c>
    </row>
    <row r="5" spans="1:122" ht="18.75" x14ac:dyDescent="0.3">
      <c r="A5" s="20">
        <v>1390</v>
      </c>
      <c r="B5" s="20">
        <v>2011</v>
      </c>
      <c r="C5" s="35">
        <v>569</v>
      </c>
      <c r="D5" s="17">
        <f>3559981.97/1000</f>
        <v>3559.9819700000003</v>
      </c>
      <c r="E5" s="4">
        <f t="shared" si="3"/>
        <v>-2990.9819700000003</v>
      </c>
      <c r="F5" s="4">
        <f t="shared" si="0"/>
        <v>4128.9819700000007</v>
      </c>
      <c r="G5" s="105">
        <f t="shared" si="1"/>
        <v>0.13780636586310885</v>
      </c>
      <c r="H5" s="105">
        <f t="shared" si="2"/>
        <v>0.8621936341368911</v>
      </c>
      <c r="I5" s="3">
        <v>7860</v>
      </c>
      <c r="J5" s="25">
        <f>7879954.4/1000</f>
        <v>7879.9544000000005</v>
      </c>
      <c r="K5" s="3">
        <f t="shared" si="4"/>
        <v>-19.954400000000533</v>
      </c>
      <c r="L5" s="9">
        <f t="shared" ref="L5:L12" si="14">I5+J5</f>
        <v>15739.954400000001</v>
      </c>
      <c r="M5" s="106">
        <f t="shared" ref="M5:M12" si="15">I5/L5</f>
        <v>0.49936612268711528</v>
      </c>
      <c r="N5" s="106">
        <f t="shared" si="5"/>
        <v>0.50063387731288478</v>
      </c>
      <c r="O5" s="37">
        <v>7881</v>
      </c>
      <c r="P5" s="22">
        <f>7804411.37/1000</f>
        <v>7804.4113699999998</v>
      </c>
      <c r="Q5" s="111">
        <f t="shared" si="6"/>
        <v>76.588630000000194</v>
      </c>
      <c r="R5" s="111">
        <f t="shared" si="7"/>
        <v>15685.41137</v>
      </c>
      <c r="S5" s="112">
        <f t="shared" si="8"/>
        <v>0.50244139691951228</v>
      </c>
      <c r="T5" s="113">
        <f>P5/R5</f>
        <v>0.49755860308048777</v>
      </c>
      <c r="U5" s="45"/>
      <c r="V5" s="20">
        <v>2011</v>
      </c>
      <c r="W5" s="151">
        <v>88254166983</v>
      </c>
      <c r="X5" s="147">
        <v>0.27300000000000002</v>
      </c>
      <c r="Y5" s="141">
        <v>74634956</v>
      </c>
      <c r="Z5" s="144">
        <f>73744.0332844899*1000</f>
        <v>73744033.2844899</v>
      </c>
      <c r="AA5" s="149">
        <v>40185.711336695334</v>
      </c>
      <c r="AB5" s="13">
        <v>18014.728393948575</v>
      </c>
      <c r="AC5" s="13">
        <v>28817.291652517029</v>
      </c>
      <c r="AE5" s="45"/>
      <c r="AF5" s="56">
        <v>1390</v>
      </c>
      <c r="AG5" s="20">
        <v>2011</v>
      </c>
      <c r="AH5" s="56" t="s">
        <v>30</v>
      </c>
      <c r="AI5" s="58">
        <v>30383</v>
      </c>
      <c r="AJ5" s="58">
        <v>2799</v>
      </c>
      <c r="AK5" s="58">
        <f t="shared" ref="AK5:AK13" si="16">AI5+AJ5</f>
        <v>33182</v>
      </c>
      <c r="AL5" s="45"/>
      <c r="AM5" s="56" t="s">
        <v>33</v>
      </c>
      <c r="AN5" s="59">
        <v>16695</v>
      </c>
      <c r="AO5" s="136">
        <f t="shared" si="9"/>
        <v>0.90541786430934434</v>
      </c>
      <c r="AP5" s="59">
        <v>1744</v>
      </c>
      <c r="AQ5" s="136">
        <f t="shared" si="10"/>
        <v>9.4582135690655669E-2</v>
      </c>
      <c r="AR5" s="59">
        <f t="shared" ref="AR5:AR14" si="17">AN5+AP5</f>
        <v>18439</v>
      </c>
      <c r="AS5" s="45"/>
      <c r="AT5" s="20">
        <v>2011</v>
      </c>
      <c r="AU5" s="56" t="s">
        <v>30</v>
      </c>
      <c r="AV5" s="61">
        <v>2638</v>
      </c>
      <c r="AW5" s="61">
        <v>488</v>
      </c>
      <c r="AX5" s="61">
        <f>AV5+AW5</f>
        <v>3126</v>
      </c>
      <c r="AY5" s="62"/>
      <c r="AZ5" s="59" t="s">
        <v>33</v>
      </c>
      <c r="BA5" s="59">
        <v>2523</v>
      </c>
      <c r="BB5" s="136">
        <f t="shared" ref="BB5:BB14" si="18">BA5/BE5</f>
        <v>0.84437751004016059</v>
      </c>
      <c r="BC5" s="59">
        <v>465</v>
      </c>
      <c r="BD5" s="136">
        <f t="shared" ref="BD5:BD14" si="19">BC5/BE5</f>
        <v>0.15562248995983935</v>
      </c>
      <c r="BE5" s="59">
        <f t="shared" ref="BE5:BE14" si="20">BA5+BC5</f>
        <v>2988</v>
      </c>
      <c r="BF5" s="84"/>
      <c r="BG5" s="20">
        <v>2011</v>
      </c>
      <c r="BH5" s="87">
        <f>AI5/AK5</f>
        <v>0.91564703755047916</v>
      </c>
      <c r="BI5" s="87">
        <f>AJ5/AK5</f>
        <v>8.4352962449520827E-2</v>
      </c>
      <c r="BJ5" s="87">
        <f>AN5/AR5</f>
        <v>0.90541786430934434</v>
      </c>
      <c r="BK5" s="87">
        <f>AP5/AR5</f>
        <v>9.4582135690655669E-2</v>
      </c>
      <c r="BL5" s="87"/>
      <c r="BM5" s="88"/>
      <c r="BN5" s="87">
        <f>AV5/AX5</f>
        <v>0.84388995521433141</v>
      </c>
      <c r="BO5" s="87">
        <f>AW5/AX5</f>
        <v>0.15611004478566859</v>
      </c>
      <c r="BP5" s="87">
        <f t="shared" ref="BP5:BP14" si="21">BA5/BE5</f>
        <v>0.84437751004016059</v>
      </c>
      <c r="BQ5" s="87">
        <f t="shared" ref="BQ5:BQ14" si="22">BC5/BE5</f>
        <v>0.15562248995983935</v>
      </c>
      <c r="BR5" s="2"/>
      <c r="BS5" s="89"/>
      <c r="BT5" s="87">
        <f>(AI5-AI4)/AI4</f>
        <v>0.12658978827542736</v>
      </c>
      <c r="BU5" s="87">
        <f>(AJ5-AJ4)/AJ4</f>
        <v>0.35676199709161416</v>
      </c>
      <c r="BV5" s="87">
        <f>(AK5-AK4)/AK4</f>
        <v>0.14294571507302287</v>
      </c>
      <c r="BW5" s="88"/>
      <c r="BX5" s="87">
        <f>(AN5-AN4)/AN4</f>
        <v>0.33720464557468965</v>
      </c>
      <c r="BY5" s="87">
        <f>(AP5-AP4)/AP4</f>
        <v>0.71822660098522173</v>
      </c>
      <c r="BZ5" s="87">
        <f>(AR5-AR4)/AR4</f>
        <v>0.36585185185185187</v>
      </c>
      <c r="CA5" s="88"/>
      <c r="CB5" s="87">
        <f>(AV5-AV4)/AV4</f>
        <v>-8.5932085932085928E-2</v>
      </c>
      <c r="CC5" s="87">
        <f>(AW5-AW4)/AW4</f>
        <v>0.71830985915492962</v>
      </c>
      <c r="CD5" s="87">
        <f>(AX5-AX4)/AX4</f>
        <v>-1.38801261829653E-2</v>
      </c>
      <c r="CE5" s="88"/>
      <c r="CF5" s="87">
        <f>(BA5-BA4)/BA4</f>
        <v>-9.6022930849158014E-2</v>
      </c>
      <c r="CG5" s="87">
        <f>(BC5-BC4)/BC4</f>
        <v>0.7095588235294118</v>
      </c>
      <c r="CH5" s="87">
        <f>(BE5-BE4)/BE4</f>
        <v>-2.4485798237022526E-2</v>
      </c>
      <c r="CI5" s="108"/>
      <c r="CJ5" s="135"/>
      <c r="CK5" s="135"/>
      <c r="CL5" s="20">
        <v>2011</v>
      </c>
      <c r="CM5" s="108"/>
      <c r="CN5" s="2"/>
      <c r="CO5" s="2"/>
      <c r="CP5" s="2"/>
      <c r="CQ5" s="153">
        <f t="shared" si="11"/>
        <v>0.19306806063235535</v>
      </c>
      <c r="CR5" s="154"/>
      <c r="CS5" s="153"/>
      <c r="CT5" s="153"/>
      <c r="CU5" s="153"/>
      <c r="CV5" s="153">
        <f t="shared" si="12"/>
        <v>0.42735258961982758</v>
      </c>
      <c r="CW5" s="154"/>
      <c r="CX5" s="153"/>
      <c r="CY5" s="153"/>
      <c r="CZ5" s="153"/>
      <c r="DA5" s="153">
        <f t="shared" si="13"/>
        <v>0.42325567384348389</v>
      </c>
      <c r="DB5" s="134"/>
      <c r="DF5" s="153">
        <f t="shared" ref="DF5:DF14" si="23">D5/BE5</f>
        <v>1.1914263621151273</v>
      </c>
      <c r="DG5" s="153"/>
      <c r="DH5" s="153"/>
      <c r="DI5" s="153"/>
      <c r="DJ5" s="153"/>
      <c r="DK5" s="153">
        <f t="shared" ref="DK5:DK14" si="24">J5/BE5</f>
        <v>2.6372002677376174</v>
      </c>
      <c r="DL5" s="153"/>
      <c r="DM5" s="153"/>
      <c r="DN5" s="153"/>
      <c r="DO5" s="153"/>
      <c r="DP5" s="153">
        <f t="shared" ref="DP5:DP14" si="25">P5/BE5</f>
        <v>2.6119181291834002</v>
      </c>
    </row>
    <row r="6" spans="1:122" ht="18.75" x14ac:dyDescent="0.3">
      <c r="A6" s="20">
        <v>1391</v>
      </c>
      <c r="B6" s="20">
        <v>2012</v>
      </c>
      <c r="C6" s="35">
        <v>2902</v>
      </c>
      <c r="D6" s="17">
        <f>3742296.68/1000</f>
        <v>3742.2966800000004</v>
      </c>
      <c r="E6" s="4">
        <f t="shared" si="3"/>
        <v>-840.29668000000038</v>
      </c>
      <c r="F6" s="4">
        <f t="shared" si="0"/>
        <v>6644.2966800000004</v>
      </c>
      <c r="G6" s="105">
        <f t="shared" si="1"/>
        <v>0.43676556598312521</v>
      </c>
      <c r="H6" s="105">
        <f t="shared" si="2"/>
        <v>0.56323443401687479</v>
      </c>
      <c r="I6" s="15">
        <v>18282</v>
      </c>
      <c r="J6" s="25">
        <f>8103132.24/1000</f>
        <v>8103.1322399999999</v>
      </c>
      <c r="K6" s="3">
        <f t="shared" si="4"/>
        <v>10178.867760000001</v>
      </c>
      <c r="L6" s="9">
        <f t="shared" si="14"/>
        <v>26385.132239999999</v>
      </c>
      <c r="M6" s="106">
        <f t="shared" si="15"/>
        <v>0.69289021687313701</v>
      </c>
      <c r="N6" s="106">
        <f t="shared" si="5"/>
        <v>0.30710978312686299</v>
      </c>
      <c r="O6" s="37">
        <v>182106</v>
      </c>
      <c r="P6" s="22">
        <f>8235479.56/1000</f>
        <v>8235.4795599999998</v>
      </c>
      <c r="Q6" s="111">
        <f t="shared" si="6"/>
        <v>173870.52043999999</v>
      </c>
      <c r="R6" s="111">
        <f t="shared" si="7"/>
        <v>190341.47956000001</v>
      </c>
      <c r="S6" s="112">
        <f t="shared" si="8"/>
        <v>0.95673313258341042</v>
      </c>
      <c r="T6" s="113">
        <f t="shared" ref="T6:T12" si="26">P6/R6</f>
        <v>4.3266867416589493E-2</v>
      </c>
      <c r="U6" s="45"/>
      <c r="V6" s="20">
        <v>2012</v>
      </c>
      <c r="W6" s="151">
        <v>66202570877.000008</v>
      </c>
      <c r="X6" s="147">
        <v>0.36599999999999999</v>
      </c>
      <c r="Y6" s="141">
        <v>75539862</v>
      </c>
      <c r="Z6" s="144">
        <f>79015.9260702264*1000</f>
        <v>79015926.070226401</v>
      </c>
      <c r="AA6" s="149">
        <v>61979.405855868703</v>
      </c>
      <c r="AB6" s="13">
        <v>20286.794331723751</v>
      </c>
      <c r="AC6" s="13">
        <v>49163.802379898087</v>
      </c>
      <c r="AE6" s="45"/>
      <c r="AF6" s="56">
        <v>1391</v>
      </c>
      <c r="AG6" s="20">
        <v>2012</v>
      </c>
      <c r="AH6" s="56" t="s">
        <v>30</v>
      </c>
      <c r="AI6" s="58">
        <v>31131</v>
      </c>
      <c r="AJ6" s="58">
        <v>3153</v>
      </c>
      <c r="AK6" s="58">
        <f t="shared" si="16"/>
        <v>34284</v>
      </c>
      <c r="AL6" s="45"/>
      <c r="AM6" s="56" t="s">
        <v>33</v>
      </c>
      <c r="AN6" s="59">
        <v>17311</v>
      </c>
      <c r="AO6" s="136">
        <f t="shared" si="9"/>
        <v>0.90091074681238614</v>
      </c>
      <c r="AP6" s="59">
        <v>1904</v>
      </c>
      <c r="AQ6" s="136">
        <f t="shared" si="10"/>
        <v>9.9089253187613843E-2</v>
      </c>
      <c r="AR6" s="59">
        <f t="shared" si="17"/>
        <v>19215</v>
      </c>
      <c r="AS6" s="45"/>
      <c r="AT6" s="20">
        <v>2012</v>
      </c>
      <c r="AU6" s="56" t="s">
        <v>30</v>
      </c>
      <c r="AV6" s="61">
        <v>1972</v>
      </c>
      <c r="AW6" s="61">
        <v>335</v>
      </c>
      <c r="AX6" s="61">
        <f>AV6+AW6</f>
        <v>2307</v>
      </c>
      <c r="AY6" s="62"/>
      <c r="AZ6" s="59" t="s">
        <v>33</v>
      </c>
      <c r="BA6" s="59">
        <v>1853</v>
      </c>
      <c r="BB6" s="136">
        <f t="shared" si="18"/>
        <v>0.85509921550530688</v>
      </c>
      <c r="BC6" s="59">
        <v>314</v>
      </c>
      <c r="BD6" s="136">
        <f t="shared" si="19"/>
        <v>0.14490078449469312</v>
      </c>
      <c r="BE6" s="59">
        <f t="shared" si="20"/>
        <v>2167</v>
      </c>
      <c r="BF6" s="84"/>
      <c r="BG6" s="20">
        <v>2012</v>
      </c>
      <c r="BH6" s="87">
        <f>AI6/AK6</f>
        <v>0.90803290164508221</v>
      </c>
      <c r="BI6" s="87">
        <f>AJ6/AK6</f>
        <v>9.1967098354917745E-2</v>
      </c>
      <c r="BJ6" s="87">
        <f>AN6/AR6</f>
        <v>0.90091074681238614</v>
      </c>
      <c r="BK6" s="87">
        <f>AP6/AR6</f>
        <v>9.9089253187613843E-2</v>
      </c>
      <c r="BL6" s="87"/>
      <c r="BM6" s="88"/>
      <c r="BN6" s="87">
        <f>AV6/AX6</f>
        <v>0.85478977026441261</v>
      </c>
      <c r="BO6" s="87">
        <f>AW6/AX6</f>
        <v>0.14521022973558734</v>
      </c>
      <c r="BP6" s="87">
        <f t="shared" si="21"/>
        <v>0.85509921550530688</v>
      </c>
      <c r="BQ6" s="87">
        <f t="shared" si="22"/>
        <v>0.14490078449469312</v>
      </c>
      <c r="BR6" s="2"/>
      <c r="BS6" s="89"/>
      <c r="BT6" s="87">
        <f>(AI6-AI5)/AI5</f>
        <v>2.4619030378830266E-2</v>
      </c>
      <c r="BU6" s="87">
        <f>(AJ6-AJ5)/AJ5</f>
        <v>0.12647374062165059</v>
      </c>
      <c r="BV6" s="87">
        <f>(AK6-AK5)/AK5</f>
        <v>3.3210776927249712E-2</v>
      </c>
      <c r="BW6" s="88"/>
      <c r="BX6" s="87">
        <f>(AN6-AN5)/AN5</f>
        <v>3.6897274633123693E-2</v>
      </c>
      <c r="BY6" s="87">
        <f>(AP6-AP5)/AP5</f>
        <v>9.1743119266055051E-2</v>
      </c>
      <c r="BZ6" s="87">
        <f>(AR6-AR5)/AR5</f>
        <v>4.208471175226422E-2</v>
      </c>
      <c r="CA6" s="88"/>
      <c r="CB6" s="87">
        <f>(AV6-AV5)/AV5</f>
        <v>-0.25246398786959817</v>
      </c>
      <c r="CC6" s="87">
        <f>(AW6-AW5)/AW5</f>
        <v>-0.31352459016393441</v>
      </c>
      <c r="CD6" s="87">
        <f t="shared" ref="CD6:CD14" si="27">(AX6-AX5)/AX5</f>
        <v>-0.26199616122840691</v>
      </c>
      <c r="CE6" s="88"/>
      <c r="CF6" s="87">
        <f t="shared" ref="CF6:CF14" si="28">(BA6-BA5)/BA5</f>
        <v>-0.26555687673404677</v>
      </c>
      <c r="CG6" s="87">
        <f t="shared" ref="CG6:CG14" si="29">(BC6-BC5)/BC5</f>
        <v>-0.3247311827956989</v>
      </c>
      <c r="CH6" s="87">
        <f t="shared" ref="CH6:CH14" si="30">(BE6-BE5)/BE5</f>
        <v>-0.27476572958500667</v>
      </c>
      <c r="CI6" s="108"/>
      <c r="CJ6" s="135"/>
      <c r="CK6" s="135"/>
      <c r="CL6" s="20">
        <v>2012</v>
      </c>
      <c r="CM6" s="108"/>
      <c r="CN6" s="2"/>
      <c r="CO6" s="2"/>
      <c r="CP6" s="2"/>
      <c r="CQ6" s="153">
        <f t="shared" si="11"/>
        <v>0.19475912984647412</v>
      </c>
      <c r="CR6" s="154"/>
      <c r="CS6" s="153"/>
      <c r="CT6" s="153"/>
      <c r="CU6" s="153"/>
      <c r="CV6" s="153">
        <f t="shared" si="12"/>
        <v>0.42170867759562841</v>
      </c>
      <c r="CW6" s="154"/>
      <c r="CX6" s="153"/>
      <c r="CY6" s="153"/>
      <c r="CZ6" s="153"/>
      <c r="DA6" s="153">
        <f t="shared" si="13"/>
        <v>0.42859638615664841</v>
      </c>
      <c r="DB6" s="134"/>
      <c r="DF6" s="153">
        <f t="shared" si="23"/>
        <v>1.7269481679741581</v>
      </c>
      <c r="DG6" s="153"/>
      <c r="DH6" s="153"/>
      <c r="DI6" s="153"/>
      <c r="DJ6" s="153"/>
      <c r="DK6" s="153">
        <f t="shared" si="24"/>
        <v>3.7393319058606367</v>
      </c>
      <c r="DL6" s="153"/>
      <c r="DM6" s="153"/>
      <c r="DN6" s="153"/>
      <c r="DO6" s="153"/>
      <c r="DP6" s="153">
        <f t="shared" si="25"/>
        <v>3.8004058883248728</v>
      </c>
    </row>
    <row r="7" spans="1:122" ht="18.75" x14ac:dyDescent="0.3">
      <c r="A7" s="20">
        <v>1392</v>
      </c>
      <c r="B7" s="20">
        <v>2013</v>
      </c>
      <c r="C7" s="35">
        <v>6334</v>
      </c>
      <c r="D7" s="17">
        <f>3606526.51/1000</f>
        <v>3606.5265099999997</v>
      </c>
      <c r="E7" s="4">
        <f t="shared" si="3"/>
        <v>2727.4734900000003</v>
      </c>
      <c r="F7" s="4">
        <f t="shared" si="0"/>
        <v>9940.5265099999997</v>
      </c>
      <c r="G7" s="105">
        <f t="shared" si="1"/>
        <v>0.63718958886414157</v>
      </c>
      <c r="H7" s="105">
        <f t="shared" si="2"/>
        <v>0.36281041113585843</v>
      </c>
      <c r="I7" s="3">
        <v>56433</v>
      </c>
      <c r="J7" s="25">
        <f>11125865.67/1000</f>
        <v>11125.865669999999</v>
      </c>
      <c r="K7" s="3">
        <f t="shared" si="4"/>
        <v>45307.134330000001</v>
      </c>
      <c r="L7" s="9">
        <f t="shared" si="14"/>
        <v>67558.865669999999</v>
      </c>
      <c r="M7" s="106">
        <f t="shared" si="15"/>
        <v>0.83531597874443708</v>
      </c>
      <c r="N7" s="106">
        <f t="shared" si="5"/>
        <v>0.16468402125556292</v>
      </c>
      <c r="O7" s="37">
        <v>956103</v>
      </c>
      <c r="P7" s="22">
        <f>7192205.93/1000</f>
        <v>7192.2059300000001</v>
      </c>
      <c r="Q7" s="111">
        <f t="shared" si="6"/>
        <v>948910.79406999995</v>
      </c>
      <c r="R7" s="111">
        <f t="shared" si="7"/>
        <v>963295.20593000005</v>
      </c>
      <c r="S7" s="112">
        <f t="shared" si="8"/>
        <v>0.99253374678320294</v>
      </c>
      <c r="T7" s="113">
        <f t="shared" si="26"/>
        <v>7.4662532167970091E-3</v>
      </c>
      <c r="U7" s="45"/>
      <c r="V7" s="20">
        <v>2013</v>
      </c>
      <c r="W7" s="151">
        <v>67655518138</v>
      </c>
      <c r="X7" s="147">
        <v>0.16600000000000001</v>
      </c>
      <c r="Y7" s="141">
        <v>76481943</v>
      </c>
      <c r="Z7" s="144">
        <f>104451.416979364*1000</f>
        <v>104451416.97936401</v>
      </c>
      <c r="AA7" s="149">
        <v>90575.373532554469</v>
      </c>
      <c r="AB7" s="13">
        <v>32645.454283670129</v>
      </c>
      <c r="AC7" s="13">
        <v>69948.685855616204</v>
      </c>
      <c r="AE7" s="45"/>
      <c r="AF7" s="56">
        <v>1392</v>
      </c>
      <c r="AG7" s="20">
        <v>2013</v>
      </c>
      <c r="AH7" s="56" t="s">
        <v>30</v>
      </c>
      <c r="AI7" s="58">
        <v>27919</v>
      </c>
      <c r="AJ7" s="58">
        <v>3135</v>
      </c>
      <c r="AK7" s="58">
        <f t="shared" si="16"/>
        <v>31054</v>
      </c>
      <c r="AL7" s="45"/>
      <c r="AM7" s="56" t="s">
        <v>33</v>
      </c>
      <c r="AN7" s="59">
        <v>16109</v>
      </c>
      <c r="AO7" s="136">
        <f t="shared" si="9"/>
        <v>0.89345535219079308</v>
      </c>
      <c r="AP7" s="59">
        <v>1921</v>
      </c>
      <c r="AQ7" s="136">
        <f t="shared" si="10"/>
        <v>0.10654464780920687</v>
      </c>
      <c r="AR7" s="59">
        <f t="shared" si="17"/>
        <v>18030</v>
      </c>
      <c r="AS7" s="45"/>
      <c r="AT7" s="20">
        <v>2013</v>
      </c>
      <c r="AU7" s="56" t="s">
        <v>30</v>
      </c>
      <c r="AV7" s="61">
        <v>1748</v>
      </c>
      <c r="AW7" s="61">
        <v>349</v>
      </c>
      <c r="AX7" s="61">
        <f>AV7+AW7</f>
        <v>2097</v>
      </c>
      <c r="AY7" s="62"/>
      <c r="AZ7" s="59" t="s">
        <v>33</v>
      </c>
      <c r="BA7" s="59">
        <v>1592</v>
      </c>
      <c r="BB7" s="136">
        <f t="shared" si="18"/>
        <v>0.83220073183481447</v>
      </c>
      <c r="BC7" s="59">
        <v>321</v>
      </c>
      <c r="BD7" s="136">
        <f t="shared" si="19"/>
        <v>0.16779926816518556</v>
      </c>
      <c r="BE7" s="59">
        <f t="shared" si="20"/>
        <v>1913</v>
      </c>
      <c r="BF7" s="84"/>
      <c r="BG7" s="20">
        <v>2013</v>
      </c>
      <c r="BH7" s="87">
        <f>AI7/AK7</f>
        <v>0.89904682166548588</v>
      </c>
      <c r="BI7" s="87">
        <f>AJ7/AK7</f>
        <v>0.10095317833451407</v>
      </c>
      <c r="BJ7" s="87">
        <f>AN7/AR7</f>
        <v>0.89345535219079308</v>
      </c>
      <c r="BK7" s="87">
        <f>AP7/AR7</f>
        <v>0.10654464780920687</v>
      </c>
      <c r="BL7" s="87"/>
      <c r="BM7" s="88"/>
      <c r="BN7" s="87">
        <f>AV7/AX7</f>
        <v>0.83357176919408682</v>
      </c>
      <c r="BO7" s="87">
        <f>AW7/AX7</f>
        <v>0.16642823080591321</v>
      </c>
      <c r="BP7" s="87">
        <f t="shared" si="21"/>
        <v>0.83220073183481447</v>
      </c>
      <c r="BQ7" s="87">
        <f t="shared" si="22"/>
        <v>0.16779926816518556</v>
      </c>
      <c r="BR7" s="2"/>
      <c r="BS7" s="89"/>
      <c r="BT7" s="87">
        <f>(AI7-AI6)/AI6</f>
        <v>-0.10317689762616042</v>
      </c>
      <c r="BU7" s="87">
        <f>(AJ7-AJ6)/AJ6</f>
        <v>-5.708848715509039E-3</v>
      </c>
      <c r="BV7" s="87">
        <f>(AK7-AK6)/AK6</f>
        <v>-9.421304398553261E-2</v>
      </c>
      <c r="BW7" s="88"/>
      <c r="BX7" s="87">
        <f>(AN7-AN6)/AN6</f>
        <v>-6.9435618970596732E-2</v>
      </c>
      <c r="BY7" s="87">
        <f>(AP7-AP6)/AP6</f>
        <v>8.9285714285714281E-3</v>
      </c>
      <c r="BZ7" s="87">
        <f>(AR7-AR6)/AR6</f>
        <v>-6.1670569867291178E-2</v>
      </c>
      <c r="CA7" s="88"/>
      <c r="CB7" s="87">
        <f>(AV7-AV6)/AV6</f>
        <v>-0.11359026369168357</v>
      </c>
      <c r="CC7" s="87">
        <f>(AW7-AW6)/AW6</f>
        <v>4.1791044776119404E-2</v>
      </c>
      <c r="CD7" s="87">
        <f t="shared" si="27"/>
        <v>-9.1027308192457732E-2</v>
      </c>
      <c r="CE7" s="88"/>
      <c r="CF7" s="87">
        <f t="shared" si="28"/>
        <v>-0.14085267134376686</v>
      </c>
      <c r="CG7" s="87">
        <f t="shared" si="29"/>
        <v>2.2292993630573247E-2</v>
      </c>
      <c r="CH7" s="87">
        <f t="shared" si="30"/>
        <v>-0.1172127365020766</v>
      </c>
      <c r="CI7" s="108"/>
      <c r="CJ7" s="135"/>
      <c r="CK7" s="135"/>
      <c r="CL7" s="20">
        <v>2013</v>
      </c>
      <c r="CM7" s="108"/>
      <c r="CN7" s="2"/>
      <c r="CO7" s="2"/>
      <c r="CP7" s="2"/>
      <c r="CQ7" s="153">
        <f t="shared" si="11"/>
        <v>0.20002920188574597</v>
      </c>
      <c r="CR7" s="154"/>
      <c r="CS7" s="153"/>
      <c r="CT7" s="153"/>
      <c r="CU7" s="153"/>
      <c r="CV7" s="153">
        <f t="shared" si="12"/>
        <v>0.61707518968386021</v>
      </c>
      <c r="CW7" s="154"/>
      <c r="CX7" s="153"/>
      <c r="CY7" s="153"/>
      <c r="CZ7" s="153"/>
      <c r="DA7" s="153">
        <f t="shared" si="13"/>
        <v>0.3989021591791459</v>
      </c>
      <c r="DB7" s="134"/>
      <c r="DF7" s="153">
        <f t="shared" si="23"/>
        <v>1.8852726136957656</v>
      </c>
      <c r="DG7" s="153"/>
      <c r="DH7" s="153"/>
      <c r="DI7" s="153"/>
      <c r="DJ7" s="153"/>
      <c r="DK7" s="153">
        <f t="shared" si="24"/>
        <v>5.8159255985363298</v>
      </c>
      <c r="DL7" s="153"/>
      <c r="DM7" s="153"/>
      <c r="DN7" s="153"/>
      <c r="DO7" s="153"/>
      <c r="DP7" s="153">
        <f t="shared" si="25"/>
        <v>3.7596476372190279</v>
      </c>
    </row>
    <row r="8" spans="1:122" ht="18.75" x14ac:dyDescent="0.3">
      <c r="A8" s="20">
        <v>1393</v>
      </c>
      <c r="B8" s="20">
        <v>2014</v>
      </c>
      <c r="C8" s="35">
        <v>5784</v>
      </c>
      <c r="D8" s="17">
        <f>4984456.96/1000</f>
        <v>4984.4569599999995</v>
      </c>
      <c r="E8" s="4">
        <f t="shared" si="3"/>
        <v>799.54304000000047</v>
      </c>
      <c r="F8" s="4">
        <f t="shared" si="0"/>
        <v>10768.45696</v>
      </c>
      <c r="G8" s="105">
        <f t="shared" si="1"/>
        <v>0.53712430866232486</v>
      </c>
      <c r="H8" s="105">
        <f t="shared" si="2"/>
        <v>0.46287569133767514</v>
      </c>
      <c r="I8" s="3">
        <v>49892</v>
      </c>
      <c r="J8" s="25">
        <f>7635591.119/1000</f>
        <v>7635.5911189999997</v>
      </c>
      <c r="K8" s="3">
        <f t="shared" si="4"/>
        <v>42256.408881000003</v>
      </c>
      <c r="L8" s="9">
        <f t="shared" si="14"/>
        <v>57527.591118999997</v>
      </c>
      <c r="M8" s="106">
        <f t="shared" si="15"/>
        <v>0.86727080048936478</v>
      </c>
      <c r="N8" s="106">
        <f t="shared" si="5"/>
        <v>0.13272919951063525</v>
      </c>
      <c r="O8" s="37">
        <v>857013</v>
      </c>
      <c r="P8" s="22">
        <f>8778517.9/1000</f>
        <v>8778.5179000000007</v>
      </c>
      <c r="Q8" s="111">
        <f t="shared" si="6"/>
        <v>848234.48210000002</v>
      </c>
      <c r="R8" s="111">
        <f t="shared" si="7"/>
        <v>865791.51789999998</v>
      </c>
      <c r="S8" s="112">
        <f t="shared" si="8"/>
        <v>0.98986070235327261</v>
      </c>
      <c r="T8" s="113">
        <f t="shared" si="26"/>
        <v>1.0139297646727385E-2</v>
      </c>
      <c r="U8" s="45"/>
      <c r="V8" s="20">
        <v>2014</v>
      </c>
      <c r="W8" s="151">
        <v>41630331169</v>
      </c>
      <c r="X8" s="147">
        <v>0.125</v>
      </c>
      <c r="Y8" s="141">
        <v>77465753</v>
      </c>
      <c r="Z8" s="144">
        <f>117844.569759014*1000</f>
        <v>117844569.75901401</v>
      </c>
      <c r="AA8" s="149">
        <v>114594.98577612556</v>
      </c>
      <c r="AB8" s="13">
        <v>46256.299036261946</v>
      </c>
      <c r="AC8" s="13">
        <v>81603.95059557262</v>
      </c>
      <c r="AE8" s="45"/>
      <c r="AF8" s="56">
        <v>1393</v>
      </c>
      <c r="AG8" s="20">
        <v>2014</v>
      </c>
      <c r="AH8" s="56" t="s">
        <v>30</v>
      </c>
      <c r="AI8" s="58">
        <v>34972</v>
      </c>
      <c r="AJ8" s="58">
        <v>4101</v>
      </c>
      <c r="AK8" s="58">
        <f t="shared" si="16"/>
        <v>39073</v>
      </c>
      <c r="AL8" s="45"/>
      <c r="AM8" s="56" t="s">
        <v>33</v>
      </c>
      <c r="AN8" s="59">
        <v>18369</v>
      </c>
      <c r="AO8" s="136">
        <f t="shared" si="9"/>
        <v>0.89048865619546247</v>
      </c>
      <c r="AP8" s="59">
        <v>2259</v>
      </c>
      <c r="AQ8" s="136">
        <f t="shared" si="10"/>
        <v>0.10951134380453752</v>
      </c>
      <c r="AR8" s="59">
        <f t="shared" si="17"/>
        <v>20628</v>
      </c>
      <c r="AS8" s="45"/>
      <c r="AT8" s="20">
        <v>2014</v>
      </c>
      <c r="AU8" s="56" t="s">
        <v>30</v>
      </c>
      <c r="AV8" s="61">
        <v>2749</v>
      </c>
      <c r="AW8" s="61">
        <v>582</v>
      </c>
      <c r="AX8" s="61">
        <f>AV8+AW8</f>
        <v>3331</v>
      </c>
      <c r="AY8" s="62"/>
      <c r="AZ8" s="59" t="s">
        <v>33</v>
      </c>
      <c r="BA8" s="59">
        <v>2316</v>
      </c>
      <c r="BB8" s="136">
        <f t="shared" si="18"/>
        <v>0.83159784560143624</v>
      </c>
      <c r="BC8" s="59">
        <v>469</v>
      </c>
      <c r="BD8" s="136">
        <f t="shared" si="19"/>
        <v>0.16840215439856374</v>
      </c>
      <c r="BE8" s="59">
        <f t="shared" si="20"/>
        <v>2785</v>
      </c>
      <c r="BF8" s="84"/>
      <c r="BG8" s="20">
        <v>2014</v>
      </c>
      <c r="BH8" s="87">
        <f>AI8/AK8</f>
        <v>0.89504261254574768</v>
      </c>
      <c r="BI8" s="87">
        <f>AJ8/AK8</f>
        <v>0.1049573874542523</v>
      </c>
      <c r="BJ8" s="87">
        <f>AN8/AR8</f>
        <v>0.89048865619546247</v>
      </c>
      <c r="BK8" s="87">
        <f>AP8/AR8</f>
        <v>0.10951134380453752</v>
      </c>
      <c r="BL8" s="87"/>
      <c r="BM8" s="88"/>
      <c r="BN8" s="87">
        <f>AV8/AX8</f>
        <v>0.82527769438607024</v>
      </c>
      <c r="BO8" s="87">
        <f>AW8/AX8</f>
        <v>0.17472230561392976</v>
      </c>
      <c r="BP8" s="87">
        <f t="shared" si="21"/>
        <v>0.83159784560143624</v>
      </c>
      <c r="BQ8" s="87">
        <f t="shared" si="22"/>
        <v>0.16840215439856374</v>
      </c>
      <c r="BR8" s="2"/>
      <c r="BS8" s="89"/>
      <c r="BT8" s="87">
        <f>(AI8-AI7)/AI7</f>
        <v>0.25262366130592068</v>
      </c>
      <c r="BU8" s="87">
        <f>(AJ8-AJ7)/AJ7</f>
        <v>0.30813397129186604</v>
      </c>
      <c r="BV8" s="87">
        <f>(AK8-AK7)/AK7</f>
        <v>0.25822760352933599</v>
      </c>
      <c r="BW8" s="88"/>
      <c r="BX8" s="87">
        <f>(AN8-AN7)/AN7</f>
        <v>0.14029424545285243</v>
      </c>
      <c r="BY8" s="87">
        <f>(AP8-AP7)/AP7</f>
        <v>0.17595002602811036</v>
      </c>
      <c r="BZ8" s="87">
        <f>(AR8-AR7)/AR7</f>
        <v>0.14409317803660565</v>
      </c>
      <c r="CA8" s="88"/>
      <c r="CB8" s="87">
        <f>(AV8-AV7)/AV7</f>
        <v>0.57265446224256289</v>
      </c>
      <c r="CC8" s="87">
        <f>(AW8-AW7)/AW7</f>
        <v>0.66762177650429799</v>
      </c>
      <c r="CD8" s="87">
        <f t="shared" si="27"/>
        <v>0.58845970433953265</v>
      </c>
      <c r="CE8" s="88"/>
      <c r="CF8" s="87">
        <f t="shared" si="28"/>
        <v>0.45477386934673369</v>
      </c>
      <c r="CG8" s="87">
        <f t="shared" si="29"/>
        <v>0.46105919003115264</v>
      </c>
      <c r="CH8" s="87">
        <f t="shared" si="30"/>
        <v>0.4558285415577627</v>
      </c>
      <c r="CI8" s="108"/>
      <c r="CJ8" s="135"/>
      <c r="CK8" s="135"/>
      <c r="CL8" s="20">
        <v>2014</v>
      </c>
      <c r="CM8" s="108"/>
      <c r="CN8" s="2"/>
      <c r="CO8" s="2"/>
      <c r="CP8" s="2"/>
      <c r="CQ8" s="153">
        <f t="shared" si="11"/>
        <v>0.24163549350397515</v>
      </c>
      <c r="CR8" s="154"/>
      <c r="CS8" s="153"/>
      <c r="CT8" s="153"/>
      <c r="CU8" s="153"/>
      <c r="CV8" s="153">
        <f t="shared" si="12"/>
        <v>0.37015663753151057</v>
      </c>
      <c r="CW8" s="154"/>
      <c r="CX8" s="153"/>
      <c r="CY8" s="153"/>
      <c r="CZ8" s="153"/>
      <c r="DA8" s="153">
        <f t="shared" si="13"/>
        <v>0.42556321019972854</v>
      </c>
      <c r="DB8" s="134"/>
      <c r="DF8" s="153">
        <f t="shared" si="23"/>
        <v>1.7897511526032315</v>
      </c>
      <c r="DG8" s="153"/>
      <c r="DH8" s="153"/>
      <c r="DI8" s="153"/>
      <c r="DJ8" s="153"/>
      <c r="DK8" s="153">
        <f t="shared" si="24"/>
        <v>2.7416844233393176</v>
      </c>
      <c r="DL8" s="153"/>
      <c r="DM8" s="153"/>
      <c r="DN8" s="153"/>
      <c r="DO8" s="153"/>
      <c r="DP8" s="153">
        <f t="shared" si="25"/>
        <v>3.1520710592459609</v>
      </c>
    </row>
    <row r="9" spans="1:122" ht="18.75" x14ac:dyDescent="0.3">
      <c r="A9" s="20">
        <v>1394</v>
      </c>
      <c r="B9" s="20">
        <v>2015</v>
      </c>
      <c r="C9" s="35">
        <v>5287</v>
      </c>
      <c r="D9" s="18">
        <f>4521667.36/1000</f>
        <v>4521.6673600000004</v>
      </c>
      <c r="E9" s="4">
        <f t="shared" si="3"/>
        <v>765.33263999999963</v>
      </c>
      <c r="F9" s="4">
        <f t="shared" si="0"/>
        <v>9808.6673599999995</v>
      </c>
      <c r="G9" s="105">
        <f t="shared" si="1"/>
        <v>0.5390130795504926</v>
      </c>
      <c r="H9" s="105">
        <f t="shared" si="2"/>
        <v>0.46098692044950751</v>
      </c>
      <c r="I9" s="3">
        <v>52462</v>
      </c>
      <c r="J9" s="26">
        <f>9477437.166/1000</f>
        <v>9477.4371659999997</v>
      </c>
      <c r="K9" s="3">
        <f t="shared" si="4"/>
        <v>42984.562833999997</v>
      </c>
      <c r="L9" s="9">
        <f t="shared" si="14"/>
        <v>61939.437166000003</v>
      </c>
      <c r="M9" s="106">
        <f t="shared" si="15"/>
        <v>0.84698864568949639</v>
      </c>
      <c r="N9" s="106">
        <f t="shared" si="5"/>
        <v>0.15301135431050358</v>
      </c>
      <c r="O9" s="37">
        <v>923135</v>
      </c>
      <c r="P9" s="23">
        <f>9054517.1478/1000</f>
        <v>9054.5171478000011</v>
      </c>
      <c r="Q9" s="111">
        <f t="shared" si="6"/>
        <v>914080.48285220005</v>
      </c>
      <c r="R9" s="111">
        <f t="shared" si="7"/>
        <v>932189.51714779995</v>
      </c>
      <c r="S9" s="112">
        <f t="shared" si="8"/>
        <v>0.99028682796658785</v>
      </c>
      <c r="T9" s="113">
        <f t="shared" si="26"/>
        <v>9.7131720334121662E-3</v>
      </c>
      <c r="U9" s="45"/>
      <c r="V9" s="20">
        <v>2015</v>
      </c>
      <c r="W9" s="151">
        <v>49171587983</v>
      </c>
      <c r="X9" s="147">
        <v>7.1999999999999995E-2</v>
      </c>
      <c r="Y9" s="141">
        <v>78492215</v>
      </c>
      <c r="Z9" s="144">
        <f>113782.194125226*1000</f>
        <v>113782194.12522601</v>
      </c>
      <c r="AA9" s="149">
        <v>133754.43622580409</v>
      </c>
      <c r="AB9" s="13">
        <v>37886.541261185295</v>
      </c>
      <c r="AC9" s="13">
        <v>89768.529988803522</v>
      </c>
      <c r="AE9" s="45"/>
      <c r="AF9" s="56">
        <v>1394</v>
      </c>
      <c r="AG9" s="20">
        <v>2015</v>
      </c>
      <c r="AH9" s="56" t="s">
        <v>30</v>
      </c>
      <c r="AI9" s="58">
        <v>31672</v>
      </c>
      <c r="AJ9" s="58">
        <v>3695</v>
      </c>
      <c r="AK9" s="58">
        <f t="shared" si="16"/>
        <v>35367</v>
      </c>
      <c r="AL9" s="45"/>
      <c r="AM9" s="56" t="s">
        <v>33</v>
      </c>
      <c r="AN9" s="59">
        <v>17006</v>
      </c>
      <c r="AO9" s="136">
        <f t="shared" si="9"/>
        <v>0.88869147157190631</v>
      </c>
      <c r="AP9" s="59">
        <v>2130</v>
      </c>
      <c r="AQ9" s="136">
        <f t="shared" si="10"/>
        <v>0.11130852842809365</v>
      </c>
      <c r="AR9" s="59">
        <f t="shared" si="17"/>
        <v>19136</v>
      </c>
      <c r="AS9" s="45"/>
      <c r="AT9" s="20">
        <v>2015</v>
      </c>
      <c r="AU9" s="56" t="s">
        <v>30</v>
      </c>
      <c r="AV9" s="61">
        <v>2691</v>
      </c>
      <c r="AW9" s="61">
        <v>565</v>
      </c>
      <c r="AX9" s="61">
        <f>AV9+AW9</f>
        <v>3256</v>
      </c>
      <c r="AY9" s="62"/>
      <c r="AZ9" s="59" t="s">
        <v>33</v>
      </c>
      <c r="BA9" s="59">
        <v>2320</v>
      </c>
      <c r="BB9" s="136">
        <f t="shared" si="18"/>
        <v>0.83124328197778574</v>
      </c>
      <c r="BC9" s="59">
        <v>471</v>
      </c>
      <c r="BD9" s="136">
        <f t="shared" si="19"/>
        <v>0.16875671802221426</v>
      </c>
      <c r="BE9" s="59">
        <f t="shared" si="20"/>
        <v>2791</v>
      </c>
      <c r="BF9" s="84"/>
      <c r="BG9" s="20">
        <v>2015</v>
      </c>
      <c r="BH9" s="87">
        <f>AI9/AK9</f>
        <v>0.89552407611615348</v>
      </c>
      <c r="BI9" s="87">
        <f>AJ9/AK9</f>
        <v>0.10447592388384652</v>
      </c>
      <c r="BJ9" s="87">
        <f>AN9/AR9</f>
        <v>0.88869147157190631</v>
      </c>
      <c r="BK9" s="87">
        <f>AP9/AR9</f>
        <v>0.11130852842809365</v>
      </c>
      <c r="BL9" s="87"/>
      <c r="BM9" s="88"/>
      <c r="BN9" s="87">
        <f>AV9/AX9</f>
        <v>0.82647420147420148</v>
      </c>
      <c r="BO9" s="87">
        <f>AW9/AX9</f>
        <v>0.17352579852579852</v>
      </c>
      <c r="BP9" s="87">
        <f t="shared" si="21"/>
        <v>0.83124328197778574</v>
      </c>
      <c r="BQ9" s="87">
        <f t="shared" si="22"/>
        <v>0.16875671802221426</v>
      </c>
      <c r="BR9" s="2"/>
      <c r="BS9" s="89"/>
      <c r="BT9" s="87">
        <f>(AI9-AI8)/AI8</f>
        <v>-9.436120324831293E-2</v>
      </c>
      <c r="BU9" s="87">
        <f>(AJ9-AJ8)/AJ8</f>
        <v>-9.900024384296513E-2</v>
      </c>
      <c r="BV9" s="87">
        <f>(AK9-AK8)/AK8</f>
        <v>-9.4848104829421853E-2</v>
      </c>
      <c r="BW9" s="88"/>
      <c r="BX9" s="87">
        <f>(AN9-AN8)/AN8</f>
        <v>-7.4201099678806684E-2</v>
      </c>
      <c r="BY9" s="87">
        <f>(AP9-AP8)/AP8</f>
        <v>-5.7104913678618856E-2</v>
      </c>
      <c r="BZ9" s="87">
        <f>(AR9-AR8)/AR8</f>
        <v>-7.2328873375993794E-2</v>
      </c>
      <c r="CA9" s="88"/>
      <c r="CB9" s="87">
        <f>(AV9-AV8)/AV8</f>
        <v>-2.1098581302291742E-2</v>
      </c>
      <c r="CC9" s="87">
        <f>(AW9-AW8)/AW8</f>
        <v>-2.9209621993127148E-2</v>
      </c>
      <c r="CD9" s="87">
        <f t="shared" si="27"/>
        <v>-2.2515761032722906E-2</v>
      </c>
      <c r="CE9" s="88"/>
      <c r="CF9" s="87">
        <f t="shared" si="28"/>
        <v>1.7271157167530224E-3</v>
      </c>
      <c r="CG9" s="87">
        <f t="shared" si="29"/>
        <v>4.2643923240938165E-3</v>
      </c>
      <c r="CH9" s="87">
        <f t="shared" si="30"/>
        <v>2.1543985637342907E-3</v>
      </c>
      <c r="CI9" s="108"/>
      <c r="CJ9" s="135"/>
      <c r="CK9" s="135"/>
      <c r="CL9" s="20">
        <v>2015</v>
      </c>
      <c r="CM9" s="108"/>
      <c r="CN9" s="2"/>
      <c r="CO9" s="2"/>
      <c r="CP9" s="2"/>
      <c r="CQ9" s="153">
        <f t="shared" si="11"/>
        <v>0.23629114548494987</v>
      </c>
      <c r="CR9" s="154"/>
      <c r="CS9" s="153"/>
      <c r="CT9" s="153"/>
      <c r="CU9" s="153"/>
      <c r="CV9" s="153">
        <f t="shared" si="12"/>
        <v>0.49526741043060202</v>
      </c>
      <c r="CW9" s="154"/>
      <c r="CX9" s="153"/>
      <c r="CY9" s="153"/>
      <c r="CZ9" s="153"/>
      <c r="DA9" s="153">
        <f t="shared" si="13"/>
        <v>0.4731666569711539</v>
      </c>
      <c r="DB9" s="134"/>
      <c r="DF9" s="153">
        <f t="shared" si="23"/>
        <v>1.6200886277319959</v>
      </c>
      <c r="DG9" s="153"/>
      <c r="DH9" s="153"/>
      <c r="DI9" s="153"/>
      <c r="DJ9" s="153"/>
      <c r="DK9" s="153">
        <f t="shared" si="24"/>
        <v>3.3957137821569328</v>
      </c>
      <c r="DL9" s="153"/>
      <c r="DM9" s="153"/>
      <c r="DN9" s="153"/>
      <c r="DO9" s="153"/>
      <c r="DP9" s="153">
        <f t="shared" si="25"/>
        <v>3.2441838580437121</v>
      </c>
    </row>
    <row r="10" spans="1:122" ht="18.75" x14ac:dyDescent="0.3">
      <c r="A10" s="20">
        <v>1395</v>
      </c>
      <c r="B10" s="20">
        <v>2016</v>
      </c>
      <c r="C10" s="35">
        <v>4983</v>
      </c>
      <c r="D10" s="17">
        <f>3916234.72/1000</f>
        <v>3916.2347200000004</v>
      </c>
      <c r="E10" s="4">
        <f t="shared" si="3"/>
        <v>1066.7652799999996</v>
      </c>
      <c r="F10" s="4">
        <f t="shared" si="0"/>
        <v>8899.2347200000004</v>
      </c>
      <c r="G10" s="105">
        <f t="shared" si="1"/>
        <v>0.55993578737745664</v>
      </c>
      <c r="H10" s="105">
        <f t="shared" si="2"/>
        <v>0.44006421262254336</v>
      </c>
      <c r="I10" s="3">
        <v>73188</v>
      </c>
      <c r="J10" s="25">
        <f>11111406.152/1000</f>
        <v>11111.406152000001</v>
      </c>
      <c r="K10" s="3">
        <f t="shared" si="4"/>
        <v>62076.593847999997</v>
      </c>
      <c r="L10" s="9">
        <f t="shared" si="14"/>
        <v>84299.406151999996</v>
      </c>
      <c r="M10" s="106">
        <f t="shared" si="15"/>
        <v>0.86819116931897411</v>
      </c>
      <c r="N10" s="106">
        <f t="shared" si="5"/>
        <v>0.13180883068102592</v>
      </c>
      <c r="O10" s="37">
        <v>457800</v>
      </c>
      <c r="P10" s="22">
        <f>12409312.464/1000</f>
        <v>12409.312464000001</v>
      </c>
      <c r="Q10" s="111">
        <f t="shared" si="6"/>
        <v>445390.68753599998</v>
      </c>
      <c r="R10" s="111">
        <f t="shared" si="7"/>
        <v>470209.31246400002</v>
      </c>
      <c r="S10" s="112">
        <f t="shared" si="8"/>
        <v>0.97360896065845126</v>
      </c>
      <c r="T10" s="113">
        <f t="shared" si="26"/>
        <v>2.6391039341548721E-2</v>
      </c>
      <c r="U10" s="45"/>
      <c r="V10" s="20">
        <v>2016</v>
      </c>
      <c r="W10" s="151">
        <v>69066994380</v>
      </c>
      <c r="X10" s="147">
        <v>0.08</v>
      </c>
      <c r="Y10" s="141">
        <v>79564016</v>
      </c>
      <c r="Z10" s="145">
        <v>130523828.76198708</v>
      </c>
      <c r="AA10" s="149">
        <v>127464.8466594464</v>
      </c>
      <c r="AB10" s="13">
        <v>41118.493988820934</v>
      </c>
      <c r="AC10" s="13">
        <v>91689.63941408736</v>
      </c>
      <c r="AE10" s="45"/>
      <c r="AF10" s="56">
        <v>1395</v>
      </c>
      <c r="AG10" s="20">
        <v>2016</v>
      </c>
      <c r="AH10" s="56" t="s">
        <v>30</v>
      </c>
      <c r="AI10" s="58">
        <v>34715</v>
      </c>
      <c r="AJ10" s="58">
        <v>4241</v>
      </c>
      <c r="AK10" s="58">
        <f t="shared" si="16"/>
        <v>38956</v>
      </c>
      <c r="AL10" s="45"/>
      <c r="AM10" s="56" t="s">
        <v>33</v>
      </c>
      <c r="AN10" s="59">
        <v>19707</v>
      </c>
      <c r="AO10" s="136">
        <f t="shared" si="9"/>
        <v>0.88970654627539503</v>
      </c>
      <c r="AP10" s="59">
        <v>2443</v>
      </c>
      <c r="AQ10" s="136">
        <f t="shared" si="10"/>
        <v>0.11029345372460497</v>
      </c>
      <c r="AR10" s="59">
        <f t="shared" si="17"/>
        <v>22150</v>
      </c>
      <c r="AS10" s="45"/>
      <c r="AT10" s="20">
        <v>2016</v>
      </c>
      <c r="AU10" s="56" t="s">
        <v>30</v>
      </c>
      <c r="AV10" s="61">
        <v>4182</v>
      </c>
      <c r="AW10" s="61">
        <v>721</v>
      </c>
      <c r="AX10" s="61">
        <f>AV10+AW10</f>
        <v>4903</v>
      </c>
      <c r="AY10" s="62"/>
      <c r="AZ10" s="59" t="s">
        <v>33</v>
      </c>
      <c r="BA10" s="59">
        <v>3353</v>
      </c>
      <c r="BB10" s="136">
        <f t="shared" si="18"/>
        <v>0.86018471010774755</v>
      </c>
      <c r="BC10" s="59">
        <v>545</v>
      </c>
      <c r="BD10" s="136">
        <f t="shared" si="19"/>
        <v>0.13981528989225245</v>
      </c>
      <c r="BE10" s="59">
        <f t="shared" si="20"/>
        <v>3898</v>
      </c>
      <c r="BF10" s="84"/>
      <c r="BG10" s="20">
        <v>2016</v>
      </c>
      <c r="BH10" s="87">
        <f>AI10/AK10</f>
        <v>0.89113358661053499</v>
      </c>
      <c r="BI10" s="87">
        <f>AJ10/AK10</f>
        <v>0.10886641338946504</v>
      </c>
      <c r="BJ10" s="87">
        <f>AN10/AR10</f>
        <v>0.88970654627539503</v>
      </c>
      <c r="BK10" s="87">
        <f>AP10/AR10</f>
        <v>0.11029345372460497</v>
      </c>
      <c r="BL10" s="87"/>
      <c r="BM10" s="88"/>
      <c r="BN10" s="87">
        <f>AV10/AX10</f>
        <v>0.85294717519885788</v>
      </c>
      <c r="BO10" s="87">
        <f>AW10/AX10</f>
        <v>0.14705282480114215</v>
      </c>
      <c r="BP10" s="87">
        <f t="shared" si="21"/>
        <v>0.86018471010774755</v>
      </c>
      <c r="BQ10" s="87">
        <f t="shared" si="22"/>
        <v>0.13981528989225245</v>
      </c>
      <c r="BR10" s="2"/>
      <c r="BS10" s="89"/>
      <c r="BT10" s="87">
        <f>(AI10-AI9)/AI9</f>
        <v>9.6078555190704726E-2</v>
      </c>
      <c r="BU10" s="87">
        <f>(AJ10-AJ9)/AJ9</f>
        <v>0.14776725304465493</v>
      </c>
      <c r="BV10" s="87">
        <f>(AK10-AK9)/AK9</f>
        <v>0.10147877965334917</v>
      </c>
      <c r="BW10" s="88"/>
      <c r="BX10" s="87">
        <f>(AN10-AN9)/AN9</f>
        <v>0.15882629660119957</v>
      </c>
      <c r="BY10" s="87">
        <f>(AP10-AP9)/AP9</f>
        <v>0.14694835680751173</v>
      </c>
      <c r="BZ10" s="87">
        <f>(AR10-AR9)/AR9</f>
        <v>0.15750418060200669</v>
      </c>
      <c r="CA10" s="88"/>
      <c r="CB10" s="87">
        <f>(AV10-AV9)/AV9</f>
        <v>0.55406911928651059</v>
      </c>
      <c r="CC10" s="87">
        <f>(AW10-AW9)/AW9</f>
        <v>0.27610619469026548</v>
      </c>
      <c r="CD10" s="87">
        <f t="shared" si="27"/>
        <v>0.50583538083538082</v>
      </c>
      <c r="CE10" s="88"/>
      <c r="CF10" s="87">
        <f t="shared" si="28"/>
        <v>0.44525862068965516</v>
      </c>
      <c r="CG10" s="87">
        <f t="shared" si="29"/>
        <v>0.15711252653927812</v>
      </c>
      <c r="CH10" s="87">
        <f t="shared" si="30"/>
        <v>0.39663203152991761</v>
      </c>
      <c r="CI10" s="108"/>
      <c r="CJ10" s="135"/>
      <c r="CK10" s="135"/>
      <c r="CL10" s="20">
        <v>2016</v>
      </c>
      <c r="CM10" s="108"/>
      <c r="CN10" s="2"/>
      <c r="CO10" s="2"/>
      <c r="CP10" s="2"/>
      <c r="CQ10" s="153">
        <f t="shared" si="11"/>
        <v>0.17680517923250566</v>
      </c>
      <c r="CR10" s="154"/>
      <c r="CS10" s="153"/>
      <c r="CT10" s="153"/>
      <c r="CU10" s="153"/>
      <c r="CV10" s="153">
        <f t="shared" si="12"/>
        <v>0.50164361860045148</v>
      </c>
      <c r="CW10" s="154"/>
      <c r="CX10" s="153"/>
      <c r="CY10" s="153"/>
      <c r="CZ10" s="153"/>
      <c r="DA10" s="153">
        <f t="shared" si="13"/>
        <v>0.5602398403611738</v>
      </c>
      <c r="DB10" s="134"/>
      <c r="DF10" s="153">
        <f t="shared" si="23"/>
        <v>1.0046779681888149</v>
      </c>
      <c r="DG10" s="153"/>
      <c r="DH10" s="153"/>
      <c r="DI10" s="153"/>
      <c r="DJ10" s="153"/>
      <c r="DK10" s="153">
        <f t="shared" si="24"/>
        <v>2.8505403160595182</v>
      </c>
      <c r="DL10" s="153"/>
      <c r="DM10" s="153"/>
      <c r="DN10" s="153"/>
      <c r="DO10" s="153"/>
      <c r="DP10" s="153">
        <f t="shared" si="25"/>
        <v>3.1835075587480759</v>
      </c>
    </row>
    <row r="11" spans="1:122" ht="18.75" x14ac:dyDescent="0.3">
      <c r="A11" s="20">
        <v>1396</v>
      </c>
      <c r="B11" s="20">
        <v>2017</v>
      </c>
      <c r="C11" s="35">
        <v>5197</v>
      </c>
      <c r="D11" s="17">
        <f>4375432.99/1000</f>
        <v>4375.4329900000002</v>
      </c>
      <c r="E11" s="4">
        <f t="shared" si="3"/>
        <v>821.56700999999975</v>
      </c>
      <c r="F11" s="4">
        <f t="shared" si="0"/>
        <v>9572.4329900000012</v>
      </c>
      <c r="G11" s="105">
        <f t="shared" si="1"/>
        <v>0.54291317635016423</v>
      </c>
      <c r="H11" s="105">
        <f t="shared" si="2"/>
        <v>0.45708682364983572</v>
      </c>
      <c r="I11" s="3">
        <v>59287</v>
      </c>
      <c r="J11" s="25">
        <f>13354452.12/1000</f>
        <v>13354.45212</v>
      </c>
      <c r="K11" s="3">
        <f t="shared" si="4"/>
        <v>45932.547879999998</v>
      </c>
      <c r="L11" s="9">
        <f t="shared" si="14"/>
        <v>72641.452120000002</v>
      </c>
      <c r="M11" s="106">
        <f t="shared" si="15"/>
        <v>0.81615934524630473</v>
      </c>
      <c r="N11" s="106">
        <f t="shared" si="5"/>
        <v>0.18384065475369518</v>
      </c>
      <c r="O11" s="37">
        <v>593612</v>
      </c>
      <c r="P11" s="22">
        <f>14713632.92/1000</f>
        <v>14713.63292</v>
      </c>
      <c r="Q11" s="111">
        <f t="shared" si="6"/>
        <v>578898.36708</v>
      </c>
      <c r="R11" s="111">
        <f t="shared" si="7"/>
        <v>608325.63292</v>
      </c>
      <c r="S11" s="112">
        <f t="shared" si="8"/>
        <v>0.97581289999342347</v>
      </c>
      <c r="T11" s="113">
        <f t="shared" si="26"/>
        <v>2.4187100006576524E-2</v>
      </c>
      <c r="U11" s="45"/>
      <c r="V11" s="20">
        <v>2017</v>
      </c>
      <c r="W11" s="152">
        <v>75842149734</v>
      </c>
      <c r="X11" s="147">
        <v>0.18</v>
      </c>
      <c r="Y11" s="141">
        <v>80673951</v>
      </c>
      <c r="Z11" s="145">
        <v>152676295.72276682</v>
      </c>
      <c r="AA11" s="149">
        <v>205315.93616772542</v>
      </c>
      <c r="AB11" s="13">
        <v>51877.007017491931</v>
      </c>
      <c r="AC11" s="13">
        <v>124828.1272140776</v>
      </c>
      <c r="AE11" s="45"/>
      <c r="AF11" s="56">
        <v>1396</v>
      </c>
      <c r="AG11" s="20">
        <v>2017</v>
      </c>
      <c r="AH11" s="56" t="s">
        <v>30</v>
      </c>
      <c r="AI11" s="58">
        <v>36507</v>
      </c>
      <c r="AJ11" s="58">
        <v>4739</v>
      </c>
      <c r="AK11" s="58">
        <f t="shared" si="16"/>
        <v>41246</v>
      </c>
      <c r="AL11" s="45"/>
      <c r="AM11" s="56" t="s">
        <v>33</v>
      </c>
      <c r="AN11" s="59">
        <v>21006</v>
      </c>
      <c r="AO11" s="136">
        <f t="shared" si="9"/>
        <v>0.88580585308256721</v>
      </c>
      <c r="AP11" s="59">
        <v>2708</v>
      </c>
      <c r="AQ11" s="136">
        <f t="shared" si="10"/>
        <v>0.11419414691743274</v>
      </c>
      <c r="AR11" s="59">
        <f t="shared" si="17"/>
        <v>23714</v>
      </c>
      <c r="AS11" s="45"/>
      <c r="AT11" s="20">
        <v>2017</v>
      </c>
      <c r="AU11" s="56" t="s">
        <v>30</v>
      </c>
      <c r="AV11" s="61">
        <v>7321</v>
      </c>
      <c r="AW11" s="61">
        <v>1229</v>
      </c>
      <c r="AX11" s="61">
        <f>AV11+AW11</f>
        <v>8550</v>
      </c>
      <c r="AY11" s="62"/>
      <c r="AZ11" s="59" t="s">
        <v>33</v>
      </c>
      <c r="BA11" s="59">
        <v>4786</v>
      </c>
      <c r="BB11" s="136">
        <f t="shared" si="18"/>
        <v>0.86172128195894848</v>
      </c>
      <c r="BC11" s="59">
        <v>768</v>
      </c>
      <c r="BD11" s="136">
        <f t="shared" si="19"/>
        <v>0.13827871804105149</v>
      </c>
      <c r="BE11" s="59">
        <f t="shared" si="20"/>
        <v>5554</v>
      </c>
      <c r="BF11" s="84"/>
      <c r="BG11" s="20">
        <v>2017</v>
      </c>
      <c r="BH11" s="87">
        <f>AI11/AK11</f>
        <v>0.88510401008582651</v>
      </c>
      <c r="BI11" s="87">
        <f>AJ11/AK11</f>
        <v>0.11489598991417349</v>
      </c>
      <c r="BJ11" s="87">
        <f>AN11/AR11</f>
        <v>0.88580585308256721</v>
      </c>
      <c r="BK11" s="87">
        <f>AP11/AR11</f>
        <v>0.11419414691743274</v>
      </c>
      <c r="BL11" s="87"/>
      <c r="BM11" s="88"/>
      <c r="BN11" s="87">
        <f>AV11/AX11</f>
        <v>0.85625730994152049</v>
      </c>
      <c r="BO11" s="87">
        <f>AW11/AX11</f>
        <v>0.14374269005847953</v>
      </c>
      <c r="BP11" s="87">
        <f t="shared" si="21"/>
        <v>0.86172128195894848</v>
      </c>
      <c r="BQ11" s="87">
        <f t="shared" si="22"/>
        <v>0.13827871804105149</v>
      </c>
      <c r="BR11" s="2"/>
      <c r="BS11" s="89"/>
      <c r="BT11" s="87">
        <f>(AI11-AI10)/AI10</f>
        <v>5.1620337030102263E-2</v>
      </c>
      <c r="BU11" s="87">
        <f>(AJ11-AJ10)/AJ10</f>
        <v>0.11742513558123084</v>
      </c>
      <c r="BV11" s="87">
        <f>(AK11-AK10)/AK10</f>
        <v>5.8784269432179896E-2</v>
      </c>
      <c r="BW11" s="88"/>
      <c r="BX11" s="87">
        <f>(AN11-AN10)/AN10</f>
        <v>6.5915664484700862E-2</v>
      </c>
      <c r="BY11" s="87">
        <f>(AP11-AP10)/AP10</f>
        <v>0.10847318870241507</v>
      </c>
      <c r="BZ11" s="87">
        <f>(AR11-AR10)/AR10</f>
        <v>7.0609480812641082E-2</v>
      </c>
      <c r="CA11" s="88"/>
      <c r="CB11" s="87">
        <f>(AV11-AV10)/AV10</f>
        <v>0.75059780009564803</v>
      </c>
      <c r="CC11" s="87">
        <f>(AW11-AW10)/AW10</f>
        <v>0.70457697642163664</v>
      </c>
      <c r="CD11" s="87">
        <f t="shared" si="27"/>
        <v>0.74383030797470939</v>
      </c>
      <c r="CE11" s="88"/>
      <c r="CF11" s="87">
        <f t="shared" si="28"/>
        <v>0.42737846704443783</v>
      </c>
      <c r="CG11" s="87">
        <f t="shared" si="29"/>
        <v>0.40917431192660553</v>
      </c>
      <c r="CH11" s="87">
        <f t="shared" si="30"/>
        <v>0.42483324781939458</v>
      </c>
      <c r="CI11" s="108"/>
      <c r="CJ11" s="135"/>
      <c r="CK11" s="135"/>
      <c r="CL11" s="20">
        <v>2017</v>
      </c>
      <c r="CM11" s="108"/>
      <c r="CN11" s="2"/>
      <c r="CO11" s="2"/>
      <c r="CP11" s="2"/>
      <c r="CQ11" s="153">
        <f t="shared" si="11"/>
        <v>0.18450843341486042</v>
      </c>
      <c r="CR11" s="154"/>
      <c r="CS11" s="153"/>
      <c r="CT11" s="153"/>
      <c r="CU11" s="153"/>
      <c r="CV11" s="153">
        <f t="shared" si="12"/>
        <v>0.5631463321244834</v>
      </c>
      <c r="CW11" s="154"/>
      <c r="CX11" s="153"/>
      <c r="CY11" s="153"/>
      <c r="CZ11" s="153"/>
      <c r="DA11" s="153">
        <f t="shared" si="13"/>
        <v>0.62046187568524924</v>
      </c>
      <c r="DB11" s="134"/>
      <c r="DF11" s="153">
        <f t="shared" si="23"/>
        <v>0.7877985217861001</v>
      </c>
      <c r="DG11" s="153"/>
      <c r="DH11" s="153"/>
      <c r="DI11" s="153"/>
      <c r="DJ11" s="153"/>
      <c r="DK11" s="153">
        <f t="shared" si="24"/>
        <v>2.4044746344976593</v>
      </c>
      <c r="DL11" s="153"/>
      <c r="DM11" s="153"/>
      <c r="DN11" s="153"/>
      <c r="DO11" s="153"/>
      <c r="DP11" s="153">
        <f t="shared" si="25"/>
        <v>2.6491957003961111</v>
      </c>
    </row>
    <row r="12" spans="1:122" ht="18.75" x14ac:dyDescent="0.3">
      <c r="A12" s="34">
        <v>1397</v>
      </c>
      <c r="B12" s="50">
        <v>2018</v>
      </c>
      <c r="C12" s="35">
        <v>6630</v>
      </c>
      <c r="D12" s="17">
        <f>213127/1000</f>
        <v>213.12700000000001</v>
      </c>
      <c r="E12" s="4">
        <f t="shared" si="3"/>
        <v>6416.8729999999996</v>
      </c>
      <c r="F12" s="4">
        <f t="shared" si="0"/>
        <v>6843.1270000000004</v>
      </c>
      <c r="G12" s="105">
        <f t="shared" si="1"/>
        <v>0.96885532008977759</v>
      </c>
      <c r="H12" s="105">
        <f t="shared" si="2"/>
        <v>3.114467991022233E-2</v>
      </c>
      <c r="I12" s="3">
        <v>46068</v>
      </c>
      <c r="J12" s="25">
        <f>14372299/1000</f>
        <v>14372.299000000001</v>
      </c>
      <c r="K12" s="3">
        <f t="shared" si="4"/>
        <v>31695.701000000001</v>
      </c>
      <c r="L12" s="9">
        <f t="shared" si="14"/>
        <v>60440.298999999999</v>
      </c>
      <c r="M12" s="106">
        <f t="shared" si="15"/>
        <v>0.76220668597288044</v>
      </c>
      <c r="N12" s="106">
        <f t="shared" si="5"/>
        <v>0.23779331402711956</v>
      </c>
      <c r="O12" s="37">
        <v>207567</v>
      </c>
      <c r="P12" s="22">
        <f>8682787/1000</f>
        <v>8682.7870000000003</v>
      </c>
      <c r="Q12" s="111">
        <f t="shared" si="6"/>
        <v>198884.21299999999</v>
      </c>
      <c r="R12" s="111">
        <f t="shared" si="7"/>
        <v>216249.78700000001</v>
      </c>
      <c r="S12" s="112">
        <f t="shared" si="8"/>
        <v>0.95984834426680843</v>
      </c>
      <c r="T12" s="113">
        <f t="shared" si="26"/>
        <v>4.0151655733191544E-2</v>
      </c>
      <c r="U12" s="45"/>
      <c r="V12" s="50">
        <v>2018</v>
      </c>
      <c r="W12" s="144">
        <v>42612000000</v>
      </c>
      <c r="X12" s="147">
        <v>0.39900000000000002</v>
      </c>
      <c r="Y12" s="141">
        <v>81800269</v>
      </c>
      <c r="Z12" s="145">
        <v>180720677.09214991</v>
      </c>
      <c r="AA12" s="149">
        <v>132560.87591436092</v>
      </c>
      <c r="AB12" s="13">
        <v>52283.497507253363</v>
      </c>
      <c r="AC12" s="13">
        <v>93145.820401099321</v>
      </c>
      <c r="AE12" s="45"/>
      <c r="AF12" s="56">
        <v>1397</v>
      </c>
      <c r="AG12" s="50">
        <v>2018</v>
      </c>
      <c r="AH12" s="56" t="s">
        <v>30</v>
      </c>
      <c r="AI12" s="58">
        <v>42108</v>
      </c>
      <c r="AJ12" s="58">
        <v>5676</v>
      </c>
      <c r="AK12" s="58">
        <f t="shared" si="16"/>
        <v>47784</v>
      </c>
      <c r="AL12" s="45"/>
      <c r="AM12" s="56" t="s">
        <v>33</v>
      </c>
      <c r="AN12" s="59">
        <v>21810</v>
      </c>
      <c r="AO12" s="136">
        <f t="shared" si="9"/>
        <v>0.88171086675291077</v>
      </c>
      <c r="AP12" s="59">
        <v>2926</v>
      </c>
      <c r="AQ12" s="136">
        <f t="shared" si="10"/>
        <v>0.11828913324708926</v>
      </c>
      <c r="AR12" s="59">
        <f t="shared" si="17"/>
        <v>24736</v>
      </c>
      <c r="AS12" s="45"/>
      <c r="AT12" s="50">
        <v>2018</v>
      </c>
      <c r="AU12" s="56" t="s">
        <v>30</v>
      </c>
      <c r="AV12" s="61">
        <v>6860</v>
      </c>
      <c r="AW12" s="61">
        <v>1136</v>
      </c>
      <c r="AX12" s="61">
        <f>AV12+AW12</f>
        <v>7996</v>
      </c>
      <c r="AY12" s="62"/>
      <c r="AZ12" s="59" t="s">
        <v>33</v>
      </c>
      <c r="BA12" s="59">
        <v>4903</v>
      </c>
      <c r="BB12" s="136">
        <f t="shared" si="18"/>
        <v>0.86108184053389536</v>
      </c>
      <c r="BC12" s="59">
        <v>791</v>
      </c>
      <c r="BD12" s="136">
        <f t="shared" si="19"/>
        <v>0.13891815946610467</v>
      </c>
      <c r="BE12" s="59">
        <f t="shared" si="20"/>
        <v>5694</v>
      </c>
      <c r="BF12" s="84"/>
      <c r="BG12" s="50">
        <v>2018</v>
      </c>
      <c r="BH12" s="87">
        <f>AI12/AK12</f>
        <v>0.88121546961325969</v>
      </c>
      <c r="BI12" s="87">
        <f>AJ12/AK12</f>
        <v>0.11878453038674033</v>
      </c>
      <c r="BJ12" s="87">
        <f>AN12/AR12</f>
        <v>0.88171086675291077</v>
      </c>
      <c r="BK12" s="87">
        <f>AP12/AR12</f>
        <v>0.11828913324708926</v>
      </c>
      <c r="BL12" s="87"/>
      <c r="BM12" s="88"/>
      <c r="BN12" s="87">
        <f>AV12/AX12</f>
        <v>0.8579289644822411</v>
      </c>
      <c r="BO12" s="87">
        <f>AW12/AX12</f>
        <v>0.14207103551775888</v>
      </c>
      <c r="BP12" s="87">
        <f t="shared" si="21"/>
        <v>0.86108184053389536</v>
      </c>
      <c r="BQ12" s="87">
        <f t="shared" si="22"/>
        <v>0.13891815946610467</v>
      </c>
      <c r="BR12" s="2"/>
      <c r="BS12" s="89"/>
      <c r="BT12" s="87">
        <f>(AI12-AI11)/AI11</f>
        <v>0.1534226312761936</v>
      </c>
      <c r="BU12" s="87">
        <f>(AJ12-AJ11)/AJ11</f>
        <v>0.19772103819371176</v>
      </c>
      <c r="BV12" s="87">
        <f>(AK12-AK11)/AK11</f>
        <v>0.15851234059060273</v>
      </c>
      <c r="BW12" s="88"/>
      <c r="BX12" s="87">
        <f>(AN12-AN11)/AN11</f>
        <v>3.8274778634675807E-2</v>
      </c>
      <c r="BY12" s="87">
        <f>(AP12-AP11)/AP11</f>
        <v>8.0502215657311665E-2</v>
      </c>
      <c r="BZ12" s="87">
        <f>(AR12-AR11)/AR11</f>
        <v>4.3096904781985322E-2</v>
      </c>
      <c r="CA12" s="88"/>
      <c r="CB12" s="87">
        <f>(AV12-AV11)/AV11</f>
        <v>-6.2969539680371528E-2</v>
      </c>
      <c r="CC12" s="87">
        <f>(AW12-AW11)/AW11</f>
        <v>-7.5671277461350689E-2</v>
      </c>
      <c r="CD12" s="87">
        <f t="shared" si="27"/>
        <v>-6.4795321637426906E-2</v>
      </c>
      <c r="CE12" s="88"/>
      <c r="CF12" s="87">
        <f t="shared" si="28"/>
        <v>2.4446301713330548E-2</v>
      </c>
      <c r="CG12" s="87">
        <f t="shared" si="29"/>
        <v>2.9947916666666668E-2</v>
      </c>
      <c r="CH12" s="87">
        <f t="shared" si="30"/>
        <v>2.5207057976233346E-2</v>
      </c>
      <c r="CI12" s="108"/>
      <c r="CJ12" s="135"/>
      <c r="CK12" s="135"/>
      <c r="CL12" s="50">
        <v>2018</v>
      </c>
      <c r="CM12" s="108"/>
      <c r="CN12" s="2"/>
      <c r="CO12" s="2"/>
      <c r="CP12" s="2"/>
      <c r="CQ12" s="153">
        <f t="shared" si="11"/>
        <v>8.616065653298836E-3</v>
      </c>
      <c r="CR12" s="154"/>
      <c r="CS12" s="153"/>
      <c r="CT12" s="153"/>
      <c r="CU12" s="153"/>
      <c r="CV12" s="153">
        <f t="shared" si="12"/>
        <v>0.58102761157826655</v>
      </c>
      <c r="CW12" s="154"/>
      <c r="CX12" s="153"/>
      <c r="CY12" s="153"/>
      <c r="CZ12" s="153"/>
      <c r="DA12" s="153">
        <f t="shared" si="13"/>
        <v>0.35101823253557568</v>
      </c>
      <c r="DB12" s="134"/>
      <c r="DF12" s="153">
        <f t="shared" si="23"/>
        <v>3.7430101861608715E-2</v>
      </c>
      <c r="DG12" s="153"/>
      <c r="DH12" s="153"/>
      <c r="DI12" s="153"/>
      <c r="DJ12" s="153"/>
      <c r="DK12" s="153">
        <f t="shared" si="24"/>
        <v>2.5241129258868988</v>
      </c>
      <c r="DL12" s="153"/>
      <c r="DM12" s="153"/>
      <c r="DN12" s="153"/>
      <c r="DO12" s="153"/>
      <c r="DP12" s="153">
        <f t="shared" si="25"/>
        <v>1.5249011239901651</v>
      </c>
    </row>
    <row r="13" spans="1:122" ht="18.75" x14ac:dyDescent="0.3">
      <c r="A13" s="34">
        <v>1398</v>
      </c>
      <c r="B13" s="34">
        <v>2019</v>
      </c>
      <c r="C13" s="35">
        <v>5684</v>
      </c>
      <c r="D13" s="47"/>
      <c r="I13" s="3">
        <v>38809</v>
      </c>
      <c r="J13" s="47"/>
      <c r="O13" s="37">
        <v>473983</v>
      </c>
      <c r="P13" s="46"/>
      <c r="Q13" s="8"/>
      <c r="R13" s="8"/>
      <c r="S13" s="8"/>
      <c r="T13" s="8"/>
      <c r="U13" s="45"/>
      <c r="V13" s="34">
        <v>2019</v>
      </c>
      <c r="Y13" s="141">
        <v>82913906</v>
      </c>
      <c r="Z13" s="145">
        <v>225330115.3126232</v>
      </c>
      <c r="AE13" s="45"/>
      <c r="AF13" s="56">
        <v>1398</v>
      </c>
      <c r="AG13" s="34">
        <v>2019</v>
      </c>
      <c r="AH13" s="56" t="s">
        <v>30</v>
      </c>
      <c r="AI13" s="58">
        <v>36007</v>
      </c>
      <c r="AJ13" s="58">
        <v>4588</v>
      </c>
      <c r="AK13" s="58">
        <f t="shared" si="16"/>
        <v>40595</v>
      </c>
      <c r="AL13" s="45"/>
      <c r="AM13" s="56" t="s">
        <v>33</v>
      </c>
      <c r="AN13" s="59">
        <v>23195</v>
      </c>
      <c r="AO13" s="136">
        <f t="shared" si="9"/>
        <v>0.88304716945216433</v>
      </c>
      <c r="AP13" s="59">
        <v>3072</v>
      </c>
      <c r="AQ13" s="136">
        <f t="shared" si="10"/>
        <v>0.11695283054783569</v>
      </c>
      <c r="AR13" s="59">
        <f t="shared" si="17"/>
        <v>26267</v>
      </c>
      <c r="AS13" s="45"/>
      <c r="AT13" s="34">
        <v>2019</v>
      </c>
      <c r="AU13" s="56" t="s">
        <v>30</v>
      </c>
      <c r="AV13" s="61">
        <v>7785</v>
      </c>
      <c r="AW13" s="61">
        <v>1441</v>
      </c>
      <c r="AX13" s="61">
        <f>AV13+AW13</f>
        <v>9226</v>
      </c>
      <c r="AY13" s="62"/>
      <c r="AZ13" s="59" t="s">
        <v>33</v>
      </c>
      <c r="BA13" s="59">
        <v>4808</v>
      </c>
      <c r="BB13" s="136">
        <f t="shared" si="18"/>
        <v>0.84737398660556928</v>
      </c>
      <c r="BC13" s="59">
        <v>866</v>
      </c>
      <c r="BD13" s="136">
        <f t="shared" si="19"/>
        <v>0.15262601339443074</v>
      </c>
      <c r="BE13" s="59">
        <f t="shared" si="20"/>
        <v>5674</v>
      </c>
      <c r="BF13" s="84"/>
      <c r="BG13" s="34">
        <v>2019</v>
      </c>
      <c r="BH13" s="87">
        <f>AI13/AK13</f>
        <v>0.8869811553146939</v>
      </c>
      <c r="BI13" s="87">
        <f>AJ13/AK13</f>
        <v>0.11301884468530607</v>
      </c>
      <c r="BJ13" s="87">
        <f>AN13/AR13</f>
        <v>0.88304716945216433</v>
      </c>
      <c r="BK13" s="87">
        <f>AP13/AR13</f>
        <v>0.11695283054783569</v>
      </c>
      <c r="BL13" s="87"/>
      <c r="BM13" s="88"/>
      <c r="BN13" s="87">
        <f>AV13/AX13</f>
        <v>0.84381096900065033</v>
      </c>
      <c r="BO13" s="87">
        <f>AW13/AX13</f>
        <v>0.15618903099934967</v>
      </c>
      <c r="BP13" s="87">
        <f t="shared" si="21"/>
        <v>0.84737398660556928</v>
      </c>
      <c r="BQ13" s="87">
        <f t="shared" si="22"/>
        <v>0.15262601339443074</v>
      </c>
      <c r="BR13" s="2"/>
      <c r="BS13" s="89"/>
      <c r="BT13" s="87">
        <f>(AI13-AI12)/AI12</f>
        <v>-0.14488933219340744</v>
      </c>
      <c r="BU13" s="87">
        <f>(AJ13-AJ12)/AJ12</f>
        <v>-0.19168428470754051</v>
      </c>
      <c r="BV13" s="87">
        <f>(AK13-AK12)/AK12</f>
        <v>-0.15044784865226854</v>
      </c>
      <c r="BW13" s="88"/>
      <c r="BX13" s="87">
        <f>(AN13-AN12)/AN12</f>
        <v>6.3502980284273272E-2</v>
      </c>
      <c r="BY13" s="87">
        <f>(AP13-AP12)/AP12</f>
        <v>4.9897470950102531E-2</v>
      </c>
      <c r="BZ13" s="87">
        <f>(AR13-AR12)/AR12</f>
        <v>6.1893596377749029E-2</v>
      </c>
      <c r="CA13" s="88"/>
      <c r="CB13" s="87">
        <f>(AV13-AV12)/AV12</f>
        <v>0.13483965014577259</v>
      </c>
      <c r="CC13" s="87">
        <f>(AW13-AW12)/AW12</f>
        <v>0.26848591549295775</v>
      </c>
      <c r="CD13" s="87">
        <f t="shared" si="27"/>
        <v>0.15382691345672836</v>
      </c>
      <c r="CE13" s="88"/>
      <c r="CF13" s="87">
        <f t="shared" si="28"/>
        <v>-1.9375892310830103E-2</v>
      </c>
      <c r="CG13" s="87">
        <f t="shared" si="29"/>
        <v>9.4816687737041716E-2</v>
      </c>
      <c r="CH13" s="87">
        <f t="shared" si="30"/>
        <v>-3.5124692658939235E-3</v>
      </c>
      <c r="CI13" s="108"/>
      <c r="CJ13" s="135"/>
      <c r="CK13" s="135"/>
      <c r="CL13" s="34">
        <v>2019</v>
      </c>
      <c r="CM13" s="108"/>
      <c r="CN13" s="2"/>
      <c r="CO13" s="2"/>
      <c r="CP13" s="2"/>
      <c r="CQ13">
        <f t="shared" si="11"/>
        <v>0</v>
      </c>
      <c r="CR13" s="131"/>
      <c r="CV13">
        <f t="shared" si="12"/>
        <v>0</v>
      </c>
      <c r="CW13" s="132"/>
      <c r="DA13">
        <f t="shared" si="13"/>
        <v>0</v>
      </c>
      <c r="DB13" s="134"/>
      <c r="DF13" s="153">
        <f t="shared" si="23"/>
        <v>0</v>
      </c>
      <c r="DG13" s="153"/>
      <c r="DH13" s="153"/>
      <c r="DI13" s="153"/>
      <c r="DJ13" s="153"/>
      <c r="DK13" s="153">
        <f t="shared" si="24"/>
        <v>0</v>
      </c>
      <c r="DL13" s="153"/>
      <c r="DM13" s="153"/>
      <c r="DN13" s="153"/>
      <c r="DO13" s="153"/>
      <c r="DP13" s="153">
        <f t="shared" si="25"/>
        <v>0</v>
      </c>
    </row>
    <row r="14" spans="1:122" ht="18.75" x14ac:dyDescent="0.3">
      <c r="D14" s="8"/>
      <c r="E14" s="8"/>
      <c r="F14" s="8"/>
      <c r="G14" s="8"/>
      <c r="H14" s="8"/>
      <c r="U14" s="45"/>
      <c r="AE14" s="45"/>
      <c r="AF14" s="56">
        <v>1399</v>
      </c>
      <c r="AG14" s="56">
        <v>2020</v>
      </c>
      <c r="AH14" s="56" t="s">
        <v>30</v>
      </c>
      <c r="AI14" s="58" t="s">
        <v>29</v>
      </c>
      <c r="AJ14" s="58" t="s">
        <v>29</v>
      </c>
      <c r="AK14" s="58"/>
      <c r="AL14" s="45"/>
      <c r="AM14" s="56" t="s">
        <v>33</v>
      </c>
      <c r="AN14" s="59">
        <v>13199</v>
      </c>
      <c r="AO14" s="136">
        <f t="shared" si="9"/>
        <v>0.88222712385535729</v>
      </c>
      <c r="AP14" s="59">
        <v>1762</v>
      </c>
      <c r="AQ14" s="136">
        <f t="shared" si="10"/>
        <v>0.11777287614464274</v>
      </c>
      <c r="AR14" s="59">
        <f t="shared" si="17"/>
        <v>14961</v>
      </c>
      <c r="AS14" s="45"/>
      <c r="AT14" s="56">
        <v>2020</v>
      </c>
      <c r="AU14" s="56" t="s">
        <v>30</v>
      </c>
      <c r="AV14" s="61">
        <v>6168</v>
      </c>
      <c r="AW14" s="61">
        <v>1394</v>
      </c>
      <c r="AX14" s="61">
        <f>AV14+AW14</f>
        <v>7562</v>
      </c>
      <c r="AY14" s="62"/>
      <c r="AZ14" s="59" t="s">
        <v>33</v>
      </c>
      <c r="BA14" s="59">
        <v>1694</v>
      </c>
      <c r="BB14" s="136">
        <f t="shared" si="18"/>
        <v>0.83448275862068966</v>
      </c>
      <c r="BC14" s="59">
        <v>336</v>
      </c>
      <c r="BD14" s="136">
        <f t="shared" si="19"/>
        <v>0.16551724137931034</v>
      </c>
      <c r="BE14" s="59">
        <f t="shared" si="20"/>
        <v>2030</v>
      </c>
      <c r="BF14" s="84"/>
      <c r="BG14" s="81">
        <v>2020</v>
      </c>
      <c r="BH14" s="87"/>
      <c r="BI14" s="87"/>
      <c r="BJ14" s="87"/>
      <c r="BK14" s="87"/>
      <c r="BL14" s="87"/>
      <c r="BM14" s="88"/>
      <c r="BN14" s="87">
        <f>AV14/AX14</f>
        <v>0.81565723353610153</v>
      </c>
      <c r="BO14" s="87">
        <f>AW14/AX14</f>
        <v>0.18434276646389844</v>
      </c>
      <c r="BP14" s="87">
        <f t="shared" si="21"/>
        <v>0.83448275862068966</v>
      </c>
      <c r="BQ14" s="87">
        <f t="shared" si="22"/>
        <v>0.16551724137931034</v>
      </c>
      <c r="BR14" s="2"/>
      <c r="BS14" s="89"/>
      <c r="BT14" s="87"/>
      <c r="BU14" s="87"/>
      <c r="BV14" s="87"/>
      <c r="BW14" s="88"/>
      <c r="BX14" s="87">
        <f>(AN14-AN13)/AN13</f>
        <v>-0.4309549471868937</v>
      </c>
      <c r="BY14" s="87">
        <f>(AP14-AP13)/AP13</f>
        <v>-0.42643229166666669</v>
      </c>
      <c r="BZ14" s="87">
        <f>(AR14-AR13)/AR13</f>
        <v>-0.43042600982221035</v>
      </c>
      <c r="CA14" s="88"/>
      <c r="CB14" s="87">
        <f>(AV14-AV13)/AV13</f>
        <v>-0.20770712909441233</v>
      </c>
      <c r="CC14" s="87">
        <f>(AW14-AW13)/AW13</f>
        <v>-3.2616238723108953E-2</v>
      </c>
      <c r="CD14" s="87">
        <f t="shared" si="27"/>
        <v>-0.1803598525905051</v>
      </c>
      <c r="CE14" s="88"/>
      <c r="CF14" s="87">
        <f t="shared" si="28"/>
        <v>-0.64767054908485855</v>
      </c>
      <c r="CG14" s="87">
        <f t="shared" si="29"/>
        <v>-0.61200923787528871</v>
      </c>
      <c r="CH14" s="87">
        <f t="shared" si="30"/>
        <v>-0.64222770532252382</v>
      </c>
      <c r="CI14" s="108"/>
      <c r="CJ14" s="135"/>
      <c r="CK14" s="135"/>
      <c r="CL14" s="110">
        <v>2020</v>
      </c>
      <c r="CM14" s="108"/>
      <c r="CN14" s="2"/>
      <c r="CO14" s="2"/>
      <c r="CP14" s="2"/>
      <c r="CQ14">
        <f t="shared" si="11"/>
        <v>0</v>
      </c>
      <c r="CR14" s="131"/>
      <c r="CV14">
        <f t="shared" si="12"/>
        <v>0</v>
      </c>
      <c r="CW14" s="132"/>
      <c r="DA14">
        <f t="shared" si="13"/>
        <v>0</v>
      </c>
      <c r="DB14" s="134"/>
      <c r="DF14" s="153">
        <f t="shared" si="23"/>
        <v>0</v>
      </c>
      <c r="DK14" s="153">
        <f t="shared" si="24"/>
        <v>0</v>
      </c>
      <c r="DP14" s="153">
        <f t="shared" si="25"/>
        <v>0</v>
      </c>
    </row>
    <row r="15" spans="1:122" x14ac:dyDescent="0.25">
      <c r="D15" s="8"/>
      <c r="E15" s="8"/>
      <c r="F15" s="8"/>
      <c r="G15" s="8"/>
      <c r="H15" s="8"/>
      <c r="U15" s="45"/>
      <c r="AE15" s="45"/>
    </row>
    <row r="16" spans="1:122" ht="18.75" x14ac:dyDescent="0.25">
      <c r="A16" s="127" t="s">
        <v>25</v>
      </c>
      <c r="B16" s="127"/>
      <c r="C16" s="7">
        <f>SUM(C4:C13)</f>
        <v>43388</v>
      </c>
      <c r="D16" s="7">
        <f>SUM(D3:D12)</f>
        <v>35573.876429999997</v>
      </c>
      <c r="E16" s="7" t="e">
        <f>SUM(#REF!)</f>
        <v>#REF!</v>
      </c>
      <c r="F16" s="7" t="e">
        <f>SUM(#REF!)</f>
        <v>#REF!</v>
      </c>
      <c r="G16" s="7" t="e">
        <f>C16/F16</f>
        <v>#REF!</v>
      </c>
      <c r="H16" s="7" t="e">
        <f>D16/F16</f>
        <v>#REF!</v>
      </c>
      <c r="I16" s="16">
        <f>SUM(I3:I12)</f>
        <v>363472</v>
      </c>
      <c r="J16" s="16">
        <f>SUM(J3:J12)</f>
        <v>98121.854546999995</v>
      </c>
      <c r="K16" s="16">
        <f>SUM(K3:K12)</f>
        <v>265350.14545299998</v>
      </c>
      <c r="L16" s="16">
        <f>SUM(L3:L12)</f>
        <v>461593.85454700002</v>
      </c>
      <c r="M16" s="16">
        <f>I16/L16</f>
        <v>0.78742816096783819</v>
      </c>
      <c r="N16" s="16">
        <f>J16/L16</f>
        <v>0.21257183903216179</v>
      </c>
      <c r="O16" s="16">
        <f>SUM(O3:O12)</f>
        <v>4187487</v>
      </c>
      <c r="P16" s="16">
        <f>SUM(P3:P12)</f>
        <v>90305.931011799999</v>
      </c>
      <c r="Q16" s="16">
        <f>SUM(Q3:Q12)</f>
        <v>4097181.0689881998</v>
      </c>
      <c r="R16" s="19">
        <f>SUM(R3:R12)</f>
        <v>4277792.9310117997</v>
      </c>
      <c r="S16" s="16">
        <f>O16/R16</f>
        <v>0.97888959740030235</v>
      </c>
      <c r="T16" s="16">
        <f>P16/R16</f>
        <v>2.1110402599697715E-2</v>
      </c>
      <c r="U16" s="45"/>
      <c r="V16" s="13"/>
      <c r="AE16" s="45"/>
    </row>
    <row r="19" spans="3:8" ht="18.75" x14ac:dyDescent="0.25">
      <c r="C19" s="94"/>
      <c r="D19" s="94"/>
      <c r="E19" s="94"/>
      <c r="F19" s="95"/>
      <c r="G19" s="95"/>
      <c r="H19" s="95"/>
    </row>
    <row r="20" spans="3:8" ht="18.75" x14ac:dyDescent="0.3">
      <c r="C20" s="96"/>
      <c r="D20" s="97"/>
      <c r="E20" s="98"/>
      <c r="F20" s="98"/>
      <c r="G20" s="99"/>
      <c r="H20" s="99"/>
    </row>
    <row r="21" spans="3:8" ht="18.75" x14ac:dyDescent="0.3">
      <c r="C21" s="100"/>
      <c r="D21" s="97"/>
      <c r="E21" s="98"/>
      <c r="F21" s="98"/>
      <c r="G21" s="99"/>
      <c r="H21" s="99"/>
    </row>
    <row r="22" spans="3:8" ht="18.75" x14ac:dyDescent="0.3">
      <c r="C22" s="100"/>
      <c r="D22" s="97"/>
      <c r="E22" s="98"/>
      <c r="F22" s="98"/>
      <c r="G22" s="99"/>
      <c r="H22" s="99"/>
    </row>
    <row r="23" spans="3:8" ht="18.75" x14ac:dyDescent="0.3">
      <c r="C23" s="100"/>
      <c r="D23" s="97"/>
      <c r="E23" s="98"/>
      <c r="F23" s="98"/>
      <c r="G23" s="99"/>
      <c r="H23" s="99"/>
    </row>
    <row r="24" spans="3:8" ht="18.75" x14ac:dyDescent="0.3">
      <c r="C24" s="100"/>
      <c r="D24" s="97"/>
      <c r="E24" s="98"/>
      <c r="F24" s="98"/>
      <c r="G24" s="99"/>
      <c r="H24" s="99"/>
    </row>
    <row r="25" spans="3:8" ht="18.75" x14ac:dyDescent="0.3">
      <c r="C25" s="100"/>
      <c r="D25" s="97"/>
      <c r="E25" s="98"/>
      <c r="F25" s="98"/>
      <c r="G25" s="99"/>
      <c r="H25" s="99"/>
    </row>
    <row r="26" spans="3:8" ht="18.75" x14ac:dyDescent="0.3">
      <c r="C26" s="100"/>
      <c r="D26" s="101"/>
      <c r="E26" s="98"/>
      <c r="F26" s="98"/>
      <c r="G26" s="99"/>
      <c r="H26" s="99"/>
    </row>
    <row r="27" spans="3:8" ht="18.75" x14ac:dyDescent="0.3">
      <c r="C27" s="100"/>
      <c r="D27" s="97"/>
      <c r="E27" s="98"/>
      <c r="F27" s="98"/>
      <c r="G27" s="99"/>
      <c r="H27" s="99"/>
    </row>
    <row r="28" spans="3:8" ht="18.75" x14ac:dyDescent="0.3">
      <c r="C28" s="100"/>
      <c r="D28" s="97"/>
      <c r="E28" s="98"/>
      <c r="F28" s="98"/>
      <c r="G28" s="99"/>
      <c r="H28" s="99"/>
    </row>
    <row r="29" spans="3:8" ht="18.75" x14ac:dyDescent="0.3">
      <c r="C29" s="100"/>
      <c r="D29" s="97"/>
      <c r="E29" s="98"/>
      <c r="F29" s="98"/>
      <c r="G29" s="99"/>
      <c r="H29" s="99"/>
    </row>
    <row r="30" spans="3:8" ht="18.75" x14ac:dyDescent="0.25">
      <c r="C30" s="100"/>
      <c r="D30" s="102"/>
      <c r="E30" s="102"/>
      <c r="F30" s="102"/>
      <c r="G30" s="102"/>
      <c r="H30" s="102"/>
    </row>
    <row r="31" spans="3:8" x14ac:dyDescent="0.25">
      <c r="C31" s="103"/>
      <c r="D31" s="103"/>
      <c r="E31" s="103"/>
      <c r="F31" s="103"/>
      <c r="G31" s="103"/>
      <c r="H31" s="103"/>
    </row>
  </sheetData>
  <mergeCells count="1">
    <mergeCell ref="A16:B16"/>
  </mergeCells>
  <printOptions gridLines="1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CB9E-DDB4-4649-805A-FAC8B5183C1D}">
  <dimension ref="A1:J22"/>
  <sheetViews>
    <sheetView workbookViewId="0">
      <selection activeCell="A11" sqref="A11:H21"/>
    </sheetView>
  </sheetViews>
  <sheetFormatPr defaultRowHeight="15" x14ac:dyDescent="0.25"/>
  <cols>
    <col min="1" max="1" width="23" customWidth="1"/>
    <col min="3" max="3" width="12.28515625" customWidth="1"/>
    <col min="10" max="10" width="45.42578125" customWidth="1"/>
  </cols>
  <sheetData>
    <row r="1" spans="1:10" ht="18.75" x14ac:dyDescent="0.3">
      <c r="A1" s="130" t="s">
        <v>36</v>
      </c>
      <c r="B1" s="130"/>
      <c r="C1" s="130"/>
      <c r="D1" s="130"/>
      <c r="E1" s="130"/>
      <c r="F1" s="130"/>
      <c r="G1" s="130"/>
      <c r="H1" s="130"/>
      <c r="I1" s="130"/>
      <c r="J1" s="130"/>
    </row>
    <row r="2" spans="1:10" ht="18.75" x14ac:dyDescent="0.3">
      <c r="A2" s="130" t="s">
        <v>37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 ht="18.75" x14ac:dyDescent="0.3">
      <c r="A3" s="130" t="s">
        <v>101</v>
      </c>
      <c r="B3" s="130"/>
      <c r="C3" s="130"/>
      <c r="D3" s="130"/>
      <c r="E3" s="130"/>
      <c r="F3" s="130"/>
      <c r="G3" s="130"/>
      <c r="H3" s="130"/>
      <c r="I3" s="130"/>
      <c r="J3" s="130"/>
    </row>
    <row r="4" spans="1:10" ht="18.75" x14ac:dyDescent="0.3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0" ht="18.75" x14ac:dyDescent="0.3">
      <c r="A5" s="2" t="s">
        <v>38</v>
      </c>
      <c r="B5" s="2" t="s">
        <v>39</v>
      </c>
      <c r="C5" s="2" t="s">
        <v>40</v>
      </c>
      <c r="D5" s="2" t="s">
        <v>41</v>
      </c>
      <c r="E5" s="2" t="s">
        <v>41</v>
      </c>
      <c r="F5" s="2" t="s">
        <v>42</v>
      </c>
      <c r="G5" s="2" t="s">
        <v>42</v>
      </c>
      <c r="H5" s="2" t="s">
        <v>43</v>
      </c>
      <c r="I5" s="2" t="s">
        <v>43</v>
      </c>
    </row>
    <row r="6" spans="1:10" ht="18.75" x14ac:dyDescent="0.3">
      <c r="A6" s="2" t="s">
        <v>44</v>
      </c>
      <c r="B6" s="2" t="s">
        <v>45</v>
      </c>
      <c r="C6" s="2" t="s">
        <v>46</v>
      </c>
      <c r="D6" s="2" t="s">
        <v>45</v>
      </c>
      <c r="E6" s="2" t="s">
        <v>46</v>
      </c>
      <c r="F6" s="2" t="s">
        <v>45</v>
      </c>
      <c r="G6" s="2" t="s">
        <v>46</v>
      </c>
      <c r="H6" s="2" t="s">
        <v>45</v>
      </c>
      <c r="I6" s="56" t="s">
        <v>46</v>
      </c>
    </row>
    <row r="7" spans="1:10" ht="18.75" x14ac:dyDescent="0.3">
      <c r="A7" s="2" t="s">
        <v>47</v>
      </c>
      <c r="B7" s="2" t="s">
        <v>48</v>
      </c>
      <c r="C7" s="2" t="s">
        <v>48</v>
      </c>
      <c r="D7" s="2" t="s">
        <v>48</v>
      </c>
      <c r="E7" s="2" t="s">
        <v>48</v>
      </c>
      <c r="F7" s="2" t="s">
        <v>48</v>
      </c>
      <c r="G7" s="2" t="s">
        <v>48</v>
      </c>
      <c r="H7" s="2" t="s">
        <v>48</v>
      </c>
      <c r="I7" s="2" t="s">
        <v>48</v>
      </c>
    </row>
    <row r="8" spans="1:10" ht="18.75" x14ac:dyDescent="0.25">
      <c r="B8" s="63">
        <v>370</v>
      </c>
      <c r="C8" s="114">
        <v>275</v>
      </c>
      <c r="D8" s="63">
        <v>650</v>
      </c>
      <c r="E8" s="114">
        <v>650</v>
      </c>
      <c r="F8" s="64">
        <v>2474</v>
      </c>
      <c r="G8" s="115">
        <v>2474</v>
      </c>
      <c r="H8" s="64">
        <v>1454</v>
      </c>
      <c r="I8" s="115">
        <v>1549</v>
      </c>
    </row>
    <row r="9" spans="1:10" ht="18.75" x14ac:dyDescent="0.3">
      <c r="A9" s="2"/>
      <c r="B9" s="65"/>
      <c r="C9" s="65"/>
      <c r="D9" s="65"/>
      <c r="E9" s="66"/>
      <c r="F9" s="66"/>
      <c r="G9" s="67"/>
      <c r="H9" s="67"/>
      <c r="I9" s="67"/>
      <c r="J9" s="67"/>
    </row>
    <row r="10" spans="1:10" ht="18.75" x14ac:dyDescent="0.3">
      <c r="A10" s="2"/>
      <c r="B10" s="66"/>
      <c r="C10" s="66"/>
      <c r="D10" s="66"/>
      <c r="E10" s="66"/>
      <c r="F10" s="66"/>
      <c r="G10" s="67"/>
      <c r="H10" s="67"/>
      <c r="I10" s="67"/>
      <c r="J10" s="67"/>
    </row>
    <row r="11" spans="1:10" ht="18.75" x14ac:dyDescent="0.3">
      <c r="A11" s="2" t="s">
        <v>49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 ht="18.75" x14ac:dyDescent="0.3">
      <c r="A12" s="2" t="s">
        <v>50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ht="18.75" x14ac:dyDescent="0.3">
      <c r="A13" s="2"/>
      <c r="B13" s="2" t="s">
        <v>51</v>
      </c>
      <c r="C13" s="2"/>
      <c r="D13" s="2"/>
      <c r="E13" s="2"/>
      <c r="F13" s="2"/>
      <c r="G13" s="2"/>
      <c r="H13" s="2"/>
      <c r="I13" s="2"/>
      <c r="J13" s="2"/>
    </row>
    <row r="14" spans="1:10" ht="18.75" x14ac:dyDescent="0.3">
      <c r="A14" s="68" t="s">
        <v>52</v>
      </c>
      <c r="B14" s="69"/>
      <c r="C14" s="70" t="s">
        <v>53</v>
      </c>
      <c r="D14" s="66" t="s">
        <v>42</v>
      </c>
      <c r="E14" s="2"/>
      <c r="F14" s="2"/>
      <c r="G14" s="2"/>
      <c r="H14" s="2"/>
      <c r="I14" s="2"/>
      <c r="J14" s="2"/>
    </row>
    <row r="15" spans="1:10" ht="18.75" x14ac:dyDescent="0.3">
      <c r="A15" s="2" t="s">
        <v>54</v>
      </c>
      <c r="B15" s="71">
        <v>650</v>
      </c>
      <c r="C15" s="72">
        <f>B15/$B$19</f>
        <v>0.25252525252525254</v>
      </c>
      <c r="D15" s="73"/>
      <c r="E15" s="2"/>
      <c r="F15" s="2"/>
      <c r="G15" s="2"/>
      <c r="H15" s="2"/>
      <c r="I15" s="2"/>
      <c r="J15" s="2"/>
    </row>
    <row r="16" spans="1:10" ht="18.75" x14ac:dyDescent="0.3">
      <c r="A16" s="2" t="s">
        <v>40</v>
      </c>
      <c r="B16" s="74">
        <v>275</v>
      </c>
      <c r="C16" s="72">
        <f t="shared" ref="C16:C18" si="0">B16/$B$19</f>
        <v>0.10683760683760683</v>
      </c>
      <c r="D16" s="73"/>
      <c r="E16" s="65"/>
      <c r="F16" s="65"/>
      <c r="G16" s="65"/>
      <c r="H16" s="65"/>
      <c r="I16" s="65"/>
      <c r="J16" s="2"/>
    </row>
    <row r="17" spans="1:10" ht="18.75" x14ac:dyDescent="0.3">
      <c r="A17" s="2" t="s">
        <v>43</v>
      </c>
      <c r="B17" s="75">
        <v>1549</v>
      </c>
      <c r="C17" s="72">
        <f t="shared" si="0"/>
        <v>0.60178710178710182</v>
      </c>
      <c r="D17" s="73"/>
      <c r="E17" s="2"/>
      <c r="F17" s="2"/>
      <c r="G17" s="2"/>
      <c r="H17" s="2"/>
      <c r="I17" s="2"/>
      <c r="J17" s="2"/>
    </row>
    <row r="18" spans="1:10" ht="18.75" x14ac:dyDescent="0.3">
      <c r="A18" s="2" t="s">
        <v>55</v>
      </c>
      <c r="B18" s="76">
        <v>100</v>
      </c>
      <c r="C18" s="72">
        <f t="shared" si="0"/>
        <v>3.8850038850038848E-2</v>
      </c>
      <c r="D18" s="73"/>
      <c r="E18" s="77"/>
      <c r="F18" s="77"/>
      <c r="G18" s="77"/>
      <c r="H18" s="77"/>
      <c r="I18" s="2"/>
      <c r="J18" s="2"/>
    </row>
    <row r="19" spans="1:10" ht="18.75" x14ac:dyDescent="0.3">
      <c r="A19" s="2" t="s">
        <v>56</v>
      </c>
      <c r="B19" s="71">
        <f>SUM(B15:B18)</f>
        <v>2574</v>
      </c>
      <c r="C19" s="78">
        <f>SUM(C15:C18)</f>
        <v>1</v>
      </c>
      <c r="D19" s="64">
        <v>2474</v>
      </c>
      <c r="E19" s="2" t="s">
        <v>55</v>
      </c>
      <c r="F19" s="79">
        <f>B19-D19</f>
        <v>100</v>
      </c>
      <c r="G19" s="2"/>
      <c r="H19" s="2"/>
      <c r="I19" s="2"/>
      <c r="J19" s="2"/>
    </row>
    <row r="21" spans="1:10" ht="18.75" x14ac:dyDescent="0.3">
      <c r="A21" s="2" t="s">
        <v>57</v>
      </c>
    </row>
    <row r="22" spans="1:10" ht="18.75" x14ac:dyDescent="0.25">
      <c r="A22" s="80"/>
      <c r="B22" s="80"/>
      <c r="C22" s="80"/>
      <c r="D22" s="80"/>
      <c r="E22" s="80"/>
      <c r="F22" s="80"/>
    </row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1815-59BC-4AB1-92CB-08561C2AF083}">
  <dimension ref="A1:J11"/>
  <sheetViews>
    <sheetView workbookViewId="0">
      <selection activeCell="C17" sqref="C17"/>
    </sheetView>
  </sheetViews>
  <sheetFormatPr defaultRowHeight="15" x14ac:dyDescent="0.25"/>
  <cols>
    <col min="1" max="1" width="29.7109375" customWidth="1"/>
    <col min="2" max="2" width="14.5703125" customWidth="1"/>
    <col min="3" max="3" width="14" customWidth="1"/>
  </cols>
  <sheetData>
    <row r="1" spans="1:10" ht="18.75" x14ac:dyDescent="0.3">
      <c r="A1" s="2" t="s">
        <v>102</v>
      </c>
      <c r="B1" s="2"/>
      <c r="C1" s="2"/>
      <c r="D1" s="2"/>
      <c r="E1" s="2"/>
      <c r="F1" s="2"/>
      <c r="G1" s="2"/>
      <c r="H1" s="2"/>
    </row>
    <row r="2" spans="1:10" ht="18.75" x14ac:dyDescent="0.3">
      <c r="A2" s="2" t="s">
        <v>50</v>
      </c>
      <c r="B2" s="2"/>
      <c r="C2" s="2"/>
      <c r="D2" s="2"/>
      <c r="E2" s="2"/>
      <c r="F2" s="2"/>
      <c r="G2" s="2"/>
      <c r="H2" s="2"/>
    </row>
    <row r="3" spans="1:10" ht="18.75" x14ac:dyDescent="0.3">
      <c r="A3" s="2"/>
      <c r="B3" s="2" t="s">
        <v>51</v>
      </c>
      <c r="C3" s="2"/>
      <c r="D3" s="2"/>
      <c r="E3" s="2"/>
      <c r="F3" s="2"/>
      <c r="G3" s="2"/>
      <c r="H3" s="2"/>
    </row>
    <row r="4" spans="1:10" ht="18.75" x14ac:dyDescent="0.3">
      <c r="A4" s="68" t="s">
        <v>107</v>
      </c>
      <c r="B4" s="69" t="s">
        <v>108</v>
      </c>
      <c r="C4" s="70" t="s">
        <v>53</v>
      </c>
      <c r="D4" s="117"/>
      <c r="E4" s="2"/>
      <c r="F4" s="2"/>
      <c r="G4" s="2"/>
      <c r="H4" s="2"/>
    </row>
    <row r="5" spans="1:10" ht="18.75" x14ac:dyDescent="0.3">
      <c r="A5" s="2" t="s">
        <v>54</v>
      </c>
      <c r="B5" s="71">
        <v>650</v>
      </c>
      <c r="C5" s="72">
        <f>B5/B8</f>
        <v>0.26273241713823769</v>
      </c>
      <c r="D5" s="118"/>
      <c r="E5" s="2"/>
      <c r="F5" s="2"/>
      <c r="G5" s="2"/>
      <c r="H5" s="2"/>
    </row>
    <row r="6" spans="1:10" ht="18.75" x14ac:dyDescent="0.3">
      <c r="A6" s="2" t="s">
        <v>40</v>
      </c>
      <c r="B6" s="74">
        <v>275</v>
      </c>
      <c r="C6" s="72">
        <f>B6/B8</f>
        <v>0.11115602263540825</v>
      </c>
      <c r="D6" s="118"/>
      <c r="E6" s="65"/>
      <c r="F6" s="65"/>
      <c r="G6" s="65"/>
      <c r="H6" s="65"/>
      <c r="J6" t="s">
        <v>105</v>
      </c>
    </row>
    <row r="7" spans="1:10" ht="18.75" x14ac:dyDescent="0.3">
      <c r="A7" s="2" t="s">
        <v>43</v>
      </c>
      <c r="B7" s="116">
        <v>1549</v>
      </c>
      <c r="C7" s="121">
        <f>B7/B8</f>
        <v>0.62611156022635406</v>
      </c>
      <c r="D7" s="118"/>
      <c r="E7" s="2"/>
      <c r="F7" s="2"/>
      <c r="G7" s="2"/>
      <c r="H7" s="2"/>
    </row>
    <row r="8" spans="1:10" ht="19.5" thickBot="1" x14ac:dyDescent="0.35">
      <c r="A8" s="2" t="s">
        <v>103</v>
      </c>
      <c r="B8" s="122">
        <f>SUM(B5:B7)</f>
        <v>2474</v>
      </c>
      <c r="C8" s="123">
        <f>B8/B8</f>
        <v>1</v>
      </c>
      <c r="D8" s="119"/>
      <c r="E8" s="2"/>
      <c r="F8" s="79"/>
      <c r="G8" s="2"/>
      <c r="H8" s="2"/>
    </row>
    <row r="9" spans="1:10" ht="19.5" thickTop="1" x14ac:dyDescent="0.3">
      <c r="A9" s="2"/>
      <c r="B9" s="120"/>
      <c r="C9" s="72"/>
      <c r="D9" s="119"/>
      <c r="E9" s="2"/>
      <c r="F9" s="79"/>
      <c r="G9" s="2"/>
      <c r="H9" s="2"/>
    </row>
    <row r="10" spans="1:10" ht="18.75" x14ac:dyDescent="0.3">
      <c r="A10" s="2" t="s">
        <v>104</v>
      </c>
    </row>
    <row r="11" spans="1:10" ht="18.75" x14ac:dyDescent="0.3">
      <c r="A11" s="2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English Hygiene</vt:lpstr>
      <vt:lpstr>Master</vt:lpstr>
      <vt:lpstr>Smuggle</vt:lpstr>
      <vt:lpstr>Smuggle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ghazaleh</dc:creator>
  <cp:lastModifiedBy>Safavi</cp:lastModifiedBy>
  <dcterms:created xsi:type="dcterms:W3CDTF">2020-04-28T05:21:55Z</dcterms:created>
  <dcterms:modified xsi:type="dcterms:W3CDTF">2020-11-20T01:43:48Z</dcterms:modified>
</cp:coreProperties>
</file>