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favi\Documents\00000000 Hygiene Aug2020\M2_Aug20\M2 Jon_David\"/>
    </mc:Choice>
  </mc:AlternateContent>
  <xr:revisionPtr revIDLastSave="0" documentId="13_ncr:1_{32A0485F-35D1-4304-9A52-3629F1B697F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Master" sheetId="3" r:id="rId1"/>
    <sheet name="Smugg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" l="1"/>
  <c r="R11" i="3"/>
  <c r="T11" i="3" s="1"/>
  <c r="P11" i="3"/>
  <c r="Q11" i="3" s="1"/>
  <c r="P10" i="3"/>
  <c r="T9" i="3"/>
  <c r="R9" i="3"/>
  <c r="S9" i="3" s="1"/>
  <c r="Q9" i="3"/>
  <c r="P9" i="3"/>
  <c r="R8" i="3"/>
  <c r="S8" i="3" s="1"/>
  <c r="Q8" i="3"/>
  <c r="P8" i="3"/>
  <c r="P7" i="3"/>
  <c r="P6" i="3"/>
  <c r="R6" i="3" s="1"/>
  <c r="P5" i="3"/>
  <c r="R5" i="3" s="1"/>
  <c r="S5" i="3" s="1"/>
  <c r="P4" i="3"/>
  <c r="R3" i="3"/>
  <c r="T3" i="3" s="1"/>
  <c r="P3" i="3"/>
  <c r="Q3" i="3" s="1"/>
  <c r="D12" i="3"/>
  <c r="F12" i="3" s="1"/>
  <c r="F11" i="3"/>
  <c r="H11" i="3" s="1"/>
  <c r="E11" i="3"/>
  <c r="D11" i="3"/>
  <c r="D10" i="3"/>
  <c r="D9" i="3"/>
  <c r="F9" i="3" s="1"/>
  <c r="D8" i="3"/>
  <c r="E7" i="3"/>
  <c r="D7" i="3"/>
  <c r="F6" i="3"/>
  <c r="H6" i="3" s="1"/>
  <c r="E6" i="3"/>
  <c r="D6" i="3"/>
  <c r="D5" i="3"/>
  <c r="E5" i="3" s="1"/>
  <c r="D4" i="3"/>
  <c r="F4" i="3" s="1"/>
  <c r="F3" i="3"/>
  <c r="G3" i="3" s="1"/>
  <c r="E3" i="3"/>
  <c r="D3" i="3"/>
  <c r="S6" i="3" l="1"/>
  <c r="T6" i="3"/>
  <c r="T7" i="3"/>
  <c r="T10" i="3"/>
  <c r="T12" i="3"/>
  <c r="S3" i="3"/>
  <c r="Q10" i="3"/>
  <c r="Q7" i="3"/>
  <c r="T8" i="3"/>
  <c r="R10" i="3"/>
  <c r="S10" i="3" s="1"/>
  <c r="Q4" i="3"/>
  <c r="T5" i="3"/>
  <c r="R7" i="3"/>
  <c r="S7" i="3" s="1"/>
  <c r="Q12" i="3"/>
  <c r="R4" i="3"/>
  <c r="S4" i="3" s="1"/>
  <c r="R12" i="3"/>
  <c r="S12" i="3" s="1"/>
  <c r="Q6" i="3"/>
  <c r="Q5" i="3"/>
  <c r="S11" i="3"/>
  <c r="G4" i="3"/>
  <c r="H4" i="3"/>
  <c r="H9" i="3"/>
  <c r="G9" i="3"/>
  <c r="H7" i="3"/>
  <c r="G12" i="3"/>
  <c r="H12" i="3"/>
  <c r="G6" i="3"/>
  <c r="G11" i="3"/>
  <c r="F8" i="3"/>
  <c r="G8" i="3" s="1"/>
  <c r="H3" i="3"/>
  <c r="F5" i="3"/>
  <c r="G5" i="3" s="1"/>
  <c r="E10" i="3"/>
  <c r="F10" i="3"/>
  <c r="G10" i="3" s="1"/>
  <c r="E4" i="3"/>
  <c r="F7" i="3"/>
  <c r="G7" i="3" s="1"/>
  <c r="E12" i="3"/>
  <c r="E8" i="3"/>
  <c r="E9" i="3"/>
  <c r="T4" i="3" l="1"/>
  <c r="H10" i="3"/>
  <c r="H8" i="3"/>
  <c r="H5" i="3"/>
  <c r="BS6" i="3" l="1"/>
  <c r="BS7" i="3"/>
  <c r="BS8" i="3"/>
  <c r="BS9" i="3"/>
  <c r="BS10" i="3"/>
  <c r="BS11" i="3"/>
  <c r="BS12" i="3"/>
  <c r="BS13" i="3"/>
  <c r="BS14" i="3"/>
  <c r="BS5" i="3"/>
  <c r="BR6" i="3"/>
  <c r="BR7" i="3"/>
  <c r="BR8" i="3"/>
  <c r="BR9" i="3"/>
  <c r="BR10" i="3"/>
  <c r="BR11" i="3"/>
  <c r="BR12" i="3"/>
  <c r="BR13" i="3"/>
  <c r="BR14" i="3"/>
  <c r="BR5" i="3"/>
  <c r="BO6" i="3"/>
  <c r="BO7" i="3"/>
  <c r="BO8" i="3"/>
  <c r="BO9" i="3"/>
  <c r="BO10" i="3"/>
  <c r="BO11" i="3"/>
  <c r="BO12" i="3"/>
  <c r="BO13" i="3"/>
  <c r="BO14" i="3"/>
  <c r="BO5" i="3"/>
  <c r="BN6" i="3"/>
  <c r="BN7" i="3"/>
  <c r="BN8" i="3"/>
  <c r="BN9" i="3"/>
  <c r="BN10" i="3"/>
  <c r="BN11" i="3"/>
  <c r="BN12" i="3"/>
  <c r="BN13" i="3"/>
  <c r="BN14" i="3"/>
  <c r="BK6" i="3"/>
  <c r="BK7" i="3"/>
  <c r="BK8" i="3"/>
  <c r="BK9" i="3"/>
  <c r="BK10" i="3"/>
  <c r="BK11" i="3"/>
  <c r="BK12" i="3"/>
  <c r="BK13" i="3"/>
  <c r="BK14" i="3"/>
  <c r="BK5" i="3"/>
  <c r="BJ6" i="3"/>
  <c r="BJ7" i="3"/>
  <c r="BJ8" i="3"/>
  <c r="BJ9" i="3"/>
  <c r="BJ10" i="3"/>
  <c r="BJ11" i="3"/>
  <c r="BJ12" i="3"/>
  <c r="BJ13" i="3"/>
  <c r="BJ14" i="3"/>
  <c r="BJ5" i="3"/>
  <c r="BN5" i="3"/>
  <c r="BG6" i="3"/>
  <c r="BG7" i="3"/>
  <c r="BG8" i="3"/>
  <c r="BG9" i="3"/>
  <c r="BG10" i="3"/>
  <c r="BG11" i="3"/>
  <c r="BG12" i="3"/>
  <c r="BG13" i="3"/>
  <c r="BG5" i="3"/>
  <c r="BF6" i="3"/>
  <c r="BF7" i="3"/>
  <c r="BF8" i="3"/>
  <c r="BF9" i="3"/>
  <c r="BF10" i="3"/>
  <c r="BF11" i="3"/>
  <c r="BF12" i="3"/>
  <c r="BF13" i="3"/>
  <c r="BF5" i="3"/>
  <c r="AF5" i="3"/>
  <c r="AV5" i="3" s="1"/>
  <c r="AF6" i="3"/>
  <c r="AW6" i="3" s="1"/>
  <c r="AF7" i="3"/>
  <c r="AW7" i="3" s="1"/>
  <c r="AF8" i="3"/>
  <c r="AW8" i="3" s="1"/>
  <c r="AF9" i="3"/>
  <c r="AW9" i="3" s="1"/>
  <c r="AF10" i="3"/>
  <c r="AW10" i="3" s="1"/>
  <c r="AF11" i="3"/>
  <c r="AW11" i="3" s="1"/>
  <c r="AF12" i="3"/>
  <c r="AW12" i="3" s="1"/>
  <c r="AF13" i="3"/>
  <c r="AV13" i="3" s="1"/>
  <c r="AF14" i="3"/>
  <c r="AF4" i="3"/>
  <c r="AV4" i="3" s="1"/>
  <c r="AA5" i="3"/>
  <c r="AU5" i="3" s="1"/>
  <c r="AA6" i="3"/>
  <c r="AU6" i="3" s="1"/>
  <c r="AA7" i="3"/>
  <c r="AU7" i="3" s="1"/>
  <c r="AA8" i="3"/>
  <c r="AA9" i="3"/>
  <c r="AT9" i="3" s="1"/>
  <c r="AA10" i="3"/>
  <c r="AT10" i="3" s="1"/>
  <c r="AA11" i="3"/>
  <c r="AU11" i="3" s="1"/>
  <c r="AA12" i="3"/>
  <c r="AU12" i="3" s="1"/>
  <c r="AA13" i="3"/>
  <c r="AU13" i="3" s="1"/>
  <c r="AA4" i="3"/>
  <c r="AU4" i="3" s="1"/>
  <c r="AQ5" i="3"/>
  <c r="BC5" i="3" s="1"/>
  <c r="AQ6" i="3"/>
  <c r="BC6" i="3" s="1"/>
  <c r="AQ7" i="3"/>
  <c r="BC7" i="3" s="1"/>
  <c r="AQ8" i="3"/>
  <c r="BB8" i="3" s="1"/>
  <c r="AQ9" i="3"/>
  <c r="BB9" i="3" s="1"/>
  <c r="AQ10" i="3"/>
  <c r="BB10" i="3" s="1"/>
  <c r="AQ11" i="3"/>
  <c r="BC11" i="3" s="1"/>
  <c r="AQ12" i="3"/>
  <c r="BC12" i="3" s="1"/>
  <c r="AQ13" i="3"/>
  <c r="BC13" i="3" s="1"/>
  <c r="AQ14" i="3"/>
  <c r="BC14" i="3" s="1"/>
  <c r="AQ4" i="3"/>
  <c r="BC4" i="3" s="1"/>
  <c r="AL5" i="3"/>
  <c r="BA5" i="3" s="1"/>
  <c r="AL6" i="3"/>
  <c r="BA6" i="3" s="1"/>
  <c r="AL7" i="3"/>
  <c r="BA7" i="3" s="1"/>
  <c r="AL8" i="3"/>
  <c r="BA8" i="3" s="1"/>
  <c r="AL9" i="3"/>
  <c r="BA9" i="3" s="1"/>
  <c r="AL10" i="3"/>
  <c r="AZ10" i="3" s="1"/>
  <c r="AL11" i="3"/>
  <c r="AZ11" i="3" s="1"/>
  <c r="AL12" i="3"/>
  <c r="AZ12" i="3" s="1"/>
  <c r="AL13" i="3"/>
  <c r="BA13" i="3" s="1"/>
  <c r="AL14" i="3"/>
  <c r="BA14" i="3" s="1"/>
  <c r="AL4" i="3"/>
  <c r="BA4" i="3" s="1"/>
  <c r="BA10" i="3" l="1"/>
  <c r="AT7" i="3"/>
  <c r="AV11" i="3"/>
  <c r="BL14" i="3"/>
  <c r="BA12" i="3"/>
  <c r="BH8" i="3"/>
  <c r="AT5" i="3"/>
  <c r="BB4" i="3"/>
  <c r="AU10" i="3"/>
  <c r="BB7" i="3"/>
  <c r="BP9" i="3"/>
  <c r="AU9" i="3"/>
  <c r="BB5" i="3"/>
  <c r="BL11" i="3"/>
  <c r="BL10" i="3"/>
  <c r="BT14" i="3"/>
  <c r="AV9" i="3"/>
  <c r="BT6" i="3"/>
  <c r="BP8" i="3"/>
  <c r="AW4" i="3"/>
  <c r="BP7" i="3"/>
  <c r="AZ4" i="3"/>
  <c r="BP14" i="3"/>
  <c r="BT12" i="3"/>
  <c r="AT4" i="3"/>
  <c r="AU8" i="3"/>
  <c r="AZ9" i="3"/>
  <c r="BB14" i="3"/>
  <c r="BL8" i="3"/>
  <c r="BP13" i="3"/>
  <c r="BT11" i="3"/>
  <c r="BP5" i="3"/>
  <c r="BL9" i="3"/>
  <c r="AT13" i="3"/>
  <c r="AZ8" i="3"/>
  <c r="BB13" i="3"/>
  <c r="BH5" i="3"/>
  <c r="BL5" i="3"/>
  <c r="BL7" i="3"/>
  <c r="BP12" i="3"/>
  <c r="BT10" i="3"/>
  <c r="BC10" i="3"/>
  <c r="BT13" i="3"/>
  <c r="BP6" i="3"/>
  <c r="BH7" i="3"/>
  <c r="AT8" i="3"/>
  <c r="AV12" i="3"/>
  <c r="AZ7" i="3"/>
  <c r="BB12" i="3"/>
  <c r="BH13" i="3"/>
  <c r="BL6" i="3"/>
  <c r="BP11" i="3"/>
  <c r="BT9" i="3"/>
  <c r="BH6" i="3"/>
  <c r="BL13" i="3"/>
  <c r="BP10" i="3"/>
  <c r="BT8" i="3"/>
  <c r="AT6" i="3"/>
  <c r="AV10" i="3"/>
  <c r="BA11" i="3"/>
  <c r="BB6" i="3"/>
  <c r="BL12" i="3"/>
  <c r="BT5" i="3"/>
  <c r="BT7" i="3"/>
  <c r="BC8" i="3"/>
  <c r="AZ6" i="3"/>
  <c r="BH11" i="3"/>
  <c r="AT12" i="3"/>
  <c r="AV8" i="3"/>
  <c r="AZ13" i="3"/>
  <c r="AZ5" i="3"/>
  <c r="BB11" i="3"/>
  <c r="BH10" i="3"/>
  <c r="AW13" i="3"/>
  <c r="BC9" i="3"/>
  <c r="AT11" i="3"/>
  <c r="AV7" i="3"/>
  <c r="BH9" i="3"/>
  <c r="BH12" i="3"/>
  <c r="AZ14" i="3"/>
  <c r="AV6" i="3"/>
  <c r="AW5" i="3"/>
  <c r="B19" i="4"/>
  <c r="C16" i="4" s="1"/>
  <c r="C18" i="4"/>
  <c r="C17" i="4"/>
  <c r="F19" i="4" l="1"/>
  <c r="C15" i="4"/>
  <c r="C19" i="4" s="1"/>
  <c r="O16" i="3" l="1"/>
  <c r="I16" i="3"/>
  <c r="F16" i="3"/>
  <c r="E16" i="3"/>
  <c r="C16" i="3"/>
  <c r="J12" i="3"/>
  <c r="L12" i="3" s="1"/>
  <c r="J11" i="3"/>
  <c r="L11" i="3" s="1"/>
  <c r="J10" i="3"/>
  <c r="K10" i="3" s="1"/>
  <c r="J9" i="3"/>
  <c r="L9" i="3" s="1"/>
  <c r="N9" i="3" s="1"/>
  <c r="J8" i="3"/>
  <c r="J7" i="3"/>
  <c r="J6" i="3"/>
  <c r="J5" i="3"/>
  <c r="K5" i="3" s="1"/>
  <c r="J4" i="3"/>
  <c r="L4" i="3" s="1"/>
  <c r="J3" i="3"/>
  <c r="L3" i="3" s="1"/>
  <c r="L10" i="3" l="1"/>
  <c r="N10" i="3" s="1"/>
  <c r="D16" i="3"/>
  <c r="H16" i="3" s="1"/>
  <c r="G16" i="3"/>
  <c r="K9" i="3"/>
  <c r="M12" i="3"/>
  <c r="N12" i="3"/>
  <c r="M4" i="3"/>
  <c r="N4" i="3"/>
  <c r="N11" i="3"/>
  <c r="M11" i="3"/>
  <c r="N3" i="3"/>
  <c r="M3" i="3"/>
  <c r="K8" i="3"/>
  <c r="M10" i="3"/>
  <c r="K7" i="3"/>
  <c r="L8" i="3"/>
  <c r="M8" i="3" s="1"/>
  <c r="M9" i="3"/>
  <c r="K6" i="3"/>
  <c r="L7" i="3"/>
  <c r="M7" i="3" s="1"/>
  <c r="P16" i="3"/>
  <c r="L6" i="3"/>
  <c r="M6" i="3" s="1"/>
  <c r="K4" i="3"/>
  <c r="L5" i="3"/>
  <c r="M5" i="3" s="1"/>
  <c r="K12" i="3"/>
  <c r="J16" i="3"/>
  <c r="K3" i="3"/>
  <c r="K11" i="3"/>
  <c r="N8" i="3" l="1"/>
  <c r="K16" i="3"/>
  <c r="N6" i="3"/>
  <c r="N7" i="3"/>
  <c r="R16" i="3"/>
  <c r="S16" i="3" s="1"/>
  <c r="Q16" i="3"/>
  <c r="L16" i="3"/>
  <c r="M16" i="3" s="1"/>
  <c r="N5" i="3"/>
  <c r="N16" i="3" l="1"/>
  <c r="T16" i="3"/>
</calcChain>
</file>

<file path=xl/sharedStrings.xml><?xml version="1.0" encoding="utf-8"?>
<sst xmlns="http://schemas.openxmlformats.org/spreadsheetml/2006/main" count="169" uniqueCount="92">
  <si>
    <t>Iranian Year</t>
  </si>
  <si>
    <t>Year</t>
  </si>
  <si>
    <t>Soap Import %</t>
  </si>
  <si>
    <t>Toothpaste Import %</t>
  </si>
  <si>
    <t>Shampoo Local %</t>
  </si>
  <si>
    <t>Shampoo Import %</t>
  </si>
  <si>
    <t>10-year  Import &amp;  Production</t>
  </si>
  <si>
    <t>؟</t>
  </si>
  <si>
    <t>Members</t>
  </si>
  <si>
    <t>Male</t>
  </si>
  <si>
    <t>Female</t>
  </si>
  <si>
    <t>Exp-Imp</t>
  </si>
  <si>
    <t>Iran Members</t>
  </si>
  <si>
    <t>Tehran Members</t>
  </si>
  <si>
    <t>Data for the Imported, Internally Produced, and Smuggled Personal Hygiene and Cosmetics in Iran during 2016</t>
  </si>
  <si>
    <t>Source: internal memo of the Inspector General for the Iranian Ministry of Health and Medical Education (May 14, 2017)</t>
  </si>
  <si>
    <t>In millions of U.S. Dollars</t>
  </si>
  <si>
    <t>Product Group:</t>
  </si>
  <si>
    <t xml:space="preserve">Import </t>
  </si>
  <si>
    <t>Import</t>
  </si>
  <si>
    <t>Production</t>
  </si>
  <si>
    <t>Demand</t>
  </si>
  <si>
    <t>Smuggled</t>
  </si>
  <si>
    <t xml:space="preserve">Personal Hygiene &amp; </t>
  </si>
  <si>
    <t>(Bureaus)</t>
  </si>
  <si>
    <t xml:space="preserve">(Central) </t>
  </si>
  <si>
    <t>Cosmetics</t>
  </si>
  <si>
    <t>(Reporting)</t>
  </si>
  <si>
    <t xml:space="preserve"> The share of the market sources for personal hygiene and cosmetic products in Iran In U.S. Dollars</t>
  </si>
  <si>
    <t xml:space="preserve"> during 2016; computed by Inspector General of the Ministry of Health and Medical Education</t>
  </si>
  <si>
    <t>$ Million</t>
  </si>
  <si>
    <t>Centrally Reported Data</t>
  </si>
  <si>
    <t>% of Total</t>
  </si>
  <si>
    <t>Local Production</t>
  </si>
  <si>
    <t>Stored</t>
  </si>
  <si>
    <t>Total:</t>
  </si>
  <si>
    <t>Note: The Ministry refused to supply similare data for other 9 years of the decade.</t>
  </si>
  <si>
    <r>
      <rPr>
        <b/>
        <sz val="18"/>
        <color theme="1"/>
        <rFont val="Times New Roman"/>
        <family val="1"/>
      </rPr>
      <t>Iran</t>
    </r>
    <r>
      <rPr>
        <sz val="18"/>
        <color theme="1"/>
        <rFont val="Times New Roman"/>
        <family val="1"/>
      </rPr>
      <t xml:space="preserve"> Chamber of Commerce Membership &amp; Export-Import Card Orders</t>
    </r>
  </si>
  <si>
    <r>
      <rPr>
        <b/>
        <sz val="18"/>
        <color theme="1"/>
        <rFont val="Times New Roman"/>
        <family val="1"/>
      </rPr>
      <t>Tehran</t>
    </r>
    <r>
      <rPr>
        <sz val="18"/>
        <color theme="1"/>
        <rFont val="Times New Roman"/>
        <family val="1"/>
      </rPr>
      <t xml:space="preserve"> Chamber of Commerce Membership &amp; Export-Import Card Orders</t>
    </r>
  </si>
  <si>
    <t xml:space="preserve">Total </t>
  </si>
  <si>
    <t>Computation</t>
  </si>
  <si>
    <t xml:space="preserve">Iran Cham Com % Male/ Total </t>
  </si>
  <si>
    <t>Iran Cham Com % Female/Total</t>
  </si>
  <si>
    <t>Iran Card Holders/ Membership % Male</t>
  </si>
  <si>
    <t>Iran Card Holders/ Membership % Female</t>
  </si>
  <si>
    <t>Iran Card Holders/ Membership % Total</t>
  </si>
  <si>
    <t xml:space="preserve">Tehran Cham Com % Male/ Total </t>
  </si>
  <si>
    <t>Tehran Cham Com % Female/Total</t>
  </si>
  <si>
    <t>Tehran Card Holders/ Membership % Male</t>
  </si>
  <si>
    <t>Tehran Card Holders/ Membership % Female</t>
  </si>
  <si>
    <t>Tehran Card Holders/ Membership % Total</t>
  </si>
  <si>
    <t>Tehran Ex-Im Card</t>
  </si>
  <si>
    <t>Iran Ex-Im Card</t>
  </si>
  <si>
    <t>Iran ROG Memb Male</t>
  </si>
  <si>
    <t>Iran ROG Memb Female</t>
  </si>
  <si>
    <t>Iran ROG Memb Total</t>
  </si>
  <si>
    <t>Tehran ROG Memb Male</t>
  </si>
  <si>
    <t>Tehran ROG Memb Female</t>
  </si>
  <si>
    <t>Tehran ROG Memb Total</t>
  </si>
  <si>
    <t>Iran ROG Card Male</t>
  </si>
  <si>
    <t>Iran ROG Card Female</t>
  </si>
  <si>
    <t>Iran ROG Card Total</t>
  </si>
  <si>
    <t>Tehran ROG Card Male</t>
  </si>
  <si>
    <t>Tehran ROG Card Female</t>
  </si>
  <si>
    <t>Tehran ROG Card Total</t>
  </si>
  <si>
    <t>Shampoo Local (Tons)</t>
  </si>
  <si>
    <t>Shampoo Import (Tons)</t>
  </si>
  <si>
    <t>Shampoo Difference (Tons)</t>
  </si>
  <si>
    <t>Shampoo Total (Tons)</t>
  </si>
  <si>
    <t>Soap Local (Tons)</t>
  </si>
  <si>
    <t>Soap Difference (Tons)</t>
  </si>
  <si>
    <t>Soap Total (Tons)</t>
  </si>
  <si>
    <t>Soap Import (Tons)</t>
  </si>
  <si>
    <t xml:space="preserve">Soap Local % </t>
  </si>
  <si>
    <t>Toothpaste Local (Tons)</t>
  </si>
  <si>
    <t>Toothpaste Import (Tons)</t>
  </si>
  <si>
    <t>Toothpaste Difference (Tons)</t>
  </si>
  <si>
    <t>Toothpaste Total (Tons)</t>
  </si>
  <si>
    <t xml:space="preserve">Toothpaste Local % </t>
  </si>
  <si>
    <t xml:space="preserve">                    Shampoo in tons</t>
  </si>
  <si>
    <t xml:space="preserve">                                                                      Toothpaste  In tons</t>
  </si>
  <si>
    <t>Section 1</t>
  </si>
  <si>
    <t>Section 2</t>
  </si>
  <si>
    <t>Section 3</t>
  </si>
  <si>
    <t>Section 4a                Total</t>
  </si>
  <si>
    <t xml:space="preserve">Section 4b                 Total </t>
  </si>
  <si>
    <t>Section 5A</t>
  </si>
  <si>
    <t>Section 5B</t>
  </si>
  <si>
    <t>Section 6A</t>
  </si>
  <si>
    <t>Section 6B</t>
  </si>
  <si>
    <t>Section 7A</t>
  </si>
  <si>
    <t>Section 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</si>
</sst>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name val="Calibri"/>
      <family val="2"/>
    </font>
    <font>
      <b/>
      <sz val="16"/>
      <color theme="1"/>
      <name val="Times New Roman"/>
      <family val="1"/>
    </font>
    <font>
      <sz val="18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8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37" fontId="2" fillId="3" borderId="1" xfId="1" applyNumberFormat="1" applyFont="1" applyFill="1" applyBorder="1" applyAlignment="1">
      <alignment horizontal="center"/>
    </xf>
    <xf numFmtId="37" fontId="2" fillId="5" borderId="1" xfId="1" applyNumberFormat="1" applyFont="1" applyFill="1" applyBorder="1" applyAlignment="1">
      <alignment horizontal="center"/>
    </xf>
    <xf numFmtId="3" fontId="3" fillId="7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7" fontId="2" fillId="3" borderId="1" xfId="1" applyNumberFormat="1" applyFont="1" applyFill="1" applyBorder="1" applyAlignment="1">
      <alignment horizontal="center" wrapText="1"/>
    </xf>
    <xf numFmtId="0" fontId="0" fillId="0" borderId="0" xfId="0" applyFill="1"/>
    <xf numFmtId="37" fontId="2" fillId="3" borderId="1" xfId="1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 wrapText="1"/>
    </xf>
    <xf numFmtId="37" fontId="3" fillId="7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7" fontId="4" fillId="4" borderId="1" xfId="1" applyNumberFormat="1" applyFont="1" applyFill="1" applyBorder="1" applyAlignment="1">
      <alignment horizontal="center" vertical="center" readingOrder="2"/>
    </xf>
    <xf numFmtId="37" fontId="4" fillId="4" borderId="1" xfId="1" applyNumberFormat="1" applyFont="1" applyFill="1" applyBorder="1" applyAlignment="1">
      <alignment horizontal="center" vertical="center" wrapText="1" readingOrder="2"/>
    </xf>
    <xf numFmtId="37" fontId="4" fillId="3" borderId="1" xfId="1" applyNumberFormat="1" applyFont="1" applyFill="1" applyBorder="1" applyAlignment="1">
      <alignment horizontal="center" vertical="center" readingOrder="2"/>
    </xf>
    <xf numFmtId="37" fontId="4" fillId="3" borderId="1" xfId="1" applyNumberFormat="1" applyFont="1" applyFill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37" fontId="2" fillId="5" borderId="1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37" fontId="2" fillId="9" borderId="1" xfId="1" applyNumberFormat="1" applyFont="1" applyFill="1" applyBorder="1" applyAlignment="1">
      <alignment horizontal="center" vertical="center"/>
    </xf>
    <xf numFmtId="43" fontId="2" fillId="9" borderId="1" xfId="1" applyFont="1" applyFill="1" applyBorder="1" applyAlignment="1">
      <alignment vertic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2" fillId="2" borderId="0" xfId="0" applyFont="1" applyFill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37" fontId="2" fillId="4" borderId="0" xfId="0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2" fillId="3" borderId="1" xfId="1" applyNumberFormat="1" applyFont="1" applyFill="1" applyBorder="1" applyAlignment="1">
      <alignment horizontal="center" wrapText="1"/>
    </xf>
    <xf numFmtId="10" fontId="2" fillId="5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37" fontId="2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/>
    <xf numFmtId="3" fontId="0" fillId="9" borderId="0" xfId="0" applyNumberFormat="1" applyFill="1"/>
    <xf numFmtId="6" fontId="2" fillId="0" borderId="0" xfId="0" applyNumberFormat="1" applyFont="1" applyAlignment="1">
      <alignment horizontal="center" vertical="center"/>
    </xf>
    <xf numFmtId="5" fontId="2" fillId="0" borderId="0" xfId="1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65" fontId="2" fillId="0" borderId="5" xfId="2" applyNumberFormat="1" applyFont="1" applyBorder="1"/>
    <xf numFmtId="10" fontId="2" fillId="0" borderId="0" xfId="3" applyNumberFormat="1" applyFont="1" applyBorder="1"/>
    <xf numFmtId="0" fontId="8" fillId="0" borderId="1" xfId="0" applyFont="1" applyBorder="1" applyAlignment="1">
      <alignment vertical="center"/>
    </xf>
    <xf numFmtId="6" fontId="2" fillId="0" borderId="0" xfId="0" applyNumberFormat="1" applyFont="1" applyAlignment="1">
      <alignment horizontal="right" vertical="center"/>
    </xf>
    <xf numFmtId="165" fontId="2" fillId="0" borderId="5" xfId="2" applyNumberFormat="1" applyFont="1" applyBorder="1" applyAlignment="1">
      <alignment horizontal="right"/>
    </xf>
    <xf numFmtId="165" fontId="2" fillId="0" borderId="7" xfId="2" applyNumberFormat="1" applyFont="1" applyFill="1" applyBorder="1" applyAlignment="1">
      <alignment horizontal="right"/>
    </xf>
    <xf numFmtId="0" fontId="9" fillId="0" borderId="0" xfId="0" applyFont="1" applyAlignment="1">
      <alignment vertical="center"/>
    </xf>
    <xf numFmtId="10" fontId="2" fillId="0" borderId="0" xfId="1" applyNumberFormat="1" applyFont="1" applyBorder="1"/>
    <xf numFmtId="5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12" borderId="0" xfId="0" applyFill="1"/>
    <xf numFmtId="0" fontId="11" fillId="0" borderId="0" xfId="0" applyFont="1" applyAlignment="1">
      <alignment horizontal="center" vertical="center"/>
    </xf>
    <xf numFmtId="0" fontId="0" fillId="13" borderId="0" xfId="0" applyFill="1"/>
    <xf numFmtId="9" fontId="2" fillId="0" borderId="0" xfId="0" applyNumberFormat="1" applyFont="1"/>
    <xf numFmtId="9" fontId="2" fillId="13" borderId="0" xfId="0" applyNumberFormat="1" applyFont="1" applyFill="1"/>
    <xf numFmtId="0" fontId="2" fillId="13" borderId="0" xfId="0" applyFont="1" applyFill="1"/>
    <xf numFmtId="0" fontId="0" fillId="0" borderId="0" xfId="0" applyAlignment="1"/>
    <xf numFmtId="164" fontId="3" fillId="4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37" fontId="4" fillId="0" borderId="0" xfId="1" applyNumberFormat="1" applyFont="1" applyFill="1" applyBorder="1" applyAlignment="1">
      <alignment horizontal="center" vertical="center" readingOrder="2"/>
    </xf>
    <xf numFmtId="37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 vertical="center"/>
    </xf>
    <xf numFmtId="37" fontId="4" fillId="0" borderId="0" xfId="1" applyNumberFormat="1" applyFont="1" applyFill="1" applyBorder="1" applyAlignment="1">
      <alignment horizontal="center" vertical="center" wrapText="1" readingOrder="2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/>
    </xf>
    <xf numFmtId="0" fontId="2" fillId="9" borderId="0" xfId="0" applyFont="1" applyFill="1"/>
    <xf numFmtId="0" fontId="2" fillId="9" borderId="1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wrapText="1"/>
    </xf>
    <xf numFmtId="0" fontId="3" fillId="9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1" fontId="3" fillId="7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4A4C-5E14-43F0-B354-D2F93C1E63FE}">
  <dimension ref="A1:BY31"/>
  <sheetViews>
    <sheetView tabSelected="1" topLeftCell="BA1" workbookViewId="0">
      <selection activeCell="BM2" sqref="BM2"/>
    </sheetView>
  </sheetViews>
  <sheetFormatPr defaultRowHeight="15" x14ac:dyDescent="0.25"/>
  <cols>
    <col min="2" max="2" width="7" bestFit="1" customWidth="1"/>
    <col min="3" max="3" width="13.7109375" customWidth="1"/>
    <col min="4" max="4" width="13.5703125" customWidth="1"/>
    <col min="5" max="5" width="18" customWidth="1"/>
    <col min="6" max="6" width="10.5703125" bestFit="1" customWidth="1"/>
    <col min="7" max="7" width="9.42578125" bestFit="1" customWidth="1"/>
    <col min="8" max="8" width="10.7109375" bestFit="1" customWidth="1"/>
    <col min="9" max="10" width="12.28515625" customWidth="1"/>
    <col min="11" max="11" width="13.5703125" customWidth="1"/>
    <col min="12" max="12" width="10.5703125" bestFit="1" customWidth="1"/>
    <col min="13" max="13" width="9.42578125" bestFit="1" customWidth="1"/>
    <col min="14" max="14" width="10.7109375" bestFit="1" customWidth="1"/>
    <col min="15" max="15" width="11.7109375" customWidth="1"/>
    <col min="17" max="17" width="10.7109375" customWidth="1"/>
    <col min="18" max="18" width="14.5703125" customWidth="1"/>
    <col min="19" max="19" width="15.140625" customWidth="1"/>
    <col min="20" max="20" width="15.28515625" customWidth="1"/>
    <col min="21" max="21" width="3.85546875" customWidth="1"/>
    <col min="22" max="22" width="10.85546875" customWidth="1"/>
    <col min="23" max="23" width="13.85546875" customWidth="1"/>
    <col min="24" max="24" width="15.28515625" customWidth="1"/>
    <col min="25" max="25" width="13.5703125" bestFit="1" customWidth="1"/>
    <col min="26" max="26" width="12.140625" bestFit="1" customWidth="1"/>
    <col min="27" max="27" width="12.140625" customWidth="1"/>
    <col min="28" max="28" width="2.140625" customWidth="1"/>
    <col min="29" max="29" width="12.140625" customWidth="1"/>
    <col min="30" max="30" width="11" customWidth="1"/>
    <col min="31" max="31" width="10.85546875" bestFit="1" customWidth="1"/>
    <col min="32" max="32" width="10.85546875" customWidth="1"/>
    <col min="33" max="33" width="2.5703125" customWidth="1"/>
    <col min="34" max="34" width="8.28515625" customWidth="1"/>
    <col min="35" max="35" width="13.140625" customWidth="1"/>
    <col min="36" max="36" width="10.28515625" customWidth="1"/>
    <col min="37" max="38" width="11.140625" customWidth="1"/>
    <col min="39" max="39" width="2.28515625" customWidth="1"/>
    <col min="40" max="40" width="14" customWidth="1"/>
    <col min="41" max="41" width="9.5703125" customWidth="1"/>
    <col min="42" max="42" width="10" customWidth="1"/>
    <col min="43" max="43" width="10.42578125" customWidth="1"/>
    <col min="44" max="44" width="2.7109375" customWidth="1"/>
    <col min="46" max="46" width="8.7109375" customWidth="1"/>
    <col min="47" max="47" width="11.140625" customWidth="1"/>
    <col min="49" max="49" width="10.140625" customWidth="1"/>
    <col min="50" max="50" width="10" customWidth="1"/>
    <col min="51" max="51" width="3.28515625" customWidth="1"/>
    <col min="53" max="53" width="9.7109375" customWidth="1"/>
    <col min="54" max="54" width="10.140625" customWidth="1"/>
    <col min="55" max="55" width="9.7109375" customWidth="1"/>
    <col min="56" max="56" width="9.85546875" customWidth="1"/>
    <col min="57" max="57" width="3" customWidth="1"/>
    <col min="58" max="58" width="11" customWidth="1"/>
    <col min="59" max="59" width="9.7109375" customWidth="1"/>
    <col min="61" max="61" width="4" customWidth="1"/>
    <col min="63" max="63" width="10.140625" customWidth="1"/>
    <col min="65" max="65" width="2.85546875" customWidth="1"/>
    <col min="66" max="66" width="9.85546875" customWidth="1"/>
    <col min="67" max="67" width="10.7109375" customWidth="1"/>
    <col min="68" max="68" width="10.5703125" customWidth="1"/>
    <col min="69" max="69" width="3.28515625" customWidth="1"/>
    <col min="70" max="70" width="10.7109375" customWidth="1"/>
    <col min="71" max="71" width="10.140625" customWidth="1"/>
    <col min="72" max="72" width="10" customWidth="1"/>
  </cols>
  <sheetData>
    <row r="1" spans="1:77" ht="38.25" x14ac:dyDescent="0.35">
      <c r="A1" s="31" t="s">
        <v>80</v>
      </c>
      <c r="B1" s="31"/>
      <c r="C1" s="1"/>
      <c r="D1" s="1"/>
      <c r="E1" s="86" t="s">
        <v>81</v>
      </c>
      <c r="F1" s="84"/>
      <c r="G1" s="84"/>
      <c r="H1" s="84"/>
      <c r="I1" s="1"/>
      <c r="J1" s="1"/>
      <c r="K1" s="86" t="s">
        <v>81</v>
      </c>
      <c r="L1" s="1"/>
      <c r="M1" s="1"/>
      <c r="N1" s="25" t="s">
        <v>79</v>
      </c>
      <c r="O1" s="1"/>
      <c r="P1" s="1"/>
      <c r="Q1" s="1"/>
      <c r="R1" s="87" t="s">
        <v>81</v>
      </c>
      <c r="S1" s="84"/>
      <c r="T1" s="84"/>
      <c r="U1" s="28"/>
      <c r="V1" s="28" t="s">
        <v>82</v>
      </c>
      <c r="W1" s="42" t="s">
        <v>37</v>
      </c>
      <c r="AB1" s="7"/>
      <c r="AF1" s="28" t="s">
        <v>83</v>
      </c>
      <c r="AG1" s="28"/>
      <c r="AH1" s="42" t="s">
        <v>38</v>
      </c>
      <c r="AM1" s="7"/>
      <c r="AR1" s="65"/>
      <c r="AS1" s="63"/>
      <c r="AT1" s="63"/>
      <c r="AU1" s="66" t="s">
        <v>40</v>
      </c>
      <c r="AV1" s="63"/>
      <c r="AW1" s="63"/>
      <c r="AX1" s="89" t="s">
        <v>86</v>
      </c>
      <c r="AY1" s="63"/>
      <c r="AZ1" s="63"/>
      <c r="BA1" s="66" t="s">
        <v>40</v>
      </c>
      <c r="BB1" s="63"/>
      <c r="BC1" s="63"/>
      <c r="BD1" s="89" t="s">
        <v>87</v>
      </c>
      <c r="BE1" s="63"/>
      <c r="BH1" s="90" t="s">
        <v>88</v>
      </c>
      <c r="BI1" s="1"/>
      <c r="BJ1" s="1"/>
      <c r="BK1" s="90" t="s">
        <v>89</v>
      </c>
      <c r="BL1" s="1"/>
      <c r="BM1" s="1"/>
      <c r="BN1" s="1"/>
      <c r="BO1" s="86" t="s">
        <v>90</v>
      </c>
      <c r="BP1" s="1"/>
      <c r="BQ1" s="1"/>
      <c r="BR1" s="1"/>
      <c r="BS1" s="86" t="s">
        <v>91</v>
      </c>
    </row>
    <row r="2" spans="1:77" ht="187.5" x14ac:dyDescent="0.3">
      <c r="A2" s="20" t="s">
        <v>0</v>
      </c>
      <c r="B2" s="20" t="s">
        <v>1</v>
      </c>
      <c r="C2" s="73" t="s">
        <v>74</v>
      </c>
      <c r="D2" s="73" t="s">
        <v>75</v>
      </c>
      <c r="E2" s="73" t="s">
        <v>76</v>
      </c>
      <c r="F2" s="73" t="s">
        <v>77</v>
      </c>
      <c r="G2" s="73" t="s">
        <v>78</v>
      </c>
      <c r="H2" s="73" t="s">
        <v>3</v>
      </c>
      <c r="I2" s="19" t="s">
        <v>69</v>
      </c>
      <c r="J2" s="19" t="s">
        <v>72</v>
      </c>
      <c r="K2" s="19" t="s">
        <v>70</v>
      </c>
      <c r="L2" s="19" t="s">
        <v>71</v>
      </c>
      <c r="M2" s="19" t="s">
        <v>73</v>
      </c>
      <c r="N2" s="19" t="s">
        <v>2</v>
      </c>
      <c r="O2" s="72" t="s">
        <v>65</v>
      </c>
      <c r="P2" s="72" t="s">
        <v>66</v>
      </c>
      <c r="Q2" s="72" t="s">
        <v>67</v>
      </c>
      <c r="R2" s="18" t="s">
        <v>68</v>
      </c>
      <c r="S2" s="18" t="s">
        <v>4</v>
      </c>
      <c r="T2" s="18" t="s">
        <v>5</v>
      </c>
      <c r="U2" s="28"/>
      <c r="V2" s="39" t="s">
        <v>0</v>
      </c>
      <c r="W2" s="37" t="s">
        <v>1</v>
      </c>
      <c r="X2" s="39" t="s">
        <v>12</v>
      </c>
      <c r="Y2" s="37" t="s">
        <v>9</v>
      </c>
      <c r="Z2" s="37" t="s">
        <v>10</v>
      </c>
      <c r="AA2" s="37" t="s">
        <v>39</v>
      </c>
      <c r="AB2" s="28"/>
      <c r="AC2" s="39" t="s">
        <v>52</v>
      </c>
      <c r="AD2" s="37" t="s">
        <v>9</v>
      </c>
      <c r="AE2" s="37" t="s">
        <v>10</v>
      </c>
      <c r="AF2" s="37" t="s">
        <v>39</v>
      </c>
      <c r="AG2" s="28"/>
      <c r="AH2" s="37" t="s">
        <v>1</v>
      </c>
      <c r="AI2" s="39" t="s">
        <v>13</v>
      </c>
      <c r="AJ2" s="37" t="s">
        <v>9</v>
      </c>
      <c r="AK2" s="37" t="s">
        <v>10</v>
      </c>
      <c r="AL2" s="88" t="s">
        <v>84</v>
      </c>
      <c r="AM2" s="28"/>
      <c r="AN2" s="39" t="s">
        <v>51</v>
      </c>
      <c r="AO2" s="37" t="s">
        <v>9</v>
      </c>
      <c r="AP2" s="37" t="s">
        <v>10</v>
      </c>
      <c r="AQ2" s="88" t="s">
        <v>85</v>
      </c>
      <c r="AR2" s="65"/>
      <c r="AS2" s="63" t="s">
        <v>1</v>
      </c>
      <c r="AT2" s="64" t="s">
        <v>41</v>
      </c>
      <c r="AU2" s="64" t="s">
        <v>42</v>
      </c>
      <c r="AV2" s="64" t="s">
        <v>43</v>
      </c>
      <c r="AW2" s="64" t="s">
        <v>44</v>
      </c>
      <c r="AX2" s="64" t="s">
        <v>45</v>
      </c>
      <c r="AY2" s="63"/>
      <c r="AZ2" s="64" t="s">
        <v>46</v>
      </c>
      <c r="BA2" s="64" t="s">
        <v>47</v>
      </c>
      <c r="BB2" s="64" t="s">
        <v>48</v>
      </c>
      <c r="BC2" s="64" t="s">
        <v>49</v>
      </c>
      <c r="BD2" s="64" t="s">
        <v>50</v>
      </c>
      <c r="BE2" s="63"/>
      <c r="BF2" s="64" t="s">
        <v>53</v>
      </c>
      <c r="BG2" s="64" t="s">
        <v>54</v>
      </c>
      <c r="BH2" s="64" t="s">
        <v>55</v>
      </c>
      <c r="BI2" s="64"/>
      <c r="BJ2" s="64" t="s">
        <v>59</v>
      </c>
      <c r="BK2" s="64" t="s">
        <v>60</v>
      </c>
      <c r="BL2" s="64" t="s">
        <v>61</v>
      </c>
      <c r="BN2" s="64" t="s">
        <v>56</v>
      </c>
      <c r="BO2" s="64" t="s">
        <v>57</v>
      </c>
      <c r="BP2" s="64" t="s">
        <v>58</v>
      </c>
      <c r="BR2" s="64" t="s">
        <v>62</v>
      </c>
      <c r="BS2" s="64" t="s">
        <v>63</v>
      </c>
      <c r="BT2" s="64" t="s">
        <v>64</v>
      </c>
    </row>
    <row r="3" spans="1:77" ht="18.75" x14ac:dyDescent="0.3">
      <c r="A3" s="13">
        <v>1388</v>
      </c>
      <c r="B3" s="13">
        <v>2009</v>
      </c>
      <c r="C3" s="26"/>
      <c r="D3" s="10">
        <f>3690423.59/1000</f>
        <v>3690.4235899999999</v>
      </c>
      <c r="E3" s="3">
        <f>C3-D3</f>
        <v>-3690.4235899999999</v>
      </c>
      <c r="F3" s="3">
        <f t="shared" ref="F3:F12" si="0">C3+D3</f>
        <v>3690.4235899999999</v>
      </c>
      <c r="G3" s="36">
        <f t="shared" ref="G3:G12" si="1">C3/F3</f>
        <v>0</v>
      </c>
      <c r="H3" s="36">
        <f t="shared" ref="H3:H12" si="2">D3/F3</f>
        <v>1</v>
      </c>
      <c r="I3" s="27">
        <v>0</v>
      </c>
      <c r="J3" s="16">
        <f>6309486.63/1000</f>
        <v>6309.4866300000003</v>
      </c>
      <c r="K3" s="2">
        <f>I3-J3</f>
        <v>-6309.4866300000003</v>
      </c>
      <c r="L3" s="6">
        <f>I3+J3</f>
        <v>6309.4866300000003</v>
      </c>
      <c r="M3" s="35">
        <f>I3/L3</f>
        <v>0</v>
      </c>
      <c r="N3" s="35">
        <f>J3/L3</f>
        <v>1</v>
      </c>
      <c r="O3" s="28"/>
      <c r="P3" s="14">
        <f>7022984.01/1000</f>
        <v>7022.9840100000001</v>
      </c>
      <c r="Q3" s="33">
        <f>O3-P3</f>
        <v>-7022.9840100000001</v>
      </c>
      <c r="R3" s="33">
        <f>O3+P3</f>
        <v>7022.9840100000001</v>
      </c>
      <c r="S3" s="34">
        <f>O3/R3</f>
        <v>0</v>
      </c>
      <c r="T3" s="34">
        <f>P3/R3</f>
        <v>1</v>
      </c>
      <c r="U3" s="28"/>
      <c r="V3" s="38">
        <v>1388</v>
      </c>
      <c r="W3" s="13">
        <v>2009</v>
      </c>
      <c r="AB3" s="28"/>
      <c r="AG3" s="28"/>
      <c r="AH3" s="13">
        <v>2009</v>
      </c>
      <c r="AM3" s="28"/>
      <c r="AR3" s="65"/>
      <c r="AS3" s="13">
        <v>2009</v>
      </c>
      <c r="AY3" s="67"/>
      <c r="BE3" s="67"/>
      <c r="BF3" s="71"/>
      <c r="BI3" s="67"/>
      <c r="BM3" s="67"/>
      <c r="BQ3" s="67"/>
    </row>
    <row r="4" spans="1:77" ht="18.75" x14ac:dyDescent="0.3">
      <c r="A4" s="13">
        <v>1389</v>
      </c>
      <c r="B4" s="13">
        <v>2010</v>
      </c>
      <c r="C4" s="22">
        <v>18</v>
      </c>
      <c r="D4" s="10">
        <f>2963728.65/1000</f>
        <v>2963.72865</v>
      </c>
      <c r="E4" s="3">
        <f t="shared" ref="E4:E12" si="3">C4-D4</f>
        <v>-2945.72865</v>
      </c>
      <c r="F4" s="3">
        <f t="shared" si="0"/>
        <v>2981.72865</v>
      </c>
      <c r="G4" s="36">
        <f t="shared" si="1"/>
        <v>6.036766625293016E-3</v>
      </c>
      <c r="H4" s="36">
        <f t="shared" si="2"/>
        <v>0.99396323337470693</v>
      </c>
      <c r="I4" s="24">
        <v>0</v>
      </c>
      <c r="J4" s="16">
        <f>8752230.05/1000</f>
        <v>8752.2300500000001</v>
      </c>
      <c r="K4" s="2">
        <f t="shared" ref="K4:K12" si="4">I4-J4</f>
        <v>-8752.2300500000001</v>
      </c>
      <c r="L4" s="6">
        <f>I4+J4</f>
        <v>8752.2300500000001</v>
      </c>
      <c r="M4" s="35">
        <f>I4/L4</f>
        <v>0</v>
      </c>
      <c r="N4" s="35">
        <f t="shared" ref="N4:N12" si="5">J4/L4</f>
        <v>1</v>
      </c>
      <c r="O4" s="23">
        <v>2270</v>
      </c>
      <c r="P4" s="14">
        <f>6412082.71/1000</f>
        <v>6412.0827099999997</v>
      </c>
      <c r="Q4" s="33">
        <f t="shared" ref="Q4:Q12" si="6">O4-P4</f>
        <v>-4142.0827099999997</v>
      </c>
      <c r="R4" s="33">
        <f t="shared" ref="R4:R12" si="7">O4+P4</f>
        <v>8682.0827099999988</v>
      </c>
      <c r="S4" s="34">
        <f t="shared" ref="S4:S12" si="8">O4/R4</f>
        <v>0.26145800216639498</v>
      </c>
      <c r="T4" s="34">
        <f t="shared" ref="T4:T12" si="9">P4/R4</f>
        <v>0.73854199783360508</v>
      </c>
      <c r="U4" s="28"/>
      <c r="V4" s="38">
        <v>1389</v>
      </c>
      <c r="W4" s="13">
        <v>2010</v>
      </c>
      <c r="X4" s="38" t="s">
        <v>8</v>
      </c>
      <c r="Y4" s="40">
        <v>26969</v>
      </c>
      <c r="Z4" s="40">
        <v>2063</v>
      </c>
      <c r="AA4" s="40">
        <f>Y4+Z4</f>
        <v>29032</v>
      </c>
      <c r="AB4" s="28"/>
      <c r="AC4" s="38" t="s">
        <v>11</v>
      </c>
      <c r="AD4" s="41">
        <v>12485</v>
      </c>
      <c r="AE4" s="41">
        <v>1015</v>
      </c>
      <c r="AF4" s="41">
        <f>AD4+AE4</f>
        <v>13500</v>
      </c>
      <c r="AG4" s="28"/>
      <c r="AH4" s="13">
        <v>2010</v>
      </c>
      <c r="AI4" s="38" t="s">
        <v>8</v>
      </c>
      <c r="AJ4" s="85">
        <v>2886</v>
      </c>
      <c r="AK4" s="85">
        <v>284</v>
      </c>
      <c r="AL4" s="85">
        <f>AJ4+AK4</f>
        <v>3170</v>
      </c>
      <c r="AM4" s="43"/>
      <c r="AN4" s="41" t="s">
        <v>11</v>
      </c>
      <c r="AO4" s="41">
        <v>2791</v>
      </c>
      <c r="AP4" s="41">
        <v>272</v>
      </c>
      <c r="AQ4" s="41">
        <f>AO4+AP4</f>
        <v>3063</v>
      </c>
      <c r="AR4" s="65"/>
      <c r="AS4" s="13">
        <v>2010</v>
      </c>
      <c r="AT4" s="68">
        <f>Y4/AA4</f>
        <v>0.92894047947092862</v>
      </c>
      <c r="AU4" s="68">
        <f>Z4/AA4</f>
        <v>7.1059520529071371E-2</v>
      </c>
      <c r="AV4" s="68">
        <f>AD4/AF4</f>
        <v>0.92481481481481487</v>
      </c>
      <c r="AW4" s="68">
        <f>AE4/AF4</f>
        <v>7.5185185185185188E-2</v>
      </c>
      <c r="AX4" s="68"/>
      <c r="AY4" s="69"/>
      <c r="AZ4" s="68">
        <f>AJ4/AL4</f>
        <v>0.910410094637224</v>
      </c>
      <c r="BA4" s="68">
        <f>AK4/AL4</f>
        <v>8.9589905362776029E-2</v>
      </c>
      <c r="BB4" s="68">
        <f>AO4/AQ4</f>
        <v>0.91119817172706496</v>
      </c>
      <c r="BC4" s="68">
        <f>AP4/AQ4</f>
        <v>8.8801828272935035E-2</v>
      </c>
      <c r="BD4" s="1"/>
      <c r="BE4" s="70"/>
      <c r="BG4" s="1"/>
      <c r="BH4" s="1"/>
      <c r="BI4" s="70"/>
      <c r="BJ4" s="1"/>
      <c r="BK4" s="1"/>
      <c r="BL4" s="1"/>
      <c r="BM4" s="70"/>
      <c r="BN4" s="1"/>
      <c r="BO4" s="1"/>
      <c r="BP4" s="1"/>
      <c r="BQ4" s="70"/>
      <c r="BR4" s="1"/>
      <c r="BS4" s="1"/>
      <c r="BT4" s="1"/>
      <c r="BU4" s="1"/>
      <c r="BV4" s="1"/>
      <c r="BW4" s="1"/>
      <c r="BX4" s="1"/>
      <c r="BY4" s="1"/>
    </row>
    <row r="5" spans="1:77" ht="18.75" x14ac:dyDescent="0.3">
      <c r="A5" s="13">
        <v>1390</v>
      </c>
      <c r="B5" s="13">
        <v>2011</v>
      </c>
      <c r="C5" s="22">
        <v>569</v>
      </c>
      <c r="D5" s="10">
        <f>3559981.97/1000</f>
        <v>3559.9819700000003</v>
      </c>
      <c r="E5" s="3">
        <f t="shared" si="3"/>
        <v>-2990.9819700000003</v>
      </c>
      <c r="F5" s="3">
        <f t="shared" si="0"/>
        <v>4128.9819700000007</v>
      </c>
      <c r="G5" s="36">
        <f t="shared" si="1"/>
        <v>0.13780636586310885</v>
      </c>
      <c r="H5" s="36">
        <f t="shared" si="2"/>
        <v>0.8621936341368911</v>
      </c>
      <c r="I5" s="2">
        <v>7860</v>
      </c>
      <c r="J5" s="16">
        <f>7879954.4/1000</f>
        <v>7879.9544000000005</v>
      </c>
      <c r="K5" s="2">
        <f t="shared" si="4"/>
        <v>-19.954400000000533</v>
      </c>
      <c r="L5" s="6">
        <f t="shared" ref="L5:L12" si="10">I5+J5</f>
        <v>15739.954400000001</v>
      </c>
      <c r="M5" s="35">
        <f t="shared" ref="M5:M12" si="11">I5/L5</f>
        <v>0.49936612268711528</v>
      </c>
      <c r="N5" s="35">
        <f t="shared" si="5"/>
        <v>0.50063387731288478</v>
      </c>
      <c r="O5" s="23">
        <v>7881</v>
      </c>
      <c r="P5" s="14">
        <f>7804411.37/1000</f>
        <v>7804.4113699999998</v>
      </c>
      <c r="Q5" s="33">
        <f t="shared" si="6"/>
        <v>76.588630000000194</v>
      </c>
      <c r="R5" s="33">
        <f t="shared" si="7"/>
        <v>15685.41137</v>
      </c>
      <c r="S5" s="34">
        <f t="shared" si="8"/>
        <v>0.50244139691951228</v>
      </c>
      <c r="T5" s="34">
        <f t="shared" si="9"/>
        <v>0.49755860308048777</v>
      </c>
      <c r="U5" s="28"/>
      <c r="V5" s="38">
        <v>1390</v>
      </c>
      <c r="W5" s="13">
        <v>2011</v>
      </c>
      <c r="X5" s="38" t="s">
        <v>8</v>
      </c>
      <c r="Y5" s="40">
        <v>30383</v>
      </c>
      <c r="Z5" s="40">
        <v>2799</v>
      </c>
      <c r="AA5" s="40">
        <f t="shared" ref="AA5:AA13" si="12">Y5+Z5</f>
        <v>33182</v>
      </c>
      <c r="AB5" s="28"/>
      <c r="AC5" s="38" t="s">
        <v>11</v>
      </c>
      <c r="AD5" s="41">
        <v>16695</v>
      </c>
      <c r="AE5" s="41">
        <v>1744</v>
      </c>
      <c r="AF5" s="41">
        <f t="shared" ref="AF5:AF14" si="13">AD5+AE5</f>
        <v>18439</v>
      </c>
      <c r="AG5" s="28"/>
      <c r="AH5" s="13">
        <v>2011</v>
      </c>
      <c r="AI5" s="38" t="s">
        <v>8</v>
      </c>
      <c r="AJ5" s="85">
        <v>2638</v>
      </c>
      <c r="AK5" s="85">
        <v>488</v>
      </c>
      <c r="AL5" s="85">
        <f t="shared" ref="AL5:AL14" si="14">AJ5+AK5</f>
        <v>3126</v>
      </c>
      <c r="AM5" s="43"/>
      <c r="AN5" s="41" t="s">
        <v>11</v>
      </c>
      <c r="AO5" s="41">
        <v>2523</v>
      </c>
      <c r="AP5" s="41">
        <v>465</v>
      </c>
      <c r="AQ5" s="41">
        <f t="shared" ref="AQ5:AQ14" si="15">AO5+AP5</f>
        <v>2988</v>
      </c>
      <c r="AR5" s="65"/>
      <c r="AS5" s="13">
        <v>2011</v>
      </c>
      <c r="AT5" s="68">
        <f t="shared" ref="AT5:AT13" si="16">Y5/AA5</f>
        <v>0.91564703755047916</v>
      </c>
      <c r="AU5" s="68">
        <f t="shared" ref="AU5:AU13" si="17">Z5/AA5</f>
        <v>8.4352962449520827E-2</v>
      </c>
      <c r="AV5" s="68">
        <f t="shared" ref="AV5:AV13" si="18">AD5/AF5</f>
        <v>0.90541786430934434</v>
      </c>
      <c r="AW5" s="68">
        <f t="shared" ref="AW5:AW13" si="19">AE5/AF5</f>
        <v>9.4582135690655669E-2</v>
      </c>
      <c r="AX5" s="68"/>
      <c r="AY5" s="69"/>
      <c r="AZ5" s="68">
        <f t="shared" ref="AZ5:AZ14" si="20">AJ5/AL5</f>
        <v>0.84388995521433141</v>
      </c>
      <c r="BA5" s="68">
        <f t="shared" ref="BA5:BA14" si="21">AK5/AL5</f>
        <v>0.15611004478566859</v>
      </c>
      <c r="BB5" s="68">
        <f t="shared" ref="BB5:BB14" si="22">AO5/AQ5</f>
        <v>0.84437751004016059</v>
      </c>
      <c r="BC5" s="68">
        <f t="shared" ref="BC5:BC14" si="23">AP5/AQ5</f>
        <v>0.15562248995983935</v>
      </c>
      <c r="BD5" s="1"/>
      <c r="BE5" s="70"/>
      <c r="BF5" s="68">
        <f>(Y5-Y4)/Y4</f>
        <v>0.12658978827542736</v>
      </c>
      <c r="BG5" s="68">
        <f>(Z5-Z4)/Z4</f>
        <v>0.35676199709161416</v>
      </c>
      <c r="BH5" s="68">
        <f>(AA5-AA4)/AA4</f>
        <v>0.14294571507302287</v>
      </c>
      <c r="BI5" s="69"/>
      <c r="BJ5" s="68">
        <f>(AD5-AD4)/AD4</f>
        <v>0.33720464557468965</v>
      </c>
      <c r="BK5" s="68">
        <f>(AE5-AE4)/AE4</f>
        <v>0.71822660098522173</v>
      </c>
      <c r="BL5" s="68">
        <f>(AF5-AF4)/AF4</f>
        <v>0.36585185185185187</v>
      </c>
      <c r="BM5" s="69"/>
      <c r="BN5" s="68">
        <f>(AJ5-AJ4)/AJ4</f>
        <v>-8.5932085932085928E-2</v>
      </c>
      <c r="BO5" s="68">
        <f>(AK5-AK4)/AK4</f>
        <v>0.71830985915492962</v>
      </c>
      <c r="BP5" s="68">
        <f>(AL5-AL4)/AL4</f>
        <v>-1.38801261829653E-2</v>
      </c>
      <c r="BQ5" s="69"/>
      <c r="BR5" s="68">
        <f>(AO5-AO4)/AO4</f>
        <v>-9.6022930849158014E-2</v>
      </c>
      <c r="BS5" s="68">
        <f>(AP5-AP4)/AP4</f>
        <v>0.7095588235294118</v>
      </c>
      <c r="BT5" s="68">
        <f>(AQ5-AQ4)/AQ4</f>
        <v>-2.4485798237022526E-2</v>
      </c>
      <c r="BU5" s="1"/>
      <c r="BV5" s="1"/>
      <c r="BW5" s="1"/>
      <c r="BX5" s="1"/>
      <c r="BY5" s="1"/>
    </row>
    <row r="6" spans="1:77" ht="18.75" x14ac:dyDescent="0.3">
      <c r="A6" s="13">
        <v>1391</v>
      </c>
      <c r="B6" s="13">
        <v>2012</v>
      </c>
      <c r="C6" s="22">
        <v>2902</v>
      </c>
      <c r="D6" s="10">
        <f>3742296.68/1000</f>
        <v>3742.2966800000004</v>
      </c>
      <c r="E6" s="3">
        <f t="shared" si="3"/>
        <v>-840.29668000000038</v>
      </c>
      <c r="F6" s="3">
        <f t="shared" si="0"/>
        <v>6644.2966800000004</v>
      </c>
      <c r="G6" s="36">
        <f t="shared" si="1"/>
        <v>0.43676556598312521</v>
      </c>
      <c r="H6" s="36">
        <f t="shared" si="2"/>
        <v>0.56323443401687479</v>
      </c>
      <c r="I6" s="8">
        <v>18282</v>
      </c>
      <c r="J6" s="16">
        <f>8103132.24/1000</f>
        <v>8103.1322399999999</v>
      </c>
      <c r="K6" s="2">
        <f t="shared" si="4"/>
        <v>10178.867760000001</v>
      </c>
      <c r="L6" s="6">
        <f t="shared" si="10"/>
        <v>26385.132239999999</v>
      </c>
      <c r="M6" s="35">
        <f t="shared" si="11"/>
        <v>0.69289021687313701</v>
      </c>
      <c r="N6" s="35">
        <f t="shared" si="5"/>
        <v>0.30710978312686299</v>
      </c>
      <c r="O6" s="23">
        <v>182106</v>
      </c>
      <c r="P6" s="14">
        <f>8235479.56/1000</f>
        <v>8235.4795599999998</v>
      </c>
      <c r="Q6" s="33">
        <f t="shared" si="6"/>
        <v>173870.52043999999</v>
      </c>
      <c r="R6" s="33">
        <f t="shared" si="7"/>
        <v>190341.47956000001</v>
      </c>
      <c r="S6" s="34">
        <f t="shared" si="8"/>
        <v>0.95673313258341042</v>
      </c>
      <c r="T6" s="34">
        <f t="shared" si="9"/>
        <v>4.3266867416589493E-2</v>
      </c>
      <c r="U6" s="28"/>
      <c r="V6" s="38">
        <v>1391</v>
      </c>
      <c r="W6" s="13">
        <v>2012</v>
      </c>
      <c r="X6" s="38" t="s">
        <v>8</v>
      </c>
      <c r="Y6" s="40">
        <v>31131</v>
      </c>
      <c r="Z6" s="40">
        <v>3153</v>
      </c>
      <c r="AA6" s="40">
        <f t="shared" si="12"/>
        <v>34284</v>
      </c>
      <c r="AB6" s="28"/>
      <c r="AC6" s="38" t="s">
        <v>11</v>
      </c>
      <c r="AD6" s="41">
        <v>17311</v>
      </c>
      <c r="AE6" s="41">
        <v>1904</v>
      </c>
      <c r="AF6" s="41">
        <f t="shared" si="13"/>
        <v>19215</v>
      </c>
      <c r="AG6" s="28"/>
      <c r="AH6" s="13">
        <v>2012</v>
      </c>
      <c r="AI6" s="38" t="s">
        <v>8</v>
      </c>
      <c r="AJ6" s="85">
        <v>1972</v>
      </c>
      <c r="AK6" s="85">
        <v>335</v>
      </c>
      <c r="AL6" s="85">
        <f t="shared" si="14"/>
        <v>2307</v>
      </c>
      <c r="AM6" s="43"/>
      <c r="AN6" s="41" t="s">
        <v>11</v>
      </c>
      <c r="AO6" s="41">
        <v>1853</v>
      </c>
      <c r="AP6" s="41">
        <v>314</v>
      </c>
      <c r="AQ6" s="41">
        <f t="shared" si="15"/>
        <v>2167</v>
      </c>
      <c r="AR6" s="65"/>
      <c r="AS6" s="13">
        <v>2012</v>
      </c>
      <c r="AT6" s="68">
        <f t="shared" si="16"/>
        <v>0.90803290164508221</v>
      </c>
      <c r="AU6" s="68">
        <f t="shared" si="17"/>
        <v>9.1967098354917745E-2</v>
      </c>
      <c r="AV6" s="68">
        <f t="shared" si="18"/>
        <v>0.90091074681238614</v>
      </c>
      <c r="AW6" s="68">
        <f t="shared" si="19"/>
        <v>9.9089253187613843E-2</v>
      </c>
      <c r="AX6" s="68"/>
      <c r="AY6" s="69"/>
      <c r="AZ6" s="68">
        <f t="shared" si="20"/>
        <v>0.85478977026441261</v>
      </c>
      <c r="BA6" s="68">
        <f t="shared" si="21"/>
        <v>0.14521022973558734</v>
      </c>
      <c r="BB6" s="68">
        <f t="shared" si="22"/>
        <v>0.85509921550530688</v>
      </c>
      <c r="BC6" s="68">
        <f t="shared" si="23"/>
        <v>0.14490078449469312</v>
      </c>
      <c r="BD6" s="1"/>
      <c r="BE6" s="70"/>
      <c r="BF6" s="68">
        <f t="shared" ref="BF6:BF13" si="24">(Y6-Y5)/Y5</f>
        <v>2.4619030378830266E-2</v>
      </c>
      <c r="BG6" s="68">
        <f t="shared" ref="BG6:BG13" si="25">(Z6-Z5)/Z5</f>
        <v>0.12647374062165059</v>
      </c>
      <c r="BH6" s="68">
        <f t="shared" ref="BH6:BH13" si="26">(AA6-AA5)/AA5</f>
        <v>3.3210776927249712E-2</v>
      </c>
      <c r="BI6" s="69"/>
      <c r="BJ6" s="68">
        <f t="shared" ref="BJ6:BJ14" si="27">(AD6-AD5)/AD5</f>
        <v>3.6897274633123693E-2</v>
      </c>
      <c r="BK6" s="68">
        <f t="shared" ref="BK6:BK14" si="28">(AE6-AE5)/AE5</f>
        <v>9.1743119266055051E-2</v>
      </c>
      <c r="BL6" s="68">
        <f t="shared" ref="BL6:BL14" si="29">(AF6-AF5)/AF5</f>
        <v>4.208471175226422E-2</v>
      </c>
      <c r="BM6" s="69"/>
      <c r="BN6" s="68">
        <f t="shared" ref="BN6:BN14" si="30">(AJ6-AJ5)/AJ5</f>
        <v>-0.25246398786959817</v>
      </c>
      <c r="BO6" s="68">
        <f t="shared" ref="BO6:BO14" si="31">(AK6-AK5)/AK5</f>
        <v>-0.31352459016393441</v>
      </c>
      <c r="BP6" s="68">
        <f t="shared" ref="BP6:BP14" si="32">(AL6-AL5)/AL5</f>
        <v>-0.26199616122840691</v>
      </c>
      <c r="BQ6" s="69"/>
      <c r="BR6" s="68">
        <f t="shared" ref="BR6:BR14" si="33">(AO6-AO5)/AO5</f>
        <v>-0.26555687673404677</v>
      </c>
      <c r="BS6" s="68">
        <f t="shared" ref="BS6:BS14" si="34">(AP6-AP5)/AP5</f>
        <v>-0.3247311827956989</v>
      </c>
      <c r="BT6" s="68">
        <f t="shared" ref="BT6:BT14" si="35">(AQ6-AQ5)/AQ5</f>
        <v>-0.27476572958500667</v>
      </c>
      <c r="BU6" s="1"/>
      <c r="BV6" s="1"/>
      <c r="BW6" s="1"/>
      <c r="BX6" s="1"/>
      <c r="BY6" s="1"/>
    </row>
    <row r="7" spans="1:77" ht="18.75" x14ac:dyDescent="0.3">
      <c r="A7" s="13">
        <v>1392</v>
      </c>
      <c r="B7" s="13">
        <v>2013</v>
      </c>
      <c r="C7" s="22">
        <v>6334</v>
      </c>
      <c r="D7" s="10">
        <f>3606526.51/1000</f>
        <v>3606.5265099999997</v>
      </c>
      <c r="E7" s="3">
        <f t="shared" si="3"/>
        <v>2727.4734900000003</v>
      </c>
      <c r="F7" s="3">
        <f t="shared" si="0"/>
        <v>9940.5265099999997</v>
      </c>
      <c r="G7" s="36">
        <f t="shared" si="1"/>
        <v>0.63718958886414157</v>
      </c>
      <c r="H7" s="36">
        <f t="shared" si="2"/>
        <v>0.36281041113585843</v>
      </c>
      <c r="I7" s="2">
        <v>56433</v>
      </c>
      <c r="J7" s="16">
        <f>11125865.67/1000</f>
        <v>11125.865669999999</v>
      </c>
      <c r="K7" s="2">
        <f t="shared" si="4"/>
        <v>45307.134330000001</v>
      </c>
      <c r="L7" s="6">
        <f t="shared" si="10"/>
        <v>67558.865669999999</v>
      </c>
      <c r="M7" s="35">
        <f t="shared" si="11"/>
        <v>0.83531597874443708</v>
      </c>
      <c r="N7" s="35">
        <f t="shared" si="5"/>
        <v>0.16468402125556292</v>
      </c>
      <c r="O7" s="23">
        <v>956103</v>
      </c>
      <c r="P7" s="14">
        <f>7192205.93/1000</f>
        <v>7192.2059300000001</v>
      </c>
      <c r="Q7" s="33">
        <f t="shared" si="6"/>
        <v>948910.79406999995</v>
      </c>
      <c r="R7" s="33">
        <f t="shared" si="7"/>
        <v>963295.20593000005</v>
      </c>
      <c r="S7" s="34">
        <f t="shared" si="8"/>
        <v>0.99253374678320294</v>
      </c>
      <c r="T7" s="34">
        <f t="shared" si="9"/>
        <v>7.4662532167970091E-3</v>
      </c>
      <c r="U7" s="28"/>
      <c r="V7" s="38">
        <v>1392</v>
      </c>
      <c r="W7" s="13">
        <v>2013</v>
      </c>
      <c r="X7" s="38" t="s">
        <v>8</v>
      </c>
      <c r="Y7" s="40">
        <v>27919</v>
      </c>
      <c r="Z7" s="40">
        <v>3135</v>
      </c>
      <c r="AA7" s="40">
        <f t="shared" si="12"/>
        <v>31054</v>
      </c>
      <c r="AB7" s="28"/>
      <c r="AC7" s="38" t="s">
        <v>11</v>
      </c>
      <c r="AD7" s="41">
        <v>16109</v>
      </c>
      <c r="AE7" s="41">
        <v>1921</v>
      </c>
      <c r="AF7" s="41">
        <f t="shared" si="13"/>
        <v>18030</v>
      </c>
      <c r="AG7" s="28"/>
      <c r="AH7" s="13">
        <v>2013</v>
      </c>
      <c r="AI7" s="38" t="s">
        <v>8</v>
      </c>
      <c r="AJ7" s="85">
        <v>1748</v>
      </c>
      <c r="AK7" s="85">
        <v>349</v>
      </c>
      <c r="AL7" s="85">
        <f t="shared" si="14"/>
        <v>2097</v>
      </c>
      <c r="AM7" s="43"/>
      <c r="AN7" s="41" t="s">
        <v>11</v>
      </c>
      <c r="AO7" s="41">
        <v>1592</v>
      </c>
      <c r="AP7" s="41">
        <v>321</v>
      </c>
      <c r="AQ7" s="41">
        <f t="shared" si="15"/>
        <v>1913</v>
      </c>
      <c r="AR7" s="65"/>
      <c r="AS7" s="13">
        <v>2013</v>
      </c>
      <c r="AT7" s="68">
        <f t="shared" si="16"/>
        <v>0.89904682166548588</v>
      </c>
      <c r="AU7" s="68">
        <f t="shared" si="17"/>
        <v>0.10095317833451407</v>
      </c>
      <c r="AV7" s="68">
        <f t="shared" si="18"/>
        <v>0.89345535219079308</v>
      </c>
      <c r="AW7" s="68">
        <f t="shared" si="19"/>
        <v>0.10654464780920687</v>
      </c>
      <c r="AX7" s="68"/>
      <c r="AY7" s="69"/>
      <c r="AZ7" s="68">
        <f t="shared" si="20"/>
        <v>0.83357176919408682</v>
      </c>
      <c r="BA7" s="68">
        <f t="shared" si="21"/>
        <v>0.16642823080591321</v>
      </c>
      <c r="BB7" s="68">
        <f t="shared" si="22"/>
        <v>0.83220073183481447</v>
      </c>
      <c r="BC7" s="68">
        <f t="shared" si="23"/>
        <v>0.16779926816518556</v>
      </c>
      <c r="BD7" s="1"/>
      <c r="BE7" s="70"/>
      <c r="BF7" s="68">
        <f t="shared" si="24"/>
        <v>-0.10317689762616042</v>
      </c>
      <c r="BG7" s="68">
        <f t="shared" si="25"/>
        <v>-5.708848715509039E-3</v>
      </c>
      <c r="BH7" s="68">
        <f t="shared" si="26"/>
        <v>-9.421304398553261E-2</v>
      </c>
      <c r="BI7" s="69"/>
      <c r="BJ7" s="68">
        <f t="shared" si="27"/>
        <v>-6.9435618970596732E-2</v>
      </c>
      <c r="BK7" s="68">
        <f t="shared" si="28"/>
        <v>8.9285714285714281E-3</v>
      </c>
      <c r="BL7" s="68">
        <f t="shared" si="29"/>
        <v>-6.1670569867291178E-2</v>
      </c>
      <c r="BM7" s="69"/>
      <c r="BN7" s="68">
        <f t="shared" si="30"/>
        <v>-0.11359026369168357</v>
      </c>
      <c r="BO7" s="68">
        <f t="shared" si="31"/>
        <v>4.1791044776119404E-2</v>
      </c>
      <c r="BP7" s="68">
        <f t="shared" si="32"/>
        <v>-9.1027308192457732E-2</v>
      </c>
      <c r="BQ7" s="69"/>
      <c r="BR7" s="68">
        <f t="shared" si="33"/>
        <v>-0.14085267134376686</v>
      </c>
      <c r="BS7" s="68">
        <f t="shared" si="34"/>
        <v>2.2292993630573247E-2</v>
      </c>
      <c r="BT7" s="68">
        <f t="shared" si="35"/>
        <v>-0.1172127365020766</v>
      </c>
      <c r="BU7" s="1"/>
      <c r="BV7" s="1"/>
      <c r="BW7" s="1"/>
      <c r="BX7" s="1"/>
      <c r="BY7" s="1"/>
    </row>
    <row r="8" spans="1:77" ht="18.75" x14ac:dyDescent="0.3">
      <c r="A8" s="13">
        <v>1393</v>
      </c>
      <c r="B8" s="13">
        <v>2014</v>
      </c>
      <c r="C8" s="22">
        <v>5784</v>
      </c>
      <c r="D8" s="10">
        <f>4984456.96/1000</f>
        <v>4984.4569599999995</v>
      </c>
      <c r="E8" s="3">
        <f t="shared" si="3"/>
        <v>799.54304000000047</v>
      </c>
      <c r="F8" s="3">
        <f t="shared" si="0"/>
        <v>10768.45696</v>
      </c>
      <c r="G8" s="36">
        <f t="shared" si="1"/>
        <v>0.53712430866232486</v>
      </c>
      <c r="H8" s="36">
        <f t="shared" si="2"/>
        <v>0.46287569133767514</v>
      </c>
      <c r="I8" s="2">
        <v>49892</v>
      </c>
      <c r="J8" s="16">
        <f>7635591.119/1000</f>
        <v>7635.5911189999997</v>
      </c>
      <c r="K8" s="2">
        <f t="shared" si="4"/>
        <v>42256.408881000003</v>
      </c>
      <c r="L8" s="6">
        <f t="shared" si="10"/>
        <v>57527.591118999997</v>
      </c>
      <c r="M8" s="35">
        <f t="shared" si="11"/>
        <v>0.86727080048936478</v>
      </c>
      <c r="N8" s="35">
        <f t="shared" si="5"/>
        <v>0.13272919951063525</v>
      </c>
      <c r="O8" s="23">
        <v>857013</v>
      </c>
      <c r="P8" s="14">
        <f>8778517.9/1000</f>
        <v>8778.5179000000007</v>
      </c>
      <c r="Q8" s="33">
        <f t="shared" si="6"/>
        <v>848234.48210000002</v>
      </c>
      <c r="R8" s="33">
        <f t="shared" si="7"/>
        <v>865791.51789999998</v>
      </c>
      <c r="S8" s="34">
        <f t="shared" si="8"/>
        <v>0.98986070235327261</v>
      </c>
      <c r="T8" s="34">
        <f t="shared" si="9"/>
        <v>1.0139297646727385E-2</v>
      </c>
      <c r="U8" s="28"/>
      <c r="V8" s="38">
        <v>1393</v>
      </c>
      <c r="W8" s="13">
        <v>2014</v>
      </c>
      <c r="X8" s="38" t="s">
        <v>8</v>
      </c>
      <c r="Y8" s="40">
        <v>34972</v>
      </c>
      <c r="Z8" s="40">
        <v>4101</v>
      </c>
      <c r="AA8" s="40">
        <f t="shared" si="12"/>
        <v>39073</v>
      </c>
      <c r="AB8" s="28"/>
      <c r="AC8" s="38" t="s">
        <v>11</v>
      </c>
      <c r="AD8" s="41">
        <v>18369</v>
      </c>
      <c r="AE8" s="41">
        <v>2259</v>
      </c>
      <c r="AF8" s="41">
        <f t="shared" si="13"/>
        <v>20628</v>
      </c>
      <c r="AG8" s="28"/>
      <c r="AH8" s="13">
        <v>2014</v>
      </c>
      <c r="AI8" s="38" t="s">
        <v>8</v>
      </c>
      <c r="AJ8" s="85">
        <v>2749</v>
      </c>
      <c r="AK8" s="85">
        <v>582</v>
      </c>
      <c r="AL8" s="85">
        <f t="shared" si="14"/>
        <v>3331</v>
      </c>
      <c r="AM8" s="43"/>
      <c r="AN8" s="41" t="s">
        <v>11</v>
      </c>
      <c r="AO8" s="41">
        <v>2316</v>
      </c>
      <c r="AP8" s="41">
        <v>469</v>
      </c>
      <c r="AQ8" s="41">
        <f t="shared" si="15"/>
        <v>2785</v>
      </c>
      <c r="AR8" s="65"/>
      <c r="AS8" s="13">
        <v>2014</v>
      </c>
      <c r="AT8" s="68">
        <f t="shared" si="16"/>
        <v>0.89504261254574768</v>
      </c>
      <c r="AU8" s="68">
        <f t="shared" si="17"/>
        <v>0.1049573874542523</v>
      </c>
      <c r="AV8" s="68">
        <f t="shared" si="18"/>
        <v>0.89048865619546247</v>
      </c>
      <c r="AW8" s="68">
        <f t="shared" si="19"/>
        <v>0.10951134380453752</v>
      </c>
      <c r="AX8" s="68"/>
      <c r="AY8" s="69"/>
      <c r="AZ8" s="68">
        <f t="shared" si="20"/>
        <v>0.82527769438607024</v>
      </c>
      <c r="BA8" s="68">
        <f t="shared" si="21"/>
        <v>0.17472230561392976</v>
      </c>
      <c r="BB8" s="68">
        <f t="shared" si="22"/>
        <v>0.83159784560143624</v>
      </c>
      <c r="BC8" s="68">
        <f t="shared" si="23"/>
        <v>0.16840215439856374</v>
      </c>
      <c r="BD8" s="1"/>
      <c r="BE8" s="70"/>
      <c r="BF8" s="68">
        <f t="shared" si="24"/>
        <v>0.25262366130592068</v>
      </c>
      <c r="BG8" s="68">
        <f t="shared" si="25"/>
        <v>0.30813397129186604</v>
      </c>
      <c r="BH8" s="68">
        <f t="shared" si="26"/>
        <v>0.25822760352933599</v>
      </c>
      <c r="BI8" s="69"/>
      <c r="BJ8" s="68">
        <f t="shared" si="27"/>
        <v>0.14029424545285243</v>
      </c>
      <c r="BK8" s="68">
        <f t="shared" si="28"/>
        <v>0.17595002602811036</v>
      </c>
      <c r="BL8" s="68">
        <f t="shared" si="29"/>
        <v>0.14409317803660565</v>
      </c>
      <c r="BM8" s="69"/>
      <c r="BN8" s="68">
        <f t="shared" si="30"/>
        <v>0.57265446224256289</v>
      </c>
      <c r="BO8" s="68">
        <f t="shared" si="31"/>
        <v>0.66762177650429799</v>
      </c>
      <c r="BP8" s="68">
        <f t="shared" si="32"/>
        <v>0.58845970433953265</v>
      </c>
      <c r="BQ8" s="69"/>
      <c r="BR8" s="68">
        <f t="shared" si="33"/>
        <v>0.45477386934673369</v>
      </c>
      <c r="BS8" s="68">
        <f t="shared" si="34"/>
        <v>0.46105919003115264</v>
      </c>
      <c r="BT8" s="68">
        <f t="shared" si="35"/>
        <v>0.4558285415577627</v>
      </c>
      <c r="BU8" s="1"/>
      <c r="BV8" s="1"/>
      <c r="BW8" s="1"/>
      <c r="BX8" s="1"/>
      <c r="BY8" s="1"/>
    </row>
    <row r="9" spans="1:77" ht="18.75" x14ac:dyDescent="0.3">
      <c r="A9" s="13">
        <v>1394</v>
      </c>
      <c r="B9" s="13">
        <v>2015</v>
      </c>
      <c r="C9" s="22">
        <v>5287</v>
      </c>
      <c r="D9" s="11">
        <f>4521667.36/1000</f>
        <v>4521.6673600000004</v>
      </c>
      <c r="E9" s="3">
        <f t="shared" si="3"/>
        <v>765.33263999999963</v>
      </c>
      <c r="F9" s="3">
        <f t="shared" si="0"/>
        <v>9808.6673599999995</v>
      </c>
      <c r="G9" s="36">
        <f t="shared" si="1"/>
        <v>0.5390130795504926</v>
      </c>
      <c r="H9" s="36">
        <f t="shared" si="2"/>
        <v>0.46098692044950751</v>
      </c>
      <c r="I9" s="2">
        <v>52462</v>
      </c>
      <c r="J9" s="17">
        <f>9477437.166/1000</f>
        <v>9477.4371659999997</v>
      </c>
      <c r="K9" s="2">
        <f t="shared" si="4"/>
        <v>42984.562833999997</v>
      </c>
      <c r="L9" s="6">
        <f t="shared" si="10"/>
        <v>61939.437166000003</v>
      </c>
      <c r="M9" s="35">
        <f t="shared" si="11"/>
        <v>0.84698864568949639</v>
      </c>
      <c r="N9" s="35">
        <f t="shared" si="5"/>
        <v>0.15301135431050358</v>
      </c>
      <c r="O9" s="23">
        <v>923135</v>
      </c>
      <c r="P9" s="15">
        <f>9054517.1478/1000</f>
        <v>9054.5171478000011</v>
      </c>
      <c r="Q9" s="33">
        <f t="shared" si="6"/>
        <v>914080.48285220005</v>
      </c>
      <c r="R9" s="33">
        <f t="shared" si="7"/>
        <v>932189.51714779995</v>
      </c>
      <c r="S9" s="34">
        <f t="shared" si="8"/>
        <v>0.99028682796658785</v>
      </c>
      <c r="T9" s="34">
        <f t="shared" si="9"/>
        <v>9.7131720334121662E-3</v>
      </c>
      <c r="U9" s="28"/>
      <c r="V9" s="38">
        <v>1394</v>
      </c>
      <c r="W9" s="13">
        <v>2015</v>
      </c>
      <c r="X9" s="38" t="s">
        <v>8</v>
      </c>
      <c r="Y9" s="40">
        <v>31672</v>
      </c>
      <c r="Z9" s="40">
        <v>3695</v>
      </c>
      <c r="AA9" s="40">
        <f t="shared" si="12"/>
        <v>35367</v>
      </c>
      <c r="AB9" s="28"/>
      <c r="AC9" s="38" t="s">
        <v>11</v>
      </c>
      <c r="AD9" s="41">
        <v>17006</v>
      </c>
      <c r="AE9" s="41">
        <v>2130</v>
      </c>
      <c r="AF9" s="41">
        <f t="shared" si="13"/>
        <v>19136</v>
      </c>
      <c r="AG9" s="28"/>
      <c r="AH9" s="13">
        <v>2015</v>
      </c>
      <c r="AI9" s="38" t="s">
        <v>8</v>
      </c>
      <c r="AJ9" s="85">
        <v>2691</v>
      </c>
      <c r="AK9" s="85">
        <v>565</v>
      </c>
      <c r="AL9" s="85">
        <f t="shared" si="14"/>
        <v>3256</v>
      </c>
      <c r="AM9" s="43"/>
      <c r="AN9" s="41" t="s">
        <v>11</v>
      </c>
      <c r="AO9" s="41">
        <v>2320</v>
      </c>
      <c r="AP9" s="41">
        <v>471</v>
      </c>
      <c r="AQ9" s="41">
        <f t="shared" si="15"/>
        <v>2791</v>
      </c>
      <c r="AR9" s="65"/>
      <c r="AS9" s="13">
        <v>2015</v>
      </c>
      <c r="AT9" s="68">
        <f t="shared" si="16"/>
        <v>0.89552407611615348</v>
      </c>
      <c r="AU9" s="68">
        <f t="shared" si="17"/>
        <v>0.10447592388384652</v>
      </c>
      <c r="AV9" s="68">
        <f t="shared" si="18"/>
        <v>0.88869147157190631</v>
      </c>
      <c r="AW9" s="68">
        <f t="shared" si="19"/>
        <v>0.11130852842809365</v>
      </c>
      <c r="AX9" s="68"/>
      <c r="AY9" s="69"/>
      <c r="AZ9" s="68">
        <f t="shared" si="20"/>
        <v>0.82647420147420148</v>
      </c>
      <c r="BA9" s="68">
        <f t="shared" si="21"/>
        <v>0.17352579852579852</v>
      </c>
      <c r="BB9" s="68">
        <f t="shared" si="22"/>
        <v>0.83124328197778574</v>
      </c>
      <c r="BC9" s="68">
        <f t="shared" si="23"/>
        <v>0.16875671802221426</v>
      </c>
      <c r="BD9" s="1"/>
      <c r="BE9" s="70"/>
      <c r="BF9" s="68">
        <f t="shared" si="24"/>
        <v>-9.436120324831293E-2</v>
      </c>
      <c r="BG9" s="68">
        <f t="shared" si="25"/>
        <v>-9.900024384296513E-2</v>
      </c>
      <c r="BH9" s="68">
        <f t="shared" si="26"/>
        <v>-9.4848104829421853E-2</v>
      </c>
      <c r="BI9" s="69"/>
      <c r="BJ9" s="68">
        <f t="shared" si="27"/>
        <v>-7.4201099678806684E-2</v>
      </c>
      <c r="BK9" s="68">
        <f t="shared" si="28"/>
        <v>-5.7104913678618856E-2</v>
      </c>
      <c r="BL9" s="68">
        <f t="shared" si="29"/>
        <v>-7.2328873375993794E-2</v>
      </c>
      <c r="BM9" s="69"/>
      <c r="BN9" s="68">
        <f t="shared" si="30"/>
        <v>-2.1098581302291742E-2</v>
      </c>
      <c r="BO9" s="68">
        <f t="shared" si="31"/>
        <v>-2.9209621993127148E-2</v>
      </c>
      <c r="BP9" s="68">
        <f t="shared" si="32"/>
        <v>-2.2515761032722906E-2</v>
      </c>
      <c r="BQ9" s="69"/>
      <c r="BR9" s="68">
        <f t="shared" si="33"/>
        <v>1.7271157167530224E-3</v>
      </c>
      <c r="BS9" s="68">
        <f t="shared" si="34"/>
        <v>4.2643923240938165E-3</v>
      </c>
      <c r="BT9" s="68">
        <f t="shared" si="35"/>
        <v>2.1543985637342907E-3</v>
      </c>
      <c r="BU9" s="1"/>
      <c r="BV9" s="1"/>
      <c r="BW9" s="1"/>
      <c r="BX9" s="1"/>
      <c r="BY9" s="1"/>
    </row>
    <row r="10" spans="1:77" ht="18.75" x14ac:dyDescent="0.3">
      <c r="A10" s="13">
        <v>1395</v>
      </c>
      <c r="B10" s="13">
        <v>2016</v>
      </c>
      <c r="C10" s="22">
        <v>4983</v>
      </c>
      <c r="D10" s="10">
        <f>3916234.72/1000</f>
        <v>3916.2347200000004</v>
      </c>
      <c r="E10" s="3">
        <f t="shared" si="3"/>
        <v>1066.7652799999996</v>
      </c>
      <c r="F10" s="3">
        <f t="shared" si="0"/>
        <v>8899.2347200000004</v>
      </c>
      <c r="G10" s="36">
        <f t="shared" si="1"/>
        <v>0.55993578737745664</v>
      </c>
      <c r="H10" s="36">
        <f t="shared" si="2"/>
        <v>0.44006421262254336</v>
      </c>
      <c r="I10" s="2">
        <v>73188</v>
      </c>
      <c r="J10" s="16">
        <f>11111406.152/1000</f>
        <v>11111.406152000001</v>
      </c>
      <c r="K10" s="2">
        <f t="shared" si="4"/>
        <v>62076.593847999997</v>
      </c>
      <c r="L10" s="6">
        <f t="shared" si="10"/>
        <v>84299.406151999996</v>
      </c>
      <c r="M10" s="35">
        <f t="shared" si="11"/>
        <v>0.86819116931897411</v>
      </c>
      <c r="N10" s="35">
        <f t="shared" si="5"/>
        <v>0.13180883068102592</v>
      </c>
      <c r="O10" s="23">
        <v>457800</v>
      </c>
      <c r="P10" s="14">
        <f>12409312.464/1000</f>
        <v>12409.312464000001</v>
      </c>
      <c r="Q10" s="33">
        <f t="shared" si="6"/>
        <v>445390.68753599998</v>
      </c>
      <c r="R10" s="33">
        <f t="shared" si="7"/>
        <v>470209.31246400002</v>
      </c>
      <c r="S10" s="34">
        <f t="shared" si="8"/>
        <v>0.97360896065845126</v>
      </c>
      <c r="T10" s="34">
        <f t="shared" si="9"/>
        <v>2.6391039341548721E-2</v>
      </c>
      <c r="U10" s="28"/>
      <c r="V10" s="38">
        <v>1395</v>
      </c>
      <c r="W10" s="13">
        <v>2016</v>
      </c>
      <c r="X10" s="38" t="s">
        <v>8</v>
      </c>
      <c r="Y10" s="40">
        <v>34715</v>
      </c>
      <c r="Z10" s="40">
        <v>4241</v>
      </c>
      <c r="AA10" s="40">
        <f t="shared" si="12"/>
        <v>38956</v>
      </c>
      <c r="AB10" s="28"/>
      <c r="AC10" s="38" t="s">
        <v>11</v>
      </c>
      <c r="AD10" s="41">
        <v>19707</v>
      </c>
      <c r="AE10" s="41">
        <v>2443</v>
      </c>
      <c r="AF10" s="41">
        <f t="shared" si="13"/>
        <v>22150</v>
      </c>
      <c r="AG10" s="28"/>
      <c r="AH10" s="13">
        <v>2016</v>
      </c>
      <c r="AI10" s="38" t="s">
        <v>8</v>
      </c>
      <c r="AJ10" s="85">
        <v>4182</v>
      </c>
      <c r="AK10" s="85">
        <v>721</v>
      </c>
      <c r="AL10" s="85">
        <f t="shared" si="14"/>
        <v>4903</v>
      </c>
      <c r="AM10" s="43"/>
      <c r="AN10" s="41" t="s">
        <v>11</v>
      </c>
      <c r="AO10" s="41">
        <v>3353</v>
      </c>
      <c r="AP10" s="41">
        <v>545</v>
      </c>
      <c r="AQ10" s="41">
        <f t="shared" si="15"/>
        <v>3898</v>
      </c>
      <c r="AR10" s="65"/>
      <c r="AS10" s="13">
        <v>2016</v>
      </c>
      <c r="AT10" s="68">
        <f t="shared" si="16"/>
        <v>0.89113358661053499</v>
      </c>
      <c r="AU10" s="68">
        <f t="shared" si="17"/>
        <v>0.10886641338946504</v>
      </c>
      <c r="AV10" s="68">
        <f t="shared" si="18"/>
        <v>0.88970654627539503</v>
      </c>
      <c r="AW10" s="68">
        <f t="shared" si="19"/>
        <v>0.11029345372460497</v>
      </c>
      <c r="AX10" s="68"/>
      <c r="AY10" s="69"/>
      <c r="AZ10" s="68">
        <f t="shared" si="20"/>
        <v>0.85294717519885788</v>
      </c>
      <c r="BA10" s="68">
        <f t="shared" si="21"/>
        <v>0.14705282480114215</v>
      </c>
      <c r="BB10" s="68">
        <f t="shared" si="22"/>
        <v>0.86018471010774755</v>
      </c>
      <c r="BC10" s="68">
        <f t="shared" si="23"/>
        <v>0.13981528989225245</v>
      </c>
      <c r="BD10" s="1"/>
      <c r="BE10" s="70"/>
      <c r="BF10" s="68">
        <f t="shared" si="24"/>
        <v>9.6078555190704726E-2</v>
      </c>
      <c r="BG10" s="68">
        <f t="shared" si="25"/>
        <v>0.14776725304465493</v>
      </c>
      <c r="BH10" s="68">
        <f t="shared" si="26"/>
        <v>0.10147877965334917</v>
      </c>
      <c r="BI10" s="69"/>
      <c r="BJ10" s="68">
        <f t="shared" si="27"/>
        <v>0.15882629660119957</v>
      </c>
      <c r="BK10" s="68">
        <f t="shared" si="28"/>
        <v>0.14694835680751173</v>
      </c>
      <c r="BL10" s="68">
        <f t="shared" si="29"/>
        <v>0.15750418060200669</v>
      </c>
      <c r="BM10" s="69"/>
      <c r="BN10" s="68">
        <f t="shared" si="30"/>
        <v>0.55406911928651059</v>
      </c>
      <c r="BO10" s="68">
        <f t="shared" si="31"/>
        <v>0.27610619469026548</v>
      </c>
      <c r="BP10" s="68">
        <f t="shared" si="32"/>
        <v>0.50583538083538082</v>
      </c>
      <c r="BQ10" s="69"/>
      <c r="BR10" s="68">
        <f t="shared" si="33"/>
        <v>0.44525862068965516</v>
      </c>
      <c r="BS10" s="68">
        <f t="shared" si="34"/>
        <v>0.15711252653927812</v>
      </c>
      <c r="BT10" s="68">
        <f t="shared" si="35"/>
        <v>0.39663203152991761</v>
      </c>
      <c r="BU10" s="1"/>
      <c r="BV10" s="1"/>
      <c r="BW10" s="1"/>
      <c r="BX10" s="1"/>
      <c r="BY10" s="1"/>
    </row>
    <row r="11" spans="1:77" ht="18.75" x14ac:dyDescent="0.3">
      <c r="A11" s="13">
        <v>1396</v>
      </c>
      <c r="B11" s="13">
        <v>2017</v>
      </c>
      <c r="C11" s="22">
        <v>5197</v>
      </c>
      <c r="D11" s="10">
        <f>4375432.99/1000</f>
        <v>4375.4329900000002</v>
      </c>
      <c r="E11" s="3">
        <f t="shared" si="3"/>
        <v>821.56700999999975</v>
      </c>
      <c r="F11" s="3">
        <f t="shared" si="0"/>
        <v>9572.4329900000012</v>
      </c>
      <c r="G11" s="36">
        <f t="shared" si="1"/>
        <v>0.54291317635016423</v>
      </c>
      <c r="H11" s="36">
        <f t="shared" si="2"/>
        <v>0.45708682364983572</v>
      </c>
      <c r="I11" s="2">
        <v>59287</v>
      </c>
      <c r="J11" s="16">
        <f>13354452.12/1000</f>
        <v>13354.45212</v>
      </c>
      <c r="K11" s="2">
        <f t="shared" si="4"/>
        <v>45932.547879999998</v>
      </c>
      <c r="L11" s="6">
        <f t="shared" si="10"/>
        <v>72641.452120000002</v>
      </c>
      <c r="M11" s="35">
        <f t="shared" si="11"/>
        <v>0.81615934524630473</v>
      </c>
      <c r="N11" s="35">
        <f t="shared" si="5"/>
        <v>0.18384065475369518</v>
      </c>
      <c r="O11" s="23">
        <v>593612</v>
      </c>
      <c r="P11" s="14">
        <f>14713632.92/1000</f>
        <v>14713.63292</v>
      </c>
      <c r="Q11" s="33">
        <f t="shared" si="6"/>
        <v>578898.36708</v>
      </c>
      <c r="R11" s="33">
        <f t="shared" si="7"/>
        <v>608325.63292</v>
      </c>
      <c r="S11" s="34">
        <f t="shared" si="8"/>
        <v>0.97581289999342347</v>
      </c>
      <c r="T11" s="34">
        <f t="shared" si="9"/>
        <v>2.4187100006576524E-2</v>
      </c>
      <c r="U11" s="28"/>
      <c r="V11" s="38">
        <v>1396</v>
      </c>
      <c r="W11" s="13">
        <v>2017</v>
      </c>
      <c r="X11" s="38" t="s">
        <v>8</v>
      </c>
      <c r="Y11" s="40">
        <v>36507</v>
      </c>
      <c r="Z11" s="40">
        <v>4739</v>
      </c>
      <c r="AA11" s="40">
        <f t="shared" si="12"/>
        <v>41246</v>
      </c>
      <c r="AB11" s="28"/>
      <c r="AC11" s="38" t="s">
        <v>11</v>
      </c>
      <c r="AD11" s="41">
        <v>21006</v>
      </c>
      <c r="AE11" s="41">
        <v>2708</v>
      </c>
      <c r="AF11" s="41">
        <f t="shared" si="13"/>
        <v>23714</v>
      </c>
      <c r="AG11" s="28"/>
      <c r="AH11" s="13">
        <v>2017</v>
      </c>
      <c r="AI11" s="38" t="s">
        <v>8</v>
      </c>
      <c r="AJ11" s="85">
        <v>7321</v>
      </c>
      <c r="AK11" s="85">
        <v>1229</v>
      </c>
      <c r="AL11" s="85">
        <f t="shared" si="14"/>
        <v>8550</v>
      </c>
      <c r="AM11" s="43"/>
      <c r="AN11" s="41" t="s">
        <v>11</v>
      </c>
      <c r="AO11" s="41">
        <v>4786</v>
      </c>
      <c r="AP11" s="41">
        <v>768</v>
      </c>
      <c r="AQ11" s="41">
        <f t="shared" si="15"/>
        <v>5554</v>
      </c>
      <c r="AR11" s="65"/>
      <c r="AS11" s="13">
        <v>2017</v>
      </c>
      <c r="AT11" s="68">
        <f t="shared" si="16"/>
        <v>0.88510401008582651</v>
      </c>
      <c r="AU11" s="68">
        <f t="shared" si="17"/>
        <v>0.11489598991417349</v>
      </c>
      <c r="AV11" s="68">
        <f t="shared" si="18"/>
        <v>0.88580585308256721</v>
      </c>
      <c r="AW11" s="68">
        <f t="shared" si="19"/>
        <v>0.11419414691743274</v>
      </c>
      <c r="AX11" s="68"/>
      <c r="AY11" s="69"/>
      <c r="AZ11" s="68">
        <f t="shared" si="20"/>
        <v>0.85625730994152049</v>
      </c>
      <c r="BA11" s="68">
        <f t="shared" si="21"/>
        <v>0.14374269005847953</v>
      </c>
      <c r="BB11" s="68">
        <f t="shared" si="22"/>
        <v>0.86172128195894848</v>
      </c>
      <c r="BC11" s="68">
        <f t="shared" si="23"/>
        <v>0.13827871804105149</v>
      </c>
      <c r="BD11" s="1"/>
      <c r="BE11" s="70"/>
      <c r="BF11" s="68">
        <f t="shared" si="24"/>
        <v>5.1620337030102263E-2</v>
      </c>
      <c r="BG11" s="68">
        <f t="shared" si="25"/>
        <v>0.11742513558123084</v>
      </c>
      <c r="BH11" s="68">
        <f t="shared" si="26"/>
        <v>5.8784269432179896E-2</v>
      </c>
      <c r="BI11" s="69"/>
      <c r="BJ11" s="68">
        <f t="shared" si="27"/>
        <v>6.5915664484700862E-2</v>
      </c>
      <c r="BK11" s="68">
        <f t="shared" si="28"/>
        <v>0.10847318870241507</v>
      </c>
      <c r="BL11" s="68">
        <f t="shared" si="29"/>
        <v>7.0609480812641082E-2</v>
      </c>
      <c r="BM11" s="69"/>
      <c r="BN11" s="68">
        <f t="shared" si="30"/>
        <v>0.75059780009564803</v>
      </c>
      <c r="BO11" s="68">
        <f t="shared" si="31"/>
        <v>0.70457697642163664</v>
      </c>
      <c r="BP11" s="68">
        <f t="shared" si="32"/>
        <v>0.74383030797470939</v>
      </c>
      <c r="BQ11" s="69"/>
      <c r="BR11" s="68">
        <f t="shared" si="33"/>
        <v>0.42737846704443783</v>
      </c>
      <c r="BS11" s="68">
        <f t="shared" si="34"/>
        <v>0.40917431192660553</v>
      </c>
      <c r="BT11" s="68">
        <f t="shared" si="35"/>
        <v>0.42483324781939458</v>
      </c>
      <c r="BU11" s="1"/>
      <c r="BV11" s="1"/>
      <c r="BW11" s="1"/>
      <c r="BX11" s="1"/>
      <c r="BY11" s="1"/>
    </row>
    <row r="12" spans="1:77" ht="18.75" x14ac:dyDescent="0.3">
      <c r="A12" s="21">
        <v>1397</v>
      </c>
      <c r="B12" s="32">
        <v>2018</v>
      </c>
      <c r="C12" s="22">
        <v>6630</v>
      </c>
      <c r="D12" s="10">
        <f>213127/1000</f>
        <v>213.12700000000001</v>
      </c>
      <c r="E12" s="3">
        <f t="shared" si="3"/>
        <v>6416.8729999999996</v>
      </c>
      <c r="F12" s="3">
        <f t="shared" si="0"/>
        <v>6843.1270000000004</v>
      </c>
      <c r="G12" s="36">
        <f t="shared" si="1"/>
        <v>0.96885532008977759</v>
      </c>
      <c r="H12" s="36">
        <f t="shared" si="2"/>
        <v>3.114467991022233E-2</v>
      </c>
      <c r="I12" s="2">
        <v>46068</v>
      </c>
      <c r="J12" s="16">
        <f>14372299/1000</f>
        <v>14372.299000000001</v>
      </c>
      <c r="K12" s="2">
        <f t="shared" si="4"/>
        <v>31695.701000000001</v>
      </c>
      <c r="L12" s="6">
        <f t="shared" si="10"/>
        <v>60440.298999999999</v>
      </c>
      <c r="M12" s="35">
        <f t="shared" si="11"/>
        <v>0.76220668597288044</v>
      </c>
      <c r="N12" s="35">
        <f t="shared" si="5"/>
        <v>0.23779331402711956</v>
      </c>
      <c r="O12" s="23">
        <v>207567</v>
      </c>
      <c r="P12" s="14">
        <f>8682787/1000</f>
        <v>8682.7870000000003</v>
      </c>
      <c r="Q12" s="33">
        <f t="shared" si="6"/>
        <v>198884.21299999999</v>
      </c>
      <c r="R12" s="33">
        <f t="shared" si="7"/>
        <v>216249.78700000001</v>
      </c>
      <c r="S12" s="34">
        <f t="shared" si="8"/>
        <v>0.95984834426680843</v>
      </c>
      <c r="T12" s="34">
        <f t="shared" si="9"/>
        <v>4.0151655733191544E-2</v>
      </c>
      <c r="U12" s="28"/>
      <c r="V12" s="38">
        <v>1397</v>
      </c>
      <c r="W12" s="32">
        <v>2018</v>
      </c>
      <c r="X12" s="38" t="s">
        <v>8</v>
      </c>
      <c r="Y12" s="40">
        <v>42108</v>
      </c>
      <c r="Z12" s="40">
        <v>5676</v>
      </c>
      <c r="AA12" s="40">
        <f t="shared" si="12"/>
        <v>47784</v>
      </c>
      <c r="AB12" s="28"/>
      <c r="AC12" s="38" t="s">
        <v>11</v>
      </c>
      <c r="AD12" s="41">
        <v>21810</v>
      </c>
      <c r="AE12" s="41">
        <v>2926</v>
      </c>
      <c r="AF12" s="41">
        <f t="shared" si="13"/>
        <v>24736</v>
      </c>
      <c r="AG12" s="28"/>
      <c r="AH12" s="32">
        <v>2018</v>
      </c>
      <c r="AI12" s="38" t="s">
        <v>8</v>
      </c>
      <c r="AJ12" s="85">
        <v>6860</v>
      </c>
      <c r="AK12" s="85">
        <v>1136</v>
      </c>
      <c r="AL12" s="85">
        <f t="shared" si="14"/>
        <v>7996</v>
      </c>
      <c r="AM12" s="43"/>
      <c r="AN12" s="41" t="s">
        <v>11</v>
      </c>
      <c r="AO12" s="41">
        <v>4903</v>
      </c>
      <c r="AP12" s="41">
        <v>791</v>
      </c>
      <c r="AQ12" s="41">
        <f t="shared" si="15"/>
        <v>5694</v>
      </c>
      <c r="AR12" s="65"/>
      <c r="AS12" s="32">
        <v>2018</v>
      </c>
      <c r="AT12" s="68">
        <f t="shared" si="16"/>
        <v>0.88121546961325969</v>
      </c>
      <c r="AU12" s="68">
        <f t="shared" si="17"/>
        <v>0.11878453038674033</v>
      </c>
      <c r="AV12" s="68">
        <f t="shared" si="18"/>
        <v>0.88171086675291077</v>
      </c>
      <c r="AW12" s="68">
        <f t="shared" si="19"/>
        <v>0.11828913324708926</v>
      </c>
      <c r="AX12" s="68"/>
      <c r="AY12" s="69"/>
      <c r="AZ12" s="68">
        <f t="shared" si="20"/>
        <v>0.8579289644822411</v>
      </c>
      <c r="BA12" s="68">
        <f t="shared" si="21"/>
        <v>0.14207103551775888</v>
      </c>
      <c r="BB12" s="68">
        <f t="shared" si="22"/>
        <v>0.86108184053389536</v>
      </c>
      <c r="BC12" s="68">
        <f t="shared" si="23"/>
        <v>0.13891815946610467</v>
      </c>
      <c r="BD12" s="1"/>
      <c r="BE12" s="70"/>
      <c r="BF12" s="68">
        <f t="shared" si="24"/>
        <v>0.1534226312761936</v>
      </c>
      <c r="BG12" s="68">
        <f t="shared" si="25"/>
        <v>0.19772103819371176</v>
      </c>
      <c r="BH12" s="68">
        <f t="shared" si="26"/>
        <v>0.15851234059060273</v>
      </c>
      <c r="BI12" s="69"/>
      <c r="BJ12" s="68">
        <f t="shared" si="27"/>
        <v>3.8274778634675807E-2</v>
      </c>
      <c r="BK12" s="68">
        <f t="shared" si="28"/>
        <v>8.0502215657311665E-2</v>
      </c>
      <c r="BL12" s="68">
        <f t="shared" si="29"/>
        <v>4.3096904781985322E-2</v>
      </c>
      <c r="BM12" s="69"/>
      <c r="BN12" s="68">
        <f t="shared" si="30"/>
        <v>-6.2969539680371528E-2</v>
      </c>
      <c r="BO12" s="68">
        <f t="shared" si="31"/>
        <v>-7.5671277461350689E-2</v>
      </c>
      <c r="BP12" s="68">
        <f t="shared" si="32"/>
        <v>-6.4795321637426906E-2</v>
      </c>
      <c r="BQ12" s="69"/>
      <c r="BR12" s="68">
        <f t="shared" si="33"/>
        <v>2.4446301713330548E-2</v>
      </c>
      <c r="BS12" s="68">
        <f t="shared" si="34"/>
        <v>2.9947916666666668E-2</v>
      </c>
      <c r="BT12" s="68">
        <f t="shared" si="35"/>
        <v>2.5207057976233346E-2</v>
      </c>
      <c r="BU12" s="1"/>
      <c r="BV12" s="1"/>
      <c r="BW12" s="1"/>
      <c r="BX12" s="1"/>
      <c r="BY12" s="1"/>
    </row>
    <row r="13" spans="1:77" ht="18.75" x14ac:dyDescent="0.3">
      <c r="A13" s="21">
        <v>1398</v>
      </c>
      <c r="B13" s="21">
        <v>2019</v>
      </c>
      <c r="C13" s="22">
        <v>5684</v>
      </c>
      <c r="D13" s="30"/>
      <c r="I13" s="2">
        <v>38809</v>
      </c>
      <c r="J13" s="30"/>
      <c r="O13" s="23">
        <v>473983</v>
      </c>
      <c r="P13" s="29"/>
      <c r="Q13" s="5"/>
      <c r="R13" s="5"/>
      <c r="S13" s="5"/>
      <c r="T13" s="5"/>
      <c r="U13" s="28"/>
      <c r="V13" s="38">
        <v>1398</v>
      </c>
      <c r="W13" s="21">
        <v>2019</v>
      </c>
      <c r="X13" s="38" t="s">
        <v>8</v>
      </c>
      <c r="Y13" s="40">
        <v>36007</v>
      </c>
      <c r="Z13" s="40">
        <v>4588</v>
      </c>
      <c r="AA13" s="40">
        <f t="shared" si="12"/>
        <v>40595</v>
      </c>
      <c r="AB13" s="28"/>
      <c r="AC13" s="38" t="s">
        <v>11</v>
      </c>
      <c r="AD13" s="41">
        <v>23195</v>
      </c>
      <c r="AE13" s="41">
        <v>3072</v>
      </c>
      <c r="AF13" s="41">
        <f t="shared" si="13"/>
        <v>26267</v>
      </c>
      <c r="AG13" s="28"/>
      <c r="AH13" s="21">
        <v>2019</v>
      </c>
      <c r="AI13" s="38" t="s">
        <v>8</v>
      </c>
      <c r="AJ13" s="85">
        <v>7785</v>
      </c>
      <c r="AK13" s="85">
        <v>1441</v>
      </c>
      <c r="AL13" s="85">
        <f t="shared" si="14"/>
        <v>9226</v>
      </c>
      <c r="AM13" s="43"/>
      <c r="AN13" s="41" t="s">
        <v>11</v>
      </c>
      <c r="AO13" s="41">
        <v>4808</v>
      </c>
      <c r="AP13" s="41">
        <v>866</v>
      </c>
      <c r="AQ13" s="41">
        <f t="shared" si="15"/>
        <v>5674</v>
      </c>
      <c r="AR13" s="65"/>
      <c r="AS13" s="21">
        <v>2019</v>
      </c>
      <c r="AT13" s="68">
        <f t="shared" si="16"/>
        <v>0.8869811553146939</v>
      </c>
      <c r="AU13" s="68">
        <f t="shared" si="17"/>
        <v>0.11301884468530607</v>
      </c>
      <c r="AV13" s="68">
        <f t="shared" si="18"/>
        <v>0.88304716945216433</v>
      </c>
      <c r="AW13" s="68">
        <f t="shared" si="19"/>
        <v>0.11695283054783569</v>
      </c>
      <c r="AX13" s="68"/>
      <c r="AY13" s="69"/>
      <c r="AZ13" s="68">
        <f t="shared" si="20"/>
        <v>0.84381096900065033</v>
      </c>
      <c r="BA13" s="68">
        <f t="shared" si="21"/>
        <v>0.15618903099934967</v>
      </c>
      <c r="BB13" s="68">
        <f t="shared" si="22"/>
        <v>0.84737398660556928</v>
      </c>
      <c r="BC13" s="68">
        <f t="shared" si="23"/>
        <v>0.15262601339443074</v>
      </c>
      <c r="BD13" s="1"/>
      <c r="BE13" s="70"/>
      <c r="BF13" s="68">
        <f t="shared" si="24"/>
        <v>-0.14488933219340744</v>
      </c>
      <c r="BG13" s="68">
        <f t="shared" si="25"/>
        <v>-0.19168428470754051</v>
      </c>
      <c r="BH13" s="68">
        <f t="shared" si="26"/>
        <v>-0.15044784865226854</v>
      </c>
      <c r="BI13" s="69"/>
      <c r="BJ13" s="68">
        <f t="shared" si="27"/>
        <v>6.3502980284273272E-2</v>
      </c>
      <c r="BK13" s="68">
        <f t="shared" si="28"/>
        <v>4.9897470950102531E-2</v>
      </c>
      <c r="BL13" s="68">
        <f t="shared" si="29"/>
        <v>6.1893596377749029E-2</v>
      </c>
      <c r="BM13" s="69"/>
      <c r="BN13" s="68">
        <f t="shared" si="30"/>
        <v>0.13483965014577259</v>
      </c>
      <c r="BO13" s="68">
        <f t="shared" si="31"/>
        <v>0.26848591549295775</v>
      </c>
      <c r="BP13" s="68">
        <f t="shared" si="32"/>
        <v>0.15382691345672836</v>
      </c>
      <c r="BQ13" s="69"/>
      <c r="BR13" s="68">
        <f t="shared" si="33"/>
        <v>-1.9375892310830103E-2</v>
      </c>
      <c r="BS13" s="68">
        <f t="shared" si="34"/>
        <v>9.4816687737041716E-2</v>
      </c>
      <c r="BT13" s="68">
        <f t="shared" si="35"/>
        <v>-3.5124692658939235E-3</v>
      </c>
      <c r="BU13" s="1"/>
      <c r="BV13" s="1"/>
      <c r="BW13" s="1"/>
      <c r="BX13" s="1"/>
      <c r="BY13" s="1"/>
    </row>
    <row r="14" spans="1:77" ht="18.75" x14ac:dyDescent="0.3">
      <c r="D14" s="5"/>
      <c r="E14" s="5"/>
      <c r="F14" s="5"/>
      <c r="G14" s="5"/>
      <c r="H14" s="5"/>
      <c r="U14" s="28"/>
      <c r="V14" s="38">
        <v>1399</v>
      </c>
      <c r="W14" s="38">
        <v>2020</v>
      </c>
      <c r="X14" s="38" t="s">
        <v>8</v>
      </c>
      <c r="Y14" s="40" t="s">
        <v>7</v>
      </c>
      <c r="Z14" s="40" t="s">
        <v>7</v>
      </c>
      <c r="AA14" s="40"/>
      <c r="AB14" s="28"/>
      <c r="AC14" s="38" t="s">
        <v>11</v>
      </c>
      <c r="AD14" s="41">
        <v>13199</v>
      </c>
      <c r="AE14" s="41">
        <v>1762</v>
      </c>
      <c r="AF14" s="41">
        <f t="shared" si="13"/>
        <v>14961</v>
      </c>
      <c r="AG14" s="28"/>
      <c r="AH14" s="38">
        <v>2020</v>
      </c>
      <c r="AI14" s="38" t="s">
        <v>8</v>
      </c>
      <c r="AJ14" s="85">
        <v>6168</v>
      </c>
      <c r="AK14" s="85">
        <v>1394</v>
      </c>
      <c r="AL14" s="85">
        <f t="shared" si="14"/>
        <v>7562</v>
      </c>
      <c r="AM14" s="43"/>
      <c r="AN14" s="41" t="s">
        <v>11</v>
      </c>
      <c r="AO14" s="41">
        <v>1694</v>
      </c>
      <c r="AP14" s="41">
        <v>336</v>
      </c>
      <c r="AQ14" s="41">
        <f t="shared" si="15"/>
        <v>2030</v>
      </c>
      <c r="AR14" s="65"/>
      <c r="AS14" s="62">
        <v>2020</v>
      </c>
      <c r="AT14" s="68"/>
      <c r="AU14" s="68"/>
      <c r="AV14" s="68"/>
      <c r="AW14" s="68"/>
      <c r="AX14" s="68"/>
      <c r="AY14" s="69"/>
      <c r="AZ14" s="68">
        <f t="shared" si="20"/>
        <v>0.81565723353610153</v>
      </c>
      <c r="BA14" s="68">
        <f t="shared" si="21"/>
        <v>0.18434276646389844</v>
      </c>
      <c r="BB14" s="68">
        <f t="shared" si="22"/>
        <v>0.83448275862068966</v>
      </c>
      <c r="BC14" s="68">
        <f t="shared" si="23"/>
        <v>0.16551724137931034</v>
      </c>
      <c r="BD14" s="1"/>
      <c r="BE14" s="70"/>
      <c r="BF14" s="68"/>
      <c r="BG14" s="68"/>
      <c r="BH14" s="68"/>
      <c r="BI14" s="69"/>
      <c r="BJ14" s="68">
        <f t="shared" si="27"/>
        <v>-0.4309549471868937</v>
      </c>
      <c r="BK14" s="68">
        <f t="shared" si="28"/>
        <v>-0.42643229166666669</v>
      </c>
      <c r="BL14" s="68">
        <f t="shared" si="29"/>
        <v>-0.43042600982221035</v>
      </c>
      <c r="BM14" s="69"/>
      <c r="BN14" s="68">
        <f t="shared" si="30"/>
        <v>-0.20770712909441233</v>
      </c>
      <c r="BO14" s="68">
        <f t="shared" si="31"/>
        <v>-3.2616238723108953E-2</v>
      </c>
      <c r="BP14" s="68">
        <f t="shared" si="32"/>
        <v>-0.1803598525905051</v>
      </c>
      <c r="BQ14" s="69"/>
      <c r="BR14" s="68">
        <f t="shared" si="33"/>
        <v>-0.64767054908485855</v>
      </c>
      <c r="BS14" s="68">
        <f t="shared" si="34"/>
        <v>-0.61200923787528871</v>
      </c>
      <c r="BT14" s="68">
        <f t="shared" si="35"/>
        <v>-0.64222770532252382</v>
      </c>
      <c r="BU14" s="1"/>
      <c r="BV14" s="1"/>
      <c r="BW14" s="1"/>
      <c r="BX14" s="1"/>
      <c r="BY14" s="1"/>
    </row>
    <row r="15" spans="1:77" x14ac:dyDescent="0.25">
      <c r="D15" s="5"/>
      <c r="E15" s="5"/>
      <c r="F15" s="5"/>
      <c r="G15" s="5"/>
      <c r="H15" s="5"/>
      <c r="U15" s="28"/>
    </row>
    <row r="16" spans="1:77" ht="18.75" x14ac:dyDescent="0.25">
      <c r="A16" s="91" t="s">
        <v>6</v>
      </c>
      <c r="B16" s="91"/>
      <c r="C16" s="4">
        <f>SUM(C4:C13)</f>
        <v>43388</v>
      </c>
      <c r="D16" s="4">
        <f>SUM(D3:D12)</f>
        <v>35573.876429999997</v>
      </c>
      <c r="E16" s="4" t="e">
        <f>SUM(#REF!)</f>
        <v>#REF!</v>
      </c>
      <c r="F16" s="4" t="e">
        <f>SUM(#REF!)</f>
        <v>#REF!</v>
      </c>
      <c r="G16" s="4" t="e">
        <f>C16/F16</f>
        <v>#REF!</v>
      </c>
      <c r="H16" s="4" t="e">
        <f>D16/F16</f>
        <v>#REF!</v>
      </c>
      <c r="I16" s="9">
        <f>SUM(I3:I12)</f>
        <v>363472</v>
      </c>
      <c r="J16" s="9">
        <f>SUM(J3:J12)</f>
        <v>98121.854546999995</v>
      </c>
      <c r="K16" s="9">
        <f>SUM(K3:K12)</f>
        <v>265350.14545299998</v>
      </c>
      <c r="L16" s="9">
        <f>SUM(L3:L12)</f>
        <v>461593.85454700002</v>
      </c>
      <c r="M16" s="9">
        <f>I16/L16</f>
        <v>0.78742816096783819</v>
      </c>
      <c r="N16" s="9">
        <f>J16/L16</f>
        <v>0.21257183903216179</v>
      </c>
      <c r="O16" s="9">
        <f>SUM(O3:O12)</f>
        <v>4187487</v>
      </c>
      <c r="P16" s="9">
        <f>SUM(P3:P12)</f>
        <v>90305.931011799999</v>
      </c>
      <c r="Q16" s="9">
        <f>SUM(Q3:Q12)</f>
        <v>4097181.0689881998</v>
      </c>
      <c r="R16" s="12">
        <f>SUM(R3:R12)</f>
        <v>4277792.9310117997</v>
      </c>
      <c r="S16" s="9">
        <f>O16/R16</f>
        <v>0.97888959740030235</v>
      </c>
      <c r="T16" s="9">
        <f>P16/R16</f>
        <v>2.1110402599697715E-2</v>
      </c>
      <c r="U16" s="28"/>
    </row>
    <row r="19" spans="3:8" ht="18.75" x14ac:dyDescent="0.25">
      <c r="C19" s="74"/>
      <c r="D19" s="74"/>
      <c r="E19" s="74"/>
      <c r="F19" s="75"/>
      <c r="G19" s="75"/>
      <c r="H19" s="75"/>
    </row>
    <row r="20" spans="3:8" ht="18.75" x14ac:dyDescent="0.3">
      <c r="C20" s="76"/>
      <c r="D20" s="77"/>
      <c r="E20" s="78"/>
      <c r="F20" s="78"/>
      <c r="G20" s="79"/>
      <c r="H20" s="79"/>
    </row>
    <row r="21" spans="3:8" ht="18.75" x14ac:dyDescent="0.3">
      <c r="C21" s="80"/>
      <c r="D21" s="77"/>
      <c r="E21" s="78"/>
      <c r="F21" s="78"/>
      <c r="G21" s="79"/>
      <c r="H21" s="79"/>
    </row>
    <row r="22" spans="3:8" ht="18.75" x14ac:dyDescent="0.3">
      <c r="C22" s="80"/>
      <c r="D22" s="77"/>
      <c r="E22" s="78"/>
      <c r="F22" s="78"/>
      <c r="G22" s="79"/>
      <c r="H22" s="79"/>
    </row>
    <row r="23" spans="3:8" ht="18.75" x14ac:dyDescent="0.3">
      <c r="C23" s="80"/>
      <c r="D23" s="77"/>
      <c r="E23" s="78"/>
      <c r="F23" s="78"/>
      <c r="G23" s="79"/>
      <c r="H23" s="79"/>
    </row>
    <row r="24" spans="3:8" ht="18.75" x14ac:dyDescent="0.3">
      <c r="C24" s="80"/>
      <c r="D24" s="77"/>
      <c r="E24" s="78"/>
      <c r="F24" s="78"/>
      <c r="G24" s="79"/>
      <c r="H24" s="79"/>
    </row>
    <row r="25" spans="3:8" ht="18.75" x14ac:dyDescent="0.3">
      <c r="C25" s="80"/>
      <c r="D25" s="77"/>
      <c r="E25" s="78"/>
      <c r="F25" s="78"/>
      <c r="G25" s="79"/>
      <c r="H25" s="79"/>
    </row>
    <row r="26" spans="3:8" ht="18.75" x14ac:dyDescent="0.3">
      <c r="C26" s="80"/>
      <c r="D26" s="81"/>
      <c r="E26" s="78"/>
      <c r="F26" s="78"/>
      <c r="G26" s="79"/>
      <c r="H26" s="79"/>
    </row>
    <row r="27" spans="3:8" ht="18.75" x14ac:dyDescent="0.3">
      <c r="C27" s="80"/>
      <c r="D27" s="77"/>
      <c r="E27" s="78"/>
      <c r="F27" s="78"/>
      <c r="G27" s="79"/>
      <c r="H27" s="79"/>
    </row>
    <row r="28" spans="3:8" ht="18.75" x14ac:dyDescent="0.3">
      <c r="C28" s="80"/>
      <c r="D28" s="77"/>
      <c r="E28" s="78"/>
      <c r="F28" s="78"/>
      <c r="G28" s="79"/>
      <c r="H28" s="79"/>
    </row>
    <row r="29" spans="3:8" ht="18.75" x14ac:dyDescent="0.3">
      <c r="C29" s="80"/>
      <c r="D29" s="77"/>
      <c r="E29" s="78"/>
      <c r="F29" s="78"/>
      <c r="G29" s="79"/>
      <c r="H29" s="79"/>
    </row>
    <row r="30" spans="3:8" ht="18.75" x14ac:dyDescent="0.25">
      <c r="C30" s="80"/>
      <c r="D30" s="82"/>
      <c r="E30" s="82"/>
      <c r="F30" s="82"/>
      <c r="G30" s="82"/>
      <c r="H30" s="82"/>
    </row>
    <row r="31" spans="3:8" x14ac:dyDescent="0.25">
      <c r="C31" s="83"/>
      <c r="D31" s="83"/>
      <c r="E31" s="83"/>
      <c r="F31" s="83"/>
      <c r="G31" s="83"/>
      <c r="H31" s="83"/>
    </row>
  </sheetData>
  <mergeCells count="1">
    <mergeCell ref="A16:B1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CB9E-DDB4-4649-805A-FAC8B5183C1D}">
  <dimension ref="A1:J22"/>
  <sheetViews>
    <sheetView workbookViewId="0">
      <selection activeCell="A4" sqref="A4"/>
    </sheetView>
  </sheetViews>
  <sheetFormatPr defaultRowHeight="15" x14ac:dyDescent="0.25"/>
  <cols>
    <col min="3" max="3" width="12.28515625" customWidth="1"/>
  </cols>
  <sheetData>
    <row r="1" spans="1:10" ht="18.75" x14ac:dyDescent="0.3">
      <c r="A1" s="92" t="s">
        <v>14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8.75" x14ac:dyDescent="0.3">
      <c r="A2" s="92" t="s">
        <v>15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ht="18.75" x14ac:dyDescent="0.3">
      <c r="A3" s="92" t="s">
        <v>16</v>
      </c>
      <c r="B3" s="92"/>
      <c r="C3" s="92"/>
      <c r="D3" s="92"/>
      <c r="E3" s="92"/>
      <c r="F3" s="92"/>
      <c r="G3" s="92"/>
      <c r="H3" s="92"/>
      <c r="I3" s="92"/>
      <c r="J3" s="92"/>
    </row>
    <row r="4" spans="1:10" ht="18.75" x14ac:dyDescent="0.3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18.75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20</v>
      </c>
      <c r="F5" s="1" t="s">
        <v>21</v>
      </c>
      <c r="G5" s="1" t="s">
        <v>21</v>
      </c>
      <c r="H5" s="1" t="s">
        <v>22</v>
      </c>
      <c r="I5" s="1" t="s">
        <v>22</v>
      </c>
    </row>
    <row r="6" spans="1:10" ht="18.75" x14ac:dyDescent="0.3">
      <c r="A6" s="1" t="s">
        <v>23</v>
      </c>
      <c r="B6" s="1" t="s">
        <v>24</v>
      </c>
      <c r="C6" s="1" t="s">
        <v>25</v>
      </c>
      <c r="D6" s="1" t="s">
        <v>24</v>
      </c>
      <c r="E6" s="1" t="s">
        <v>25</v>
      </c>
      <c r="F6" s="1" t="s">
        <v>24</v>
      </c>
      <c r="G6" s="1" t="s">
        <v>25</v>
      </c>
      <c r="H6" s="1" t="s">
        <v>24</v>
      </c>
      <c r="I6" s="38" t="s">
        <v>25</v>
      </c>
    </row>
    <row r="7" spans="1:10" ht="18.75" x14ac:dyDescent="0.3">
      <c r="A7" s="1" t="s">
        <v>26</v>
      </c>
      <c r="B7" s="1" t="s">
        <v>27</v>
      </c>
      <c r="C7" s="1" t="s">
        <v>27</v>
      </c>
      <c r="D7" s="1" t="s">
        <v>27</v>
      </c>
      <c r="E7" s="1" t="s">
        <v>27</v>
      </c>
      <c r="F7" s="1" t="s">
        <v>27</v>
      </c>
      <c r="G7" s="1" t="s">
        <v>27</v>
      </c>
      <c r="H7" s="1" t="s">
        <v>27</v>
      </c>
      <c r="I7" s="1" t="s">
        <v>27</v>
      </c>
    </row>
    <row r="8" spans="1:10" ht="18.75" x14ac:dyDescent="0.25">
      <c r="B8" s="44">
        <v>370</v>
      </c>
      <c r="C8" s="44">
        <v>275</v>
      </c>
      <c r="D8" s="44">
        <v>650</v>
      </c>
      <c r="E8" s="44">
        <v>650</v>
      </c>
      <c r="F8" s="45">
        <v>2474</v>
      </c>
      <c r="G8" s="45">
        <v>2474</v>
      </c>
      <c r="H8" s="45">
        <v>1454</v>
      </c>
      <c r="I8" s="45">
        <v>1549</v>
      </c>
    </row>
    <row r="9" spans="1:10" ht="18.75" x14ac:dyDescent="0.3">
      <c r="A9" s="1"/>
      <c r="B9" s="46"/>
      <c r="C9" s="46"/>
      <c r="D9" s="46"/>
      <c r="E9" s="47"/>
      <c r="F9" s="47"/>
      <c r="G9" s="48"/>
      <c r="H9" s="48"/>
      <c r="I9" s="48"/>
      <c r="J9" s="48"/>
    </row>
    <row r="10" spans="1:10" ht="18.75" x14ac:dyDescent="0.3">
      <c r="A10" s="1"/>
      <c r="B10" s="47"/>
      <c r="C10" s="47"/>
      <c r="D10" s="47"/>
      <c r="E10" s="47"/>
      <c r="F10" s="47"/>
      <c r="G10" s="48"/>
      <c r="H10" s="48"/>
      <c r="I10" s="48"/>
      <c r="J10" s="48"/>
    </row>
    <row r="11" spans="1:10" ht="18.75" x14ac:dyDescent="0.3">
      <c r="A11" s="1" t="s">
        <v>28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8.75" x14ac:dyDescent="0.3">
      <c r="A12" s="1" t="s">
        <v>29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18.75" x14ac:dyDescent="0.3">
      <c r="A13" s="1"/>
      <c r="B13" s="1" t="s">
        <v>30</v>
      </c>
      <c r="C13" s="1"/>
      <c r="D13" s="1"/>
      <c r="E13" s="1"/>
      <c r="F13" s="1"/>
      <c r="G13" s="1"/>
      <c r="H13" s="1"/>
      <c r="I13" s="1"/>
      <c r="J13" s="1"/>
    </row>
    <row r="14" spans="1:10" ht="18.75" x14ac:dyDescent="0.3">
      <c r="A14" s="49" t="s">
        <v>31</v>
      </c>
      <c r="B14" s="50"/>
      <c r="C14" s="51" t="s">
        <v>32</v>
      </c>
      <c r="D14" s="47" t="s">
        <v>21</v>
      </c>
      <c r="E14" s="1"/>
      <c r="F14" s="1"/>
      <c r="G14" s="1"/>
      <c r="H14" s="1"/>
      <c r="I14" s="1"/>
      <c r="J14" s="1"/>
    </row>
    <row r="15" spans="1:10" ht="18.75" x14ac:dyDescent="0.3">
      <c r="A15" s="1" t="s">
        <v>33</v>
      </c>
      <c r="B15" s="52">
        <v>650</v>
      </c>
      <c r="C15" s="53">
        <f>B15/$B$19</f>
        <v>0.25252525252525254</v>
      </c>
      <c r="D15" s="54"/>
      <c r="E15" s="1"/>
      <c r="F15" s="1"/>
      <c r="G15" s="1"/>
      <c r="H15" s="1"/>
      <c r="I15" s="1"/>
      <c r="J15" s="1"/>
    </row>
    <row r="16" spans="1:10" ht="18.75" x14ac:dyDescent="0.3">
      <c r="A16" s="1" t="s">
        <v>19</v>
      </c>
      <c r="B16" s="55">
        <v>275</v>
      </c>
      <c r="C16" s="53">
        <f t="shared" ref="C16:C18" si="0">B16/$B$19</f>
        <v>0.10683760683760683</v>
      </c>
      <c r="D16" s="54"/>
      <c r="E16" s="46"/>
      <c r="F16" s="46"/>
      <c r="G16" s="46"/>
      <c r="H16" s="46"/>
      <c r="I16" s="46"/>
      <c r="J16" s="1"/>
    </row>
    <row r="17" spans="1:10" ht="18.75" x14ac:dyDescent="0.3">
      <c r="A17" s="1" t="s">
        <v>22</v>
      </c>
      <c r="B17" s="56">
        <v>1549</v>
      </c>
      <c r="C17" s="53">
        <f t="shared" si="0"/>
        <v>0.60178710178710182</v>
      </c>
      <c r="D17" s="54"/>
      <c r="E17" s="1"/>
      <c r="F17" s="1"/>
      <c r="G17" s="1"/>
      <c r="H17" s="1"/>
      <c r="I17" s="1"/>
      <c r="J17" s="1"/>
    </row>
    <row r="18" spans="1:10" ht="18.75" x14ac:dyDescent="0.3">
      <c r="A18" s="1" t="s">
        <v>34</v>
      </c>
      <c r="B18" s="57">
        <v>100</v>
      </c>
      <c r="C18" s="53">
        <f t="shared" si="0"/>
        <v>3.8850038850038848E-2</v>
      </c>
      <c r="D18" s="54"/>
      <c r="E18" s="58"/>
      <c r="F18" s="58"/>
      <c r="G18" s="58"/>
      <c r="H18" s="58"/>
      <c r="I18" s="1"/>
      <c r="J18" s="1"/>
    </row>
    <row r="19" spans="1:10" ht="18.75" x14ac:dyDescent="0.3">
      <c r="A19" s="1" t="s">
        <v>35</v>
      </c>
      <c r="B19" s="52">
        <f>SUM(B15:B18)</f>
        <v>2574</v>
      </c>
      <c r="C19" s="59">
        <f>SUM(C15:C18)</f>
        <v>1</v>
      </c>
      <c r="D19" s="45">
        <v>2474</v>
      </c>
      <c r="E19" s="1" t="s">
        <v>34</v>
      </c>
      <c r="F19" s="60">
        <f>B19-D19</f>
        <v>100</v>
      </c>
      <c r="G19" s="1"/>
      <c r="H19" s="1"/>
      <c r="I19" s="1"/>
      <c r="J19" s="1"/>
    </row>
    <row r="21" spans="1:10" ht="18.75" x14ac:dyDescent="0.3">
      <c r="A21" s="1" t="s">
        <v>36</v>
      </c>
    </row>
    <row r="22" spans="1:10" ht="18.75" x14ac:dyDescent="0.25">
      <c r="A22" s="61"/>
      <c r="B22" s="61"/>
      <c r="C22" s="61"/>
      <c r="D22" s="61"/>
      <c r="E22" s="61"/>
      <c r="F22" s="61"/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Smuggle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ghazaleh</dc:creator>
  <cp:lastModifiedBy>Safavi</cp:lastModifiedBy>
  <dcterms:created xsi:type="dcterms:W3CDTF">2020-04-28T05:21:55Z</dcterms:created>
  <dcterms:modified xsi:type="dcterms:W3CDTF">2020-11-11T06:25:05Z</dcterms:modified>
</cp:coreProperties>
</file>