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ml.chartshapes+xml"/>
  <Override PartName="/xl/drawings/drawing4.xml" ContentType="application/vnd.openxmlformats-officedocument.drawing+xml"/>
  <Override PartName="/xl/charts/chart2.xml" ContentType="application/vnd.openxmlformats-officedocument.drawingml.chart+xml"/>
  <Override PartName="/xl/drawings/drawing5.xml" ContentType="application/vnd.openxmlformats-officedocument.drawingml.chartshapes+xml"/>
  <Override PartName="/xl/drawings/drawing6.xml" ContentType="application/vnd.openxmlformats-officedocument.drawing+xml"/>
  <Override PartName="/xl/charts/chart3.xml" ContentType="application/vnd.openxmlformats-officedocument.drawingml.chart+xml"/>
  <Override PartName="/xl/drawings/drawing7.xml" ContentType="application/vnd.openxmlformats-officedocument.drawingml.chartshapes+xml"/>
  <Override PartName="/xl/drawings/drawing8.xml" ContentType="application/vnd.openxmlformats-officedocument.drawing+xml"/>
  <Override PartName="/xl/charts/chart4.xml" ContentType="application/vnd.openxmlformats-officedocument.drawingml.chart+xml"/>
  <Override PartName="/xl/drawings/drawing9.xml" ContentType="application/vnd.openxmlformats-officedocument.drawingml.chartshapes+xml"/>
  <Override PartName="/xl/drawings/drawing10.xml" ContentType="application/vnd.openxmlformats-officedocument.drawing+xml"/>
  <Override PartName="/xl/charts/chart5.xml" ContentType="application/vnd.openxmlformats-officedocument.drawingml.chart+xml"/>
  <Override PartName="/xl/drawings/drawing11.xml" ContentType="application/vnd.openxmlformats-officedocument.drawingml.chartshapes+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528"/>
  <workbookPr codeName="ThisWorkbook" defaultThemeVersion="124226"/>
  <mc:AlternateContent xmlns:mc="http://schemas.openxmlformats.org/markup-compatibility/2006">
    <mc:Choice Requires="x15">
      <x15ac:absPath xmlns:x15ac="http://schemas.microsoft.com/office/spreadsheetml/2010/11/ac" url="C:\Users\Jon\Documents\Personal\Flying\Flight Performance Calcs\"/>
    </mc:Choice>
  </mc:AlternateContent>
  <bookViews>
    <workbookView xWindow="240" yWindow="75" windowWidth="20115" windowHeight="7995" activeTab="1"/>
  </bookViews>
  <sheets>
    <sheet name="Introduction" sheetId="15" r:id="rId1"/>
    <sheet name="Variables" sheetId="5" r:id="rId2"/>
    <sheet name="Aircraft Schedule Info" sheetId="7" r:id="rId3"/>
    <sheet name="Airfields &amp; Performance Factors" sheetId="8" r:id="rId4"/>
    <sheet name="Weight &amp; Balance" sheetId="9" r:id="rId5"/>
    <sheet name="C152 W&amp;B Envelope" sheetId="10" r:id="rId6"/>
    <sheet name="C172 W&amp;B Envelope" sheetId="11" r:id="rId7"/>
    <sheet name="PA28 W&amp;B Envelope" sheetId="12" r:id="rId8"/>
    <sheet name="PA28R-200 W&amp;B Envelope" sheetId="13" r:id="rId9"/>
    <sheet name="PA28R-201 W&amp;B Envelope" sheetId="17" r:id="rId10"/>
    <sheet name="Performance Calcs &amp; Print Out" sheetId="14" r:id="rId11"/>
    <sheet name="Appendix 1 -AVGAS Fuel Conv" sheetId="2" r:id="rId12"/>
    <sheet name="Appendix 2 -AVTUR Fuel Conv" sheetId="16" r:id="rId13"/>
  </sheets>
  <definedNames>
    <definedName name="_xlnm._FilterDatabase" localSheetId="2" hidden="1">'Aircraft Schedule Info'!$C$23:$C$35</definedName>
    <definedName name="_xlnm._FilterDatabase" localSheetId="3" hidden="1">'Airfields &amp; Performance Factors'!$B$8:$B$38</definedName>
    <definedName name="Aircraft_Call_Sign">'Aircraft Schedule Info'!$B$7:$B$35</definedName>
    <definedName name="Aircraft_Types">'Aircraft Schedule Info'!$N$7:$N$11</definedName>
    <definedName name="Airfields">'Airfields &amp; Performance Factors'!$I$7:$I$45</definedName>
    <definedName name="_xlnm.Criteria" localSheetId="1">Variables!$C$6</definedName>
    <definedName name="_xlnm.Extract" localSheetId="2">'Aircraft Schedule Info'!$N$7:$N$10</definedName>
    <definedName name="_xlnm.Extract" localSheetId="1">Variables!$C$7</definedName>
    <definedName name="Fuel_Type">'Aircraft Schedule Info'!$K$7:$K$8</definedName>
    <definedName name="ISA_Density">'Airfields &amp; Performance Factors'!$R$10</definedName>
    <definedName name="ISA_Pressure">'Airfields &amp; Performance Factors'!$R$7</definedName>
    <definedName name="ISA_Temp">'Airfields &amp; Performance Factors'!$R$8</definedName>
    <definedName name="ISA_Temp_Lapse">'Airfields &amp; Performance Factors'!$R$9</definedName>
    <definedName name="SP.G_Conversion">'Aircraft Schedule Info'!$L$7:$L$8</definedName>
  </definedNames>
  <calcPr calcId="162913"/>
</workbook>
</file>

<file path=xl/calcChain.xml><?xml version="1.0" encoding="utf-8"?>
<calcChain xmlns="http://schemas.openxmlformats.org/spreadsheetml/2006/main">
  <c r="C34" i="5" l="1"/>
  <c r="C33" i="5"/>
  <c r="T8" i="8" l="1"/>
  <c r="T7" i="8"/>
  <c r="S8" i="8"/>
  <c r="S7" i="8"/>
  <c r="G30" i="14" l="1"/>
  <c r="H30" i="14"/>
  <c r="I30" i="14" s="1"/>
  <c r="J30" i="14" s="1"/>
  <c r="G31" i="14"/>
  <c r="H31" i="14"/>
  <c r="I31" i="14" s="1"/>
  <c r="J31" i="14" s="1"/>
  <c r="G32" i="14"/>
  <c r="H32" i="14"/>
  <c r="I32" i="14" s="1"/>
  <c r="J32" i="14" s="1"/>
  <c r="K32" i="14" s="1"/>
  <c r="L32" i="14" s="1"/>
  <c r="M32" i="14" s="1"/>
  <c r="N32" i="14" s="1"/>
  <c r="O32" i="14" s="1"/>
  <c r="P32" i="14" s="1"/>
  <c r="G33" i="14"/>
  <c r="H33" i="14"/>
  <c r="I33" i="14" s="1"/>
  <c r="J33" i="14" s="1"/>
  <c r="K33" i="14" s="1"/>
  <c r="L33" i="14" s="1"/>
  <c r="M33" i="14" s="1"/>
  <c r="N33" i="14" s="1"/>
  <c r="O33" i="14" s="1"/>
  <c r="P33" i="14" s="1"/>
  <c r="G13" i="14"/>
  <c r="H13" i="14"/>
  <c r="I13" i="14" s="1"/>
  <c r="J13" i="14" s="1"/>
  <c r="K13" i="14" s="1"/>
  <c r="L13" i="14" s="1"/>
  <c r="M13" i="14" s="1"/>
  <c r="N13" i="14" s="1"/>
  <c r="O13" i="14" s="1"/>
  <c r="P13" i="14" s="1"/>
  <c r="Q13" i="14" s="1"/>
  <c r="G14" i="14"/>
  <c r="H14" i="14"/>
  <c r="I14" i="14" s="1"/>
  <c r="J14" i="14" s="1"/>
  <c r="K14" i="14" s="1"/>
  <c r="L14" i="14" s="1"/>
  <c r="M14" i="14" s="1"/>
  <c r="N14" i="14" s="1"/>
  <c r="O14" i="14" s="1"/>
  <c r="P14" i="14" s="1"/>
  <c r="G15" i="14"/>
  <c r="H15" i="14"/>
  <c r="I15" i="14" s="1"/>
  <c r="J15" i="14" s="1"/>
  <c r="K15" i="14" s="1"/>
  <c r="L15" i="14" s="1"/>
  <c r="M15" i="14" s="1"/>
  <c r="N15" i="14" s="1"/>
  <c r="O15" i="14" s="1"/>
  <c r="P15" i="14" s="1"/>
  <c r="Q15" i="14" s="1"/>
  <c r="G16" i="14"/>
  <c r="H16" i="14"/>
  <c r="I16" i="14" s="1"/>
  <c r="J16" i="14" s="1"/>
  <c r="K16" i="14" s="1"/>
  <c r="L16" i="14" s="1"/>
  <c r="M16" i="14" s="1"/>
  <c r="N16" i="14" s="1"/>
  <c r="O16" i="14" s="1"/>
  <c r="P16" i="14" s="1"/>
  <c r="Q16" i="14" s="1"/>
  <c r="Q33" i="14" l="1"/>
  <c r="Q14" i="14"/>
  <c r="Q32" i="14"/>
  <c r="K30" i="14"/>
  <c r="L30" i="14" s="1"/>
  <c r="M30" i="14" s="1"/>
  <c r="N30" i="14" s="1"/>
  <c r="O30" i="14" s="1"/>
  <c r="P30" i="14" s="1"/>
  <c r="Q30" i="14" s="1"/>
  <c r="K31" i="14"/>
  <c r="L31" i="14" s="1"/>
  <c r="M31" i="14" s="1"/>
  <c r="N31" i="14" s="1"/>
  <c r="O31" i="14" s="1"/>
  <c r="P31" i="14" s="1"/>
  <c r="Q31" i="14" s="1"/>
  <c r="C20" i="5"/>
  <c r="L17" i="7"/>
  <c r="L18" i="7"/>
  <c r="L13" i="7"/>
  <c r="L12" i="7"/>
  <c r="I7" i="8" l="1" a="1"/>
  <c r="I7" i="8" s="1"/>
  <c r="K7" i="8" l="1"/>
  <c r="I8" i="8" a="1"/>
  <c r="I8" i="8" s="1"/>
  <c r="K8" i="8" s="1"/>
  <c r="J7" i="8"/>
  <c r="N7" i="7" a="1"/>
  <c r="N7" i="7" s="1"/>
  <c r="J8" i="8" l="1"/>
  <c r="N8" i="7" a="1"/>
  <c r="N8" i="7" s="1"/>
  <c r="I9" i="8" a="1"/>
  <c r="I9" i="8" s="1"/>
  <c r="K9" i="8" s="1"/>
  <c r="N9" i="7" l="1" a="1"/>
  <c r="N9" i="7" s="1"/>
  <c r="N10" i="7" s="1" a="1"/>
  <c r="N10" i="7" s="1"/>
  <c r="I10" i="8" a="1"/>
  <c r="I10" i="8" s="1"/>
  <c r="K10" i="8" s="1"/>
  <c r="J9" i="8"/>
  <c r="J10" i="8" l="1"/>
  <c r="N11" i="7" a="1"/>
  <c r="N11" i="7" s="1"/>
  <c r="H7" i="9" s="1"/>
  <c r="I11" i="8" a="1"/>
  <c r="I11" i="8" s="1"/>
  <c r="K11" i="8" s="1"/>
  <c r="H8" i="9" l="1"/>
  <c r="K8" i="9" s="1"/>
  <c r="J7" i="9"/>
  <c r="K7" i="9"/>
  <c r="I7" i="9"/>
  <c r="I12" i="8" a="1"/>
  <c r="I12" i="8" s="1"/>
  <c r="K12" i="8" s="1"/>
  <c r="J11" i="8"/>
  <c r="C11" i="9"/>
  <c r="J12" i="8" l="1"/>
  <c r="I8" i="9"/>
  <c r="J8" i="9"/>
  <c r="I13" i="8" a="1"/>
  <c r="I13" i="8" s="1"/>
  <c r="K13" i="8" s="1"/>
  <c r="C4" i="14"/>
  <c r="J13" i="8" l="1"/>
  <c r="D4" i="14"/>
  <c r="B13" i="14" a="1"/>
  <c r="B13" i="14" s="1"/>
  <c r="B14" i="14" a="1"/>
  <c r="B14" i="14" s="1"/>
  <c r="B15" i="14" a="1"/>
  <c r="B15" i="14" s="1"/>
  <c r="B16" i="14" a="1"/>
  <c r="B16" i="14" s="1"/>
  <c r="C13" i="14" a="1"/>
  <c r="C13" i="14" s="1"/>
  <c r="C14" i="14" a="1"/>
  <c r="C14" i="14" s="1"/>
  <c r="C15" i="14" a="1"/>
  <c r="C15" i="14" s="1"/>
  <c r="C16" i="14" a="1"/>
  <c r="C16" i="14" s="1"/>
  <c r="D13" i="14" a="1"/>
  <c r="D13" i="14" s="1"/>
  <c r="R13" i="14" s="1"/>
  <c r="D14" i="14" a="1"/>
  <c r="D14" i="14" s="1"/>
  <c r="R14" i="14" s="1"/>
  <c r="D15" i="14" a="1"/>
  <c r="D15" i="14" s="1"/>
  <c r="R15" i="14" s="1"/>
  <c r="D16" i="14" a="1"/>
  <c r="D16" i="14" s="1"/>
  <c r="R16" i="14" s="1"/>
  <c r="E13" i="14" a="1"/>
  <c r="E13" i="14" s="1"/>
  <c r="E14" i="14" a="1"/>
  <c r="E14" i="14" s="1"/>
  <c r="E15" i="14" a="1"/>
  <c r="E15" i="14" s="1"/>
  <c r="E16" i="14" a="1"/>
  <c r="E16" i="14" s="1"/>
  <c r="I14" i="8" a="1"/>
  <c r="I14" i="8" s="1"/>
  <c r="K14" i="8" s="1"/>
  <c r="B8" i="14" a="1"/>
  <c r="B8" i="14" s="1"/>
  <c r="B9" i="14" a="1"/>
  <c r="B9" i="14" s="1"/>
  <c r="B10" i="14" a="1"/>
  <c r="B10" i="14" s="1"/>
  <c r="B11" i="14" a="1"/>
  <c r="B11" i="14" s="1"/>
  <c r="B12" i="14" a="1"/>
  <c r="B12" i="14" s="1"/>
  <c r="C7" i="14" a="1"/>
  <c r="C7" i="14" s="1"/>
  <c r="C8" i="14" a="1"/>
  <c r="C8" i="14" s="1"/>
  <c r="C9" i="14" a="1"/>
  <c r="C9" i="14" s="1"/>
  <c r="C10" i="14" a="1"/>
  <c r="C10" i="14" s="1"/>
  <c r="C12" i="14" a="1"/>
  <c r="C12" i="14" s="1"/>
  <c r="D8" i="14" a="1"/>
  <c r="D8" i="14" s="1"/>
  <c r="D9" i="14" a="1"/>
  <c r="D9" i="14" s="1"/>
  <c r="D10" i="14" a="1"/>
  <c r="D10" i="14" s="1"/>
  <c r="D11" i="14" a="1"/>
  <c r="D11" i="14" s="1"/>
  <c r="D12" i="14" a="1"/>
  <c r="D12" i="14" s="1"/>
  <c r="E7" i="14" a="1"/>
  <c r="E7" i="14" s="1"/>
  <c r="E8" i="14" a="1"/>
  <c r="E8" i="14" s="1"/>
  <c r="E9" i="14" a="1"/>
  <c r="E9" i="14" s="1"/>
  <c r="E10" i="14" a="1"/>
  <c r="E10" i="14" s="1"/>
  <c r="E11" i="14" a="1"/>
  <c r="E11" i="14" s="1"/>
  <c r="E12" i="14" a="1"/>
  <c r="E12" i="14" s="1"/>
  <c r="B7" i="14" a="1"/>
  <c r="B7" i="14" s="1"/>
  <c r="C11" i="14" a="1"/>
  <c r="C11" i="14" s="1"/>
  <c r="D7" i="14" a="1"/>
  <c r="D7" i="14" s="1"/>
  <c r="B52" i="14"/>
  <c r="C52" i="14"/>
  <c r="B53" i="14"/>
  <c r="J14" i="8" l="1"/>
  <c r="I15" i="8" a="1"/>
  <c r="I15" i="8" s="1"/>
  <c r="K15" i="8" s="1"/>
  <c r="C41" i="14"/>
  <c r="D41" i="14"/>
  <c r="E41" i="14"/>
  <c r="B42" i="14"/>
  <c r="B43" i="14"/>
  <c r="B44" i="14"/>
  <c r="B45" i="14"/>
  <c r="C45" i="14"/>
  <c r="B46" i="14"/>
  <c r="B47" i="14"/>
  <c r="B48" i="14"/>
  <c r="C48" i="14"/>
  <c r="B49" i="14"/>
  <c r="B50" i="14"/>
  <c r="B51" i="14"/>
  <c r="C40" i="14"/>
  <c r="D40" i="14"/>
  <c r="E40" i="14"/>
  <c r="I16" i="8" l="1" a="1"/>
  <c r="I16" i="8" s="1"/>
  <c r="K16" i="8" s="1"/>
  <c r="J15" i="8"/>
  <c r="O12" i="8"/>
  <c r="N12" i="8"/>
  <c r="O10" i="8"/>
  <c r="O15" i="8"/>
  <c r="O14" i="8"/>
  <c r="O13" i="8"/>
  <c r="O11" i="8"/>
  <c r="O9" i="8"/>
  <c r="O8" i="8"/>
  <c r="O7" i="8"/>
  <c r="N15" i="8"/>
  <c r="N14" i="8"/>
  <c r="N13" i="8"/>
  <c r="N11" i="8"/>
  <c r="N10" i="8"/>
  <c r="N9" i="8"/>
  <c r="N8" i="8"/>
  <c r="N7" i="8"/>
  <c r="G29" i="14"/>
  <c r="H29" i="14" s="1"/>
  <c r="I29" i="14" s="1"/>
  <c r="H28" i="14"/>
  <c r="I28" i="14" s="1"/>
  <c r="J28" i="14" s="1"/>
  <c r="G28" i="14"/>
  <c r="G27" i="14"/>
  <c r="H27" i="14" s="1"/>
  <c r="I27" i="14" s="1"/>
  <c r="J27" i="14" s="1"/>
  <c r="K27" i="14" s="1"/>
  <c r="L27" i="14" s="1"/>
  <c r="G26" i="14"/>
  <c r="H26" i="14" s="1"/>
  <c r="I26" i="14" s="1"/>
  <c r="J26" i="14" s="1"/>
  <c r="K26" i="14" s="1"/>
  <c r="L26" i="14" s="1"/>
  <c r="G25" i="14"/>
  <c r="H25" i="14" s="1"/>
  <c r="I25" i="14" s="1"/>
  <c r="J25" i="14" s="1"/>
  <c r="K25" i="14" s="1"/>
  <c r="L25" i="14" s="1"/>
  <c r="K28" i="14" l="1"/>
  <c r="L28" i="14" s="1"/>
  <c r="M28" i="14" s="1"/>
  <c r="N28" i="14" s="1"/>
  <c r="O28" i="14" s="1"/>
  <c r="P28" i="14" s="1"/>
  <c r="Q28" i="14" s="1"/>
  <c r="I17" i="8" a="1"/>
  <c r="I17" i="8" s="1"/>
  <c r="K17" i="8" s="1"/>
  <c r="J16" i="8"/>
  <c r="M26" i="14"/>
  <c r="N26" i="14" s="1"/>
  <c r="M27" i="14"/>
  <c r="N27" i="14" s="1"/>
  <c r="M25" i="14"/>
  <c r="N25" i="14" s="1"/>
  <c r="J29" i="14"/>
  <c r="K29" i="14" s="1"/>
  <c r="L29" i="14" s="1"/>
  <c r="M29" i="14" s="1"/>
  <c r="N29" i="14" s="1"/>
  <c r="G24" i="14"/>
  <c r="H24" i="14" s="1"/>
  <c r="I24" i="14" s="1"/>
  <c r="J24" i="14" s="1"/>
  <c r="K24" i="14" s="1"/>
  <c r="L24" i="14" s="1"/>
  <c r="M24" i="14" s="1"/>
  <c r="N24" i="14" s="1"/>
  <c r="G12" i="14"/>
  <c r="G8" i="14"/>
  <c r="G9" i="14"/>
  <c r="G10" i="14"/>
  <c r="G11" i="14"/>
  <c r="G7" i="14"/>
  <c r="H7" i="14" s="1"/>
  <c r="I7" i="14" s="1"/>
  <c r="J7" i="14" s="1"/>
  <c r="K7" i="14" s="1"/>
  <c r="L7" i="14" s="1"/>
  <c r="M7" i="14" s="1"/>
  <c r="N7" i="14" s="1"/>
  <c r="O7" i="14" s="1"/>
  <c r="P7" i="14" s="1"/>
  <c r="Q7" i="14" s="1"/>
  <c r="R7" i="14" s="1"/>
  <c r="I18" i="8" l="1" a="1"/>
  <c r="I18" i="8" s="1"/>
  <c r="K18" i="8" s="1"/>
  <c r="J17" i="8"/>
  <c r="O27" i="14"/>
  <c r="P27" i="14" s="1"/>
  <c r="Q27" i="14" s="1"/>
  <c r="O25" i="14"/>
  <c r="P25" i="14" s="1"/>
  <c r="Q25" i="14" s="1"/>
  <c r="O26" i="14"/>
  <c r="P26" i="14" s="1"/>
  <c r="Q26" i="14" s="1"/>
  <c r="O24" i="14"/>
  <c r="P24" i="14" s="1"/>
  <c r="Q24" i="14" s="1"/>
  <c r="H11" i="14"/>
  <c r="I11" i="14" s="1"/>
  <c r="J11" i="14" s="1"/>
  <c r="K11" i="14" s="1"/>
  <c r="L11" i="14" s="1"/>
  <c r="M11" i="14" s="1"/>
  <c r="N11" i="14" s="1"/>
  <c r="O11" i="14" s="1"/>
  <c r="P11" i="14" s="1"/>
  <c r="Q11" i="14" s="1"/>
  <c r="R11" i="14" s="1"/>
  <c r="H12" i="14"/>
  <c r="I12" i="14" s="1"/>
  <c r="J12" i="14" s="1"/>
  <c r="K12" i="14" s="1"/>
  <c r="L12" i="14" s="1"/>
  <c r="M12" i="14" s="1"/>
  <c r="N12" i="14" s="1"/>
  <c r="O12" i="14" s="1"/>
  <c r="P12" i="14" s="1"/>
  <c r="Q12" i="14" s="1"/>
  <c r="R12" i="14" s="1"/>
  <c r="H9" i="14"/>
  <c r="I9" i="14" s="1"/>
  <c r="J9" i="14" s="1"/>
  <c r="K9" i="14" s="1"/>
  <c r="L9" i="14" s="1"/>
  <c r="M9" i="14" s="1"/>
  <c r="N9" i="14" s="1"/>
  <c r="O9" i="14" s="1"/>
  <c r="P9" i="14" s="1"/>
  <c r="Q9" i="14" s="1"/>
  <c r="R9" i="14" s="1"/>
  <c r="H8" i="14"/>
  <c r="I8" i="14" s="1"/>
  <c r="J8" i="14" s="1"/>
  <c r="K8" i="14" s="1"/>
  <c r="L8" i="14" s="1"/>
  <c r="M8" i="14" s="1"/>
  <c r="N8" i="14" s="1"/>
  <c r="O8" i="14" s="1"/>
  <c r="P8" i="14" s="1"/>
  <c r="Q8" i="14" s="1"/>
  <c r="R8" i="14" s="1"/>
  <c r="H10" i="14"/>
  <c r="I10" i="14" s="1"/>
  <c r="J10" i="14" s="1"/>
  <c r="K10" i="14" s="1"/>
  <c r="L10" i="14" s="1"/>
  <c r="M10" i="14" s="1"/>
  <c r="N10" i="14" s="1"/>
  <c r="O10" i="14" s="1"/>
  <c r="P10" i="14" s="1"/>
  <c r="Q10" i="14" s="1"/>
  <c r="R10" i="14" s="1"/>
  <c r="C21" i="14"/>
  <c r="D21" i="14" l="1"/>
  <c r="B30" i="14" a="1"/>
  <c r="B30" i="14" s="1"/>
  <c r="B31" i="14" a="1"/>
  <c r="B31" i="14" s="1"/>
  <c r="B32" i="14" a="1"/>
  <c r="B32" i="14" s="1"/>
  <c r="B33" i="14" a="1"/>
  <c r="B33" i="14" s="1"/>
  <c r="C30" i="14" a="1"/>
  <c r="C30" i="14" s="1"/>
  <c r="C31" i="14" a="1"/>
  <c r="C31" i="14" s="1"/>
  <c r="C32" i="14" a="1"/>
  <c r="C32" i="14" s="1"/>
  <c r="C33" i="14" a="1"/>
  <c r="C33" i="14" s="1"/>
  <c r="D30" i="14" a="1"/>
  <c r="D30" i="14" s="1"/>
  <c r="R30" i="14" s="1"/>
  <c r="D31" i="14" a="1"/>
  <c r="D31" i="14" s="1"/>
  <c r="R31" i="14" s="1"/>
  <c r="D32" i="14" a="1"/>
  <c r="D32" i="14" s="1"/>
  <c r="R32" i="14" s="1"/>
  <c r="D33" i="14" a="1"/>
  <c r="D33" i="14" s="1"/>
  <c r="R33" i="14" s="1"/>
  <c r="E30" i="14" a="1"/>
  <c r="E30" i="14" s="1"/>
  <c r="E31" i="14" a="1"/>
  <c r="E31" i="14" s="1"/>
  <c r="E32" i="14" a="1"/>
  <c r="E32" i="14" s="1"/>
  <c r="E33" i="14" a="1"/>
  <c r="E33" i="14" s="1"/>
  <c r="H13" i="9"/>
  <c r="H14" i="9"/>
  <c r="I19" i="8" a="1"/>
  <c r="I19" i="8" s="1"/>
  <c r="K19" i="8" s="1"/>
  <c r="J18" i="8"/>
  <c r="B25" i="14" a="1"/>
  <c r="B25" i="14" s="1"/>
  <c r="C25" i="14" a="1"/>
  <c r="C25" i="14" s="1"/>
  <c r="C26" i="14" a="1"/>
  <c r="C26" i="14" s="1"/>
  <c r="C27" i="14" a="1"/>
  <c r="C27" i="14" s="1"/>
  <c r="C28" i="14" a="1"/>
  <c r="C28" i="14" s="1"/>
  <c r="C29" i="14" a="1"/>
  <c r="C29" i="14" s="1"/>
  <c r="D24" i="14" a="1"/>
  <c r="D24" i="14" s="1"/>
  <c r="R24" i="14" s="1"/>
  <c r="E29" i="14" a="1"/>
  <c r="E29" i="14" s="1"/>
  <c r="B26" i="14" a="1"/>
  <c r="B26" i="14" s="1"/>
  <c r="B28" i="14" a="1"/>
  <c r="B28" i="14" s="1"/>
  <c r="D25" i="14" a="1"/>
  <c r="D25" i="14" s="1"/>
  <c r="R25" i="14" s="1"/>
  <c r="D26" i="14" a="1"/>
  <c r="D26" i="14" s="1"/>
  <c r="R26" i="14" s="1"/>
  <c r="D27" i="14" a="1"/>
  <c r="D27" i="14" s="1"/>
  <c r="R27" i="14" s="1"/>
  <c r="D28" i="14" a="1"/>
  <c r="D28" i="14" s="1"/>
  <c r="R28" i="14" s="1"/>
  <c r="D29" i="14" a="1"/>
  <c r="D29" i="14" s="1"/>
  <c r="E24" i="14" a="1"/>
  <c r="E24" i="14" s="1"/>
  <c r="E27" i="14" a="1"/>
  <c r="E27" i="14" s="1"/>
  <c r="E28" i="14" a="1"/>
  <c r="E28" i="14" s="1"/>
  <c r="B24" i="14" a="1"/>
  <c r="B24" i="14" s="1"/>
  <c r="B27" i="14" a="1"/>
  <c r="B27" i="14" s="1"/>
  <c r="C24" i="14" a="1"/>
  <c r="C24" i="14" s="1"/>
  <c r="E25" i="14" a="1"/>
  <c r="E25" i="14" s="1"/>
  <c r="E26" i="14" a="1"/>
  <c r="E26" i="14" s="1"/>
  <c r="B29" i="14" a="1"/>
  <c r="B29" i="14" s="1"/>
  <c r="O29" i="14"/>
  <c r="P29" i="14" s="1"/>
  <c r="Q29" i="14" s="1"/>
  <c r="C4" i="9"/>
  <c r="H17" i="9" s="1"/>
  <c r="C16" i="9"/>
  <c r="C50" i="14" s="1"/>
  <c r="C13" i="9"/>
  <c r="C47" i="14" s="1"/>
  <c r="C10" i="9"/>
  <c r="C44" i="14" s="1"/>
  <c r="C12" i="9"/>
  <c r="C46" i="14" s="1"/>
  <c r="C9" i="9"/>
  <c r="C43" i="14" s="1"/>
  <c r="I20" i="8" l="1" a="1"/>
  <c r="I20" i="8" s="1"/>
  <c r="K20" i="8" s="1"/>
  <c r="J19" i="8"/>
  <c r="R29" i="14"/>
  <c r="B56" i="14"/>
  <c r="B6" i="9"/>
  <c r="B40" i="14" s="1"/>
  <c r="I21" i="8" l="1" a="1"/>
  <c r="I21" i="8" s="1"/>
  <c r="K21" i="8" s="1"/>
  <c r="J20" i="8"/>
  <c r="D13" i="9"/>
  <c r="D9" i="9"/>
  <c r="D10" i="9"/>
  <c r="D16" i="9"/>
  <c r="D8" i="9"/>
  <c r="D42" i="14" s="1"/>
  <c r="D14" i="9"/>
  <c r="D18" i="9"/>
  <c r="D12" i="9"/>
  <c r="C8" i="9"/>
  <c r="D11" i="9"/>
  <c r="I22" i="8" l="1" a="1"/>
  <c r="I22" i="8" s="1"/>
  <c r="K22" i="8" s="1"/>
  <c r="J21" i="8"/>
  <c r="E18" i="9"/>
  <c r="E52" i="14" s="1"/>
  <c r="D52" i="14"/>
  <c r="E10" i="9"/>
  <c r="E44" i="14" s="1"/>
  <c r="D44" i="14"/>
  <c r="E8" i="9"/>
  <c r="E42" i="14" s="1"/>
  <c r="C42" i="14"/>
  <c r="E12" i="9"/>
  <c r="E46" i="14" s="1"/>
  <c r="D46" i="14"/>
  <c r="E16" i="9"/>
  <c r="E50" i="14" s="1"/>
  <c r="D50" i="14"/>
  <c r="E11" i="9"/>
  <c r="E45" i="14" s="1"/>
  <c r="D45" i="14"/>
  <c r="E14" i="9"/>
  <c r="E48" i="14" s="1"/>
  <c r="D48" i="14"/>
  <c r="E9" i="9"/>
  <c r="E43" i="14" s="1"/>
  <c r="D43" i="14"/>
  <c r="E13" i="9"/>
  <c r="E47" i="14" s="1"/>
  <c r="D47" i="14"/>
  <c r="I17" i="9"/>
  <c r="I13" i="9"/>
  <c r="J13" i="9" s="1"/>
  <c r="C15" i="9"/>
  <c r="I14" i="9"/>
  <c r="J14" i="9" s="1"/>
  <c r="C28" i="9"/>
  <c r="J17" i="9" l="1"/>
  <c r="K17" i="9" s="1"/>
  <c r="I23" i="8" a="1"/>
  <c r="I23" i="8" s="1"/>
  <c r="K23" i="8" s="1"/>
  <c r="J22" i="8"/>
  <c r="C56" i="14"/>
  <c r="E15" i="9"/>
  <c r="C17" i="9"/>
  <c r="C49" i="14"/>
  <c r="C29" i="9"/>
  <c r="C32" i="9" l="1"/>
  <c r="C34" i="9"/>
  <c r="E17" i="9"/>
  <c r="E51" i="14" s="1"/>
  <c r="D15" i="9"/>
  <c r="D49" i="14" s="1"/>
  <c r="I24" i="8" a="1"/>
  <c r="I24" i="8" s="1"/>
  <c r="K24" i="8" s="1"/>
  <c r="J23" i="8"/>
  <c r="C30" i="9"/>
  <c r="C26" i="9"/>
  <c r="E56" i="14"/>
  <c r="D56" i="14"/>
  <c r="E49" i="14"/>
  <c r="C19" i="9"/>
  <c r="C51" i="14"/>
  <c r="D28" i="9"/>
  <c r="D29" i="9"/>
  <c r="C33" i="9" l="1"/>
  <c r="C35" i="9"/>
  <c r="C27" i="9"/>
  <c r="D17" i="9"/>
  <c r="D34" i="9" s="1"/>
  <c r="E19" i="9"/>
  <c r="E53" i="14" s="1"/>
  <c r="I25" i="8" a="1"/>
  <c r="I25" i="8" s="1"/>
  <c r="K25" i="8" s="1"/>
  <c r="J24" i="8"/>
  <c r="C31" i="9"/>
  <c r="C53" i="14"/>
  <c r="D30" i="9" l="1"/>
  <c r="D32" i="9"/>
  <c r="D51" i="14"/>
  <c r="D26" i="9"/>
  <c r="D19" i="9"/>
  <c r="I26" i="8" a="1"/>
  <c r="I26" i="8" s="1"/>
  <c r="K26" i="8" s="1"/>
  <c r="J25" i="8"/>
  <c r="D33" i="9" l="1"/>
  <c r="D35" i="9"/>
  <c r="D27" i="9"/>
  <c r="D31" i="9"/>
  <c r="D53" i="14"/>
  <c r="I27" i="8" a="1"/>
  <c r="I27" i="8" s="1"/>
  <c r="K27" i="8" s="1"/>
  <c r="J26" i="8"/>
  <c r="I28" i="8" l="1" a="1"/>
  <c r="I28" i="8" s="1"/>
  <c r="K28" i="8" s="1"/>
  <c r="J27" i="8"/>
  <c r="J28" i="8" l="1"/>
  <c r="I29" i="8" a="1"/>
  <c r="I29" i="8" s="1"/>
  <c r="K29" i="8" s="1"/>
  <c r="I30" i="8" l="1" a="1"/>
  <c r="I30" i="8" s="1"/>
  <c r="K30" i="8" s="1"/>
  <c r="J29" i="8"/>
  <c r="I31" i="8" l="1" a="1"/>
  <c r="I31" i="8" s="1"/>
  <c r="K31" i="8" s="1"/>
  <c r="J30" i="8"/>
  <c r="I32" i="8" l="1" a="1"/>
  <c r="I32" i="8" s="1"/>
  <c r="K32" i="8" s="1"/>
  <c r="J31" i="8"/>
  <c r="I33" i="8" l="1" a="1"/>
  <c r="I33" i="8" s="1"/>
  <c r="K33" i="8" s="1"/>
  <c r="J32" i="8"/>
  <c r="I34" i="8" l="1" a="1"/>
  <c r="I34" i="8" s="1"/>
  <c r="K34" i="8" s="1"/>
  <c r="J33" i="8"/>
  <c r="I35" i="8" l="1" a="1"/>
  <c r="I35" i="8" s="1"/>
  <c r="K35" i="8" s="1"/>
  <c r="J34" i="8"/>
  <c r="I36" i="8" l="1" a="1"/>
  <c r="I36" i="8" s="1"/>
  <c r="K36" i="8" s="1"/>
  <c r="J35" i="8"/>
  <c r="I37" i="8" l="1" a="1"/>
  <c r="I37" i="8" s="1"/>
  <c r="K37" i="8" s="1"/>
  <c r="J36" i="8"/>
  <c r="I38" i="8" l="1" a="1"/>
  <c r="I38" i="8" s="1"/>
  <c r="J37" i="8"/>
  <c r="K38" i="8" l="1"/>
  <c r="I39" i="8" a="1"/>
  <c r="I39" i="8" s="1"/>
  <c r="J38" i="8"/>
  <c r="K39" i="8" l="1"/>
  <c r="J39" i="8"/>
  <c r="I40" i="8" a="1"/>
  <c r="I40" i="8" s="1"/>
  <c r="J40" i="8" l="1"/>
  <c r="K40" i="8"/>
  <c r="I41" i="8" a="1"/>
  <c r="I41" i="8" s="1"/>
  <c r="J41" i="8" l="1"/>
  <c r="K41" i="8"/>
  <c r="I42" i="8" a="1"/>
  <c r="I42" i="8" s="1"/>
  <c r="K42" i="8" l="1"/>
  <c r="J42" i="8"/>
  <c r="I43" i="8" a="1"/>
  <c r="I43" i="8" s="1"/>
  <c r="J43" i="8" l="1"/>
  <c r="K43" i="8"/>
  <c r="I44" i="8" a="1"/>
  <c r="I44" i="8" s="1"/>
  <c r="J44" i="8" l="1"/>
  <c r="K44" i="8"/>
  <c r="I45" i="8" a="1"/>
  <c r="I45" i="8" s="1"/>
  <c r="J45" i="8" l="1"/>
  <c r="K45" i="8"/>
  <c r="I46" i="8" a="1"/>
  <c r="I46" i="8" s="1"/>
  <c r="J46" i="8" l="1"/>
  <c r="K46" i="8"/>
  <c r="I47" i="8" a="1"/>
  <c r="I47" i="8" s="1"/>
  <c r="J47" i="8" l="1"/>
  <c r="K47" i="8"/>
  <c r="I48" i="8" a="1"/>
  <c r="I48" i="8" s="1"/>
  <c r="I49" i="8" l="1" a="1"/>
  <c r="I49" i="8" s="1"/>
  <c r="K48" i="8"/>
  <c r="J48" i="8"/>
  <c r="J49" i="8" l="1"/>
  <c r="K49" i="8"/>
  <c r="I50" i="8" a="1"/>
  <c r="I50" i="8" s="1"/>
  <c r="J50" i="8" l="1"/>
  <c r="K50" i="8"/>
  <c r="I51" i="8" a="1"/>
  <c r="I51" i="8" s="1"/>
  <c r="J51" i="8" l="1"/>
  <c r="K51" i="8"/>
  <c r="I52" i="8" a="1"/>
  <c r="I52" i="8" s="1"/>
  <c r="J52" i="8" l="1"/>
  <c r="K52" i="8"/>
  <c r="I53" i="8" a="1"/>
  <c r="I53" i="8" s="1"/>
  <c r="J53" i="8" l="1"/>
  <c r="K53" i="8"/>
  <c r="I54" i="8" a="1"/>
  <c r="I54" i="8" s="1"/>
  <c r="J54" i="8" l="1"/>
  <c r="K54" i="8"/>
  <c r="I55" i="8" a="1"/>
  <c r="I55" i="8" s="1"/>
  <c r="J55" i="8" l="1"/>
  <c r="K55" i="8"/>
  <c r="I56" i="8" a="1"/>
  <c r="I56" i="8" s="1"/>
  <c r="J56" i="8" l="1"/>
  <c r="K56" i="8"/>
  <c r="I57" i="8" a="1"/>
  <c r="I57" i="8" s="1"/>
  <c r="J57" i="8" l="1"/>
  <c r="K57" i="8"/>
  <c r="I58" i="8" a="1"/>
  <c r="I58" i="8" s="1"/>
  <c r="K58" i="8" l="1"/>
  <c r="J58" i="8"/>
  <c r="I59" i="8" a="1"/>
  <c r="I59" i="8" s="1"/>
  <c r="J59" i="8" l="1"/>
  <c r="K59" i="8"/>
  <c r="I60" i="8" a="1"/>
  <c r="I60" i="8" s="1"/>
  <c r="J60" i="8" l="1"/>
  <c r="K60" i="8"/>
  <c r="I61" i="8" a="1"/>
  <c r="I61" i="8" s="1"/>
  <c r="J61" i="8" l="1"/>
  <c r="K61" i="8"/>
  <c r="I62" i="8" a="1"/>
  <c r="I62" i="8" s="1"/>
  <c r="J62" i="8" l="1"/>
  <c r="K62" i="8"/>
  <c r="I63" i="8" a="1"/>
  <c r="I63" i="8" s="1"/>
  <c r="J63" i="8" l="1"/>
  <c r="K63" i="8"/>
  <c r="I64" i="8" a="1"/>
  <c r="I64" i="8" s="1"/>
  <c r="J64" i="8" l="1"/>
  <c r="K64" i="8"/>
  <c r="I65" i="8" a="1"/>
  <c r="I65" i="8" s="1"/>
  <c r="J65" i="8" l="1"/>
  <c r="K65" i="8"/>
  <c r="I66" i="8" a="1"/>
  <c r="I66" i="8" s="1"/>
  <c r="J66" i="8" l="1"/>
  <c r="K66" i="8"/>
  <c r="I67" i="8" a="1"/>
  <c r="I67" i="8" s="1"/>
  <c r="J67" i="8" l="1"/>
  <c r="K67" i="8"/>
  <c r="I68" i="8" a="1"/>
  <c r="I68" i="8" s="1"/>
  <c r="J68" i="8" l="1"/>
  <c r="K68" i="8"/>
  <c r="I69" i="8" a="1"/>
  <c r="I69" i="8" s="1"/>
  <c r="J69" i="8" l="1"/>
  <c r="K69" i="8"/>
  <c r="I70" i="8" a="1"/>
  <c r="I70" i="8" s="1"/>
  <c r="J70" i="8" l="1"/>
  <c r="K70" i="8"/>
  <c r="I71" i="8" a="1"/>
  <c r="I71" i="8" s="1"/>
  <c r="J71" i="8" l="1"/>
  <c r="K71" i="8"/>
  <c r="I72" i="8" a="1"/>
  <c r="I72" i="8" s="1"/>
  <c r="C35" i="14"/>
  <c r="C36" i="14" s="1"/>
  <c r="C18" i="14"/>
  <c r="C19" i="14" s="1"/>
  <c r="J72" i="8" l="1"/>
  <c r="K72" i="8"/>
  <c r="I73" i="8" a="1"/>
  <c r="I73" i="8" s="1"/>
  <c r="J73" i="8" l="1"/>
  <c r="K73" i="8"/>
  <c r="I74" i="8" a="1"/>
  <c r="I74" i="8" s="1"/>
  <c r="J74" i="8" l="1"/>
  <c r="K74" i="8"/>
  <c r="I75" i="8" a="1"/>
  <c r="I75" i="8" s="1"/>
  <c r="J75" i="8" l="1"/>
  <c r="K75" i="8"/>
  <c r="I76" i="8" a="1"/>
  <c r="I76" i="8" s="1"/>
  <c r="J76" i="8" l="1"/>
  <c r="K76" i="8"/>
  <c r="I77" i="8" a="1"/>
  <c r="I77" i="8" s="1"/>
  <c r="J77" i="8" l="1"/>
  <c r="K77" i="8"/>
  <c r="I78" i="8" a="1"/>
  <c r="I78" i="8" s="1"/>
  <c r="J78" i="8" l="1"/>
  <c r="K78" i="8"/>
  <c r="I79" i="8" a="1"/>
  <c r="I79" i="8" s="1"/>
  <c r="J79" i="8" l="1"/>
  <c r="K79" i="8"/>
  <c r="I80" i="8" a="1"/>
  <c r="I80" i="8" s="1"/>
  <c r="J80" i="8" l="1"/>
  <c r="K80" i="8"/>
  <c r="I81" i="8" a="1"/>
  <c r="I81" i="8" s="1"/>
  <c r="J81" i="8" l="1"/>
  <c r="K81" i="8"/>
  <c r="I82" i="8" a="1"/>
  <c r="I82" i="8" s="1"/>
  <c r="J82" i="8" l="1"/>
  <c r="K82" i="8"/>
  <c r="I83" i="8" a="1"/>
  <c r="I83" i="8" s="1"/>
  <c r="J83" i="8" l="1"/>
  <c r="K83" i="8"/>
  <c r="I84" i="8" a="1"/>
  <c r="I84" i="8" s="1"/>
  <c r="J84" i="8" l="1"/>
  <c r="K84" i="8"/>
  <c r="I85" i="8" a="1"/>
  <c r="I85" i="8" s="1"/>
  <c r="J85" i="8" l="1"/>
  <c r="K85" i="8"/>
  <c r="I86" i="8" a="1"/>
  <c r="I86" i="8" s="1"/>
  <c r="J86" i="8" l="1"/>
  <c r="K86" i="8"/>
  <c r="I87" i="8" a="1"/>
  <c r="I87" i="8" s="1"/>
  <c r="J87" i="8" l="1"/>
  <c r="K87" i="8"/>
  <c r="I88" i="8" a="1"/>
  <c r="I88" i="8" s="1"/>
  <c r="J88" i="8" l="1"/>
  <c r="K88" i="8"/>
  <c r="I89" i="8" a="1"/>
  <c r="I89" i="8" s="1"/>
  <c r="J89" i="8" l="1"/>
  <c r="K89" i="8"/>
  <c r="I90" i="8" a="1"/>
  <c r="I90" i="8" s="1"/>
  <c r="J90" i="8" l="1"/>
  <c r="K90" i="8"/>
  <c r="I91" i="8" a="1"/>
  <c r="I91" i="8" s="1"/>
  <c r="J91" i="8" l="1"/>
  <c r="K91" i="8"/>
  <c r="I92" i="8" a="1"/>
  <c r="I92" i="8" s="1"/>
  <c r="J92" i="8" l="1"/>
  <c r="K92" i="8"/>
  <c r="I93" i="8" a="1"/>
  <c r="I93" i="8" s="1"/>
  <c r="J93" i="8" l="1"/>
  <c r="K93" i="8"/>
  <c r="I94" i="8" a="1"/>
  <c r="I94" i="8" s="1"/>
  <c r="J94" i="8" l="1"/>
  <c r="K94" i="8"/>
  <c r="I95" i="8" a="1"/>
  <c r="I95" i="8" s="1"/>
  <c r="J95" i="8" l="1"/>
  <c r="K95" i="8"/>
  <c r="I96" i="8" a="1"/>
  <c r="I96" i="8" s="1"/>
  <c r="J96" i="8" l="1"/>
  <c r="K96" i="8"/>
  <c r="I97" i="8" a="1"/>
  <c r="I97" i="8" s="1"/>
  <c r="J97" i="8" l="1"/>
  <c r="K97" i="8"/>
  <c r="I98" i="8" a="1"/>
  <c r="I98" i="8" s="1"/>
  <c r="K98" i="8" l="1"/>
  <c r="J98" i="8"/>
  <c r="I99" i="8" a="1"/>
  <c r="I99" i="8" s="1"/>
  <c r="J99" i="8" l="1"/>
  <c r="K99" i="8"/>
  <c r="I100" i="8" a="1"/>
  <c r="I100" i="8" s="1"/>
  <c r="J100" i="8" l="1"/>
  <c r="K100" i="8"/>
  <c r="I101" i="8" a="1"/>
  <c r="I101" i="8" s="1"/>
  <c r="J101" i="8" l="1"/>
  <c r="K101" i="8"/>
  <c r="I102" i="8" a="1"/>
  <c r="I102" i="8" s="1"/>
  <c r="J102" i="8" l="1"/>
  <c r="K102" i="8"/>
  <c r="I103" i="8" a="1"/>
  <c r="I103" i="8" s="1"/>
  <c r="J103" i="8" l="1"/>
  <c r="K103" i="8"/>
  <c r="I104" i="8" a="1"/>
  <c r="I104" i="8" s="1"/>
  <c r="J104" i="8" l="1"/>
  <c r="K104" i="8"/>
  <c r="I105" i="8" a="1"/>
  <c r="I105" i="8" s="1"/>
  <c r="J105" i="8" l="1"/>
  <c r="K105" i="8"/>
  <c r="I106" i="8" a="1"/>
  <c r="I106" i="8" s="1"/>
  <c r="J106" i="8" l="1"/>
  <c r="K106" i="8"/>
  <c r="I107" i="8" a="1"/>
  <c r="I107" i="8" s="1"/>
  <c r="J107" i="8" l="1"/>
  <c r="K107" i="8"/>
  <c r="I108" i="8" a="1"/>
  <c r="I108" i="8" s="1"/>
  <c r="J108" i="8" l="1"/>
  <c r="K108" i="8"/>
  <c r="I109" i="8" a="1"/>
  <c r="I109" i="8" s="1"/>
  <c r="J109" i="8" l="1"/>
  <c r="K109" i="8"/>
  <c r="I110" i="8" a="1"/>
  <c r="I110" i="8" s="1"/>
  <c r="J110" i="8" l="1"/>
  <c r="K110" i="8"/>
  <c r="I111" i="8" a="1"/>
  <c r="I111" i="8" s="1"/>
  <c r="J111" i="8" l="1"/>
  <c r="K111" i="8"/>
  <c r="I112" i="8" a="1"/>
  <c r="I112" i="8" s="1"/>
  <c r="J112" i="8" l="1"/>
  <c r="K112" i="8"/>
  <c r="I113" i="8" a="1"/>
  <c r="I113" i="8" s="1"/>
  <c r="J113" i="8" l="1"/>
  <c r="K113" i="8"/>
  <c r="I114" i="8" a="1"/>
  <c r="I114" i="8" s="1"/>
  <c r="J114" i="8" l="1"/>
  <c r="K114" i="8"/>
  <c r="I115" i="8" a="1"/>
  <c r="I115" i="8" s="1"/>
  <c r="J115" i="8" l="1"/>
  <c r="K115" i="8"/>
  <c r="I116" i="8" a="1"/>
  <c r="I116" i="8" s="1"/>
  <c r="K116" i="8" l="1"/>
  <c r="J116" i="8"/>
  <c r="I117" i="8" a="1"/>
  <c r="I117" i="8" s="1"/>
  <c r="K117" i="8" l="1"/>
  <c r="J117" i="8"/>
  <c r="I118" i="8" a="1"/>
  <c r="I118" i="8" s="1"/>
  <c r="J118" i="8" l="1"/>
  <c r="K118" i="8"/>
  <c r="I119" i="8" a="1"/>
  <c r="I119" i="8" s="1"/>
  <c r="K119" i="8" l="1"/>
  <c r="J119" i="8"/>
  <c r="I120" i="8" a="1"/>
  <c r="I120" i="8" s="1"/>
  <c r="J120" i="8" l="1"/>
  <c r="K120" i="8"/>
  <c r="I121" i="8" a="1"/>
  <c r="I121" i="8" s="1"/>
  <c r="K121" i="8" l="1"/>
  <c r="J121" i="8"/>
  <c r="I122" i="8" a="1"/>
  <c r="I122" i="8" s="1"/>
  <c r="J122" i="8" l="1"/>
  <c r="K122" i="8"/>
  <c r="I123" i="8" a="1"/>
  <c r="I123" i="8" s="1"/>
  <c r="J123" i="8" l="1"/>
  <c r="K123" i="8"/>
  <c r="I124" i="8" a="1"/>
  <c r="I124" i="8" s="1"/>
  <c r="K124" i="8" l="1"/>
  <c r="J124" i="8"/>
  <c r="I125" i="8" a="1"/>
  <c r="I125" i="8" s="1"/>
  <c r="K125" i="8" l="1"/>
  <c r="J125" i="8"/>
  <c r="I126" i="8" a="1"/>
  <c r="I126" i="8" s="1"/>
  <c r="J126" i="8" l="1"/>
  <c r="K126" i="8"/>
  <c r="I127" i="8" a="1"/>
  <c r="I127" i="8" s="1"/>
  <c r="K127" i="8" l="1"/>
  <c r="J127" i="8"/>
  <c r="I128" i="8" a="1"/>
  <c r="I128" i="8" s="1"/>
  <c r="J128" i="8" l="1"/>
  <c r="K128" i="8"/>
  <c r="I129" i="8" a="1"/>
  <c r="I129" i="8" s="1"/>
  <c r="J129" i="8" l="1"/>
  <c r="K129" i="8"/>
  <c r="I130" i="8" a="1"/>
  <c r="I130" i="8" s="1"/>
  <c r="J130" i="8" l="1"/>
  <c r="K130" i="8"/>
  <c r="I131" i="8" a="1"/>
  <c r="I131" i="8" s="1"/>
  <c r="J131" i="8" l="1"/>
  <c r="K131" i="8"/>
  <c r="I132" i="8" a="1"/>
  <c r="I132" i="8" s="1"/>
  <c r="J132" i="8" l="1"/>
  <c r="K132" i="8"/>
  <c r="I133" i="8" a="1"/>
  <c r="I133" i="8" s="1"/>
  <c r="J133" i="8" l="1"/>
  <c r="K133" i="8"/>
  <c r="I134" i="8" a="1"/>
  <c r="I134" i="8" s="1"/>
  <c r="J134" i="8" l="1"/>
  <c r="K134" i="8"/>
  <c r="I135" i="8" a="1"/>
  <c r="I135" i="8" s="1"/>
  <c r="J135" i="8" l="1"/>
  <c r="K135" i="8"/>
  <c r="I136" i="8" a="1"/>
  <c r="I136" i="8" s="1"/>
  <c r="J136" i="8" l="1"/>
  <c r="K136" i="8"/>
  <c r="I137" i="8" a="1"/>
  <c r="I137" i="8" s="1"/>
  <c r="J137" i="8" l="1"/>
  <c r="K137" i="8"/>
  <c r="I138" i="8" a="1"/>
  <c r="I138" i="8" s="1"/>
  <c r="J138" i="8" l="1"/>
  <c r="K138" i="8"/>
</calcChain>
</file>

<file path=xl/comments1.xml><?xml version="1.0" encoding="utf-8"?>
<comments xmlns="http://schemas.openxmlformats.org/spreadsheetml/2006/main">
  <authors>
    <author>Jon</author>
  </authors>
  <commentList>
    <comment ref="B33" authorId="0" shapeId="0">
      <text>
        <r>
          <rPr>
            <b/>
            <sz val="9"/>
            <color indexed="81"/>
            <rFont val="Tahoma"/>
            <family val="2"/>
          </rPr>
          <t>Jon:</t>
        </r>
        <r>
          <rPr>
            <sz val="9"/>
            <color indexed="81"/>
            <rFont val="Tahoma"/>
            <family val="2"/>
          </rPr>
          <t xml:space="preserve">
CHEROKEE ARROW II</t>
        </r>
      </text>
    </comment>
    <comment ref="B34" authorId="0" shapeId="0">
      <text>
        <r>
          <rPr>
            <b/>
            <sz val="9"/>
            <color indexed="81"/>
            <rFont val="Tahoma"/>
            <family val="2"/>
          </rPr>
          <t>Jon:</t>
        </r>
        <r>
          <rPr>
            <sz val="9"/>
            <color indexed="81"/>
            <rFont val="Tahoma"/>
            <family val="2"/>
          </rPr>
          <t xml:space="preserve">
CHEROKEE ARROW III</t>
        </r>
      </text>
    </comment>
    <comment ref="B35" authorId="0" shapeId="0">
      <text>
        <r>
          <rPr>
            <b/>
            <sz val="9"/>
            <color indexed="81"/>
            <rFont val="Tahoma"/>
            <family val="2"/>
          </rPr>
          <t>Jon:</t>
        </r>
        <r>
          <rPr>
            <sz val="9"/>
            <color indexed="81"/>
            <rFont val="Tahoma"/>
            <family val="2"/>
          </rPr>
          <t xml:space="preserve">
CHEROKEE ARROW III</t>
        </r>
      </text>
    </comment>
  </commentList>
</comments>
</file>

<file path=xl/sharedStrings.xml><?xml version="1.0" encoding="utf-8"?>
<sst xmlns="http://schemas.openxmlformats.org/spreadsheetml/2006/main" count="622" uniqueCount="344">
  <si>
    <t>Weight</t>
  </si>
  <si>
    <t>[lbs]</t>
  </si>
  <si>
    <t>Arm Aft of Datum</t>
  </si>
  <si>
    <t>Moment</t>
  </si>
  <si>
    <t>[In.lbs]</t>
  </si>
  <si>
    <t>[Inches]</t>
  </si>
  <si>
    <t>Basic Empty Weight</t>
  </si>
  <si>
    <t>Fuel</t>
  </si>
  <si>
    <t>Baggage</t>
  </si>
  <si>
    <t>Fuel used for taxi</t>
  </si>
  <si>
    <t>Litres</t>
  </si>
  <si>
    <t>Pre-Flight Calculator Inputs</t>
  </si>
  <si>
    <t>Aircraft</t>
  </si>
  <si>
    <t>Type</t>
  </si>
  <si>
    <t>Basic Empty Arm</t>
  </si>
  <si>
    <t>Pilot/ Co-Pilot</t>
  </si>
  <si>
    <t>Pax Arm</t>
  </si>
  <si>
    <t>Fuel Arm</t>
  </si>
  <si>
    <t>Bag Arm</t>
  </si>
  <si>
    <t>GBGAA</t>
  </si>
  <si>
    <t>GOPAM</t>
  </si>
  <si>
    <t>GHFCT</t>
  </si>
  <si>
    <t>GBHEC</t>
  </si>
  <si>
    <t>GCHIK</t>
  </si>
  <si>
    <t>GBNJC</t>
  </si>
  <si>
    <t>GBCKU</t>
  </si>
  <si>
    <t>GBYMH</t>
  </si>
  <si>
    <t>GBYMJ</t>
  </si>
  <si>
    <t>GBOOI</t>
  </si>
  <si>
    <t>GBNUS</t>
  </si>
  <si>
    <t>GBNUT</t>
  </si>
  <si>
    <t>GBXVB</t>
  </si>
  <si>
    <t>GBXVY</t>
  </si>
  <si>
    <t>GBHYX</t>
  </si>
  <si>
    <t>GBTGX</t>
  </si>
  <si>
    <t>GBTGW</t>
  </si>
  <si>
    <t>C152</t>
  </si>
  <si>
    <t>GBKLO</t>
  </si>
  <si>
    <t>GPJCC</t>
  </si>
  <si>
    <t>GSACI</t>
  </si>
  <si>
    <t>GSACO</t>
  </si>
  <si>
    <t>GBTGY</t>
  </si>
  <si>
    <t>GBYHH</t>
  </si>
  <si>
    <t>GCFMX</t>
  </si>
  <si>
    <t>GBTRK</t>
  </si>
  <si>
    <t>GCBYU</t>
  </si>
  <si>
    <t>GFULL</t>
  </si>
  <si>
    <t>GWAMS</t>
  </si>
  <si>
    <t>GBYYO</t>
  </si>
  <si>
    <t>PA28</t>
  </si>
  <si>
    <t>C172</t>
  </si>
  <si>
    <t>Airfield</t>
  </si>
  <si>
    <t>Runway</t>
  </si>
  <si>
    <t>TORA</t>
  </si>
  <si>
    <t>TODA</t>
  </si>
  <si>
    <t>LDA</t>
  </si>
  <si>
    <t>Stapleford</t>
  </si>
  <si>
    <t>22L</t>
  </si>
  <si>
    <t>22R</t>
  </si>
  <si>
    <t>04R</t>
  </si>
  <si>
    <t>Shoreham</t>
  </si>
  <si>
    <t>Lydd</t>
  </si>
  <si>
    <t>Southend</t>
  </si>
  <si>
    <t>Rochester</t>
  </si>
  <si>
    <t>02L</t>
  </si>
  <si>
    <t>20R</t>
  </si>
  <si>
    <t>02R</t>
  </si>
  <si>
    <t>20L</t>
  </si>
  <si>
    <t>04L</t>
  </si>
  <si>
    <t>Norwich</t>
  </si>
  <si>
    <t>Old Buck</t>
  </si>
  <si>
    <t>Pounds</t>
  </si>
  <si>
    <t>Units</t>
  </si>
  <si>
    <t xml:space="preserve">Inches </t>
  </si>
  <si>
    <t>Aircraft Type</t>
  </si>
  <si>
    <t>Flight Date</t>
  </si>
  <si>
    <t>Passenger Details</t>
  </si>
  <si>
    <t>Pilot Weight</t>
  </si>
  <si>
    <t>Co-Pilot Weight</t>
  </si>
  <si>
    <t>Pilot Weight (lbs)</t>
  </si>
  <si>
    <t>Co-Pilot Weight (lbs)</t>
  </si>
  <si>
    <t>Fuel Details</t>
  </si>
  <si>
    <t xml:space="preserve">Specific Gravity </t>
  </si>
  <si>
    <t>Type of Fuel</t>
  </si>
  <si>
    <t>Distinct Types</t>
  </si>
  <si>
    <t>Fuel Used while taxying (lbs)</t>
  </si>
  <si>
    <t xml:space="preserve">Rear Passenger 1 </t>
  </si>
  <si>
    <t xml:space="preserve">Rear Passenger 2 </t>
  </si>
  <si>
    <t>Baggage Weight (lbs)</t>
  </si>
  <si>
    <t>Aircraft Registration</t>
  </si>
  <si>
    <t>AVGAS 100LL</t>
  </si>
  <si>
    <t xml:space="preserve">Quantity Tabs </t>
  </si>
  <si>
    <t>Fuel Quantities &amp; Weights</t>
  </si>
  <si>
    <t>USG</t>
  </si>
  <si>
    <t>Lbs</t>
  </si>
  <si>
    <t>kg</t>
  </si>
  <si>
    <t>Weight Calcs</t>
  </si>
  <si>
    <t>Weight &amp; Balance Envelopes</t>
  </si>
  <si>
    <t>A/C Type</t>
  </si>
  <si>
    <t>Weight &amp; Balance Envelopes Metrics</t>
  </si>
  <si>
    <t>Aircraft Weight and Balance Info</t>
  </si>
  <si>
    <t>X</t>
  </si>
  <si>
    <t>Y</t>
  </si>
  <si>
    <t>Boundary 1</t>
  </si>
  <si>
    <t>Boundary 2</t>
  </si>
  <si>
    <t>Boundary 3</t>
  </si>
  <si>
    <t>Boundary 4</t>
  </si>
  <si>
    <t>Axis</t>
  </si>
  <si>
    <t>Utility Category - Boundary 1</t>
  </si>
  <si>
    <t>Utility Category - Boundary 2</t>
  </si>
  <si>
    <t>MTOW (lbs)</t>
  </si>
  <si>
    <t>Fuel Options</t>
  </si>
  <si>
    <t>Full Tanks</t>
  </si>
  <si>
    <t>Tabs (If Applicable)</t>
  </si>
  <si>
    <t>Weight [lbs]</t>
  </si>
  <si>
    <t>Within MTOW?</t>
  </si>
  <si>
    <t>Maximum allowable Fuel</t>
  </si>
  <si>
    <t>MTOW [lbs]</t>
  </si>
  <si>
    <t>Max Fuel [lbs]</t>
  </si>
  <si>
    <t>C172M</t>
  </si>
  <si>
    <t>Tabs (litres)</t>
  </si>
  <si>
    <t xml:space="preserve"> </t>
  </si>
  <si>
    <t>Rear Passenger 1 Weight (lbs) [Only C172 &amp; PA28]</t>
  </si>
  <si>
    <t xml:space="preserve">Quantity Max Usable </t>
  </si>
  <si>
    <t>Maximum usable Fuel (litres)</t>
  </si>
  <si>
    <t>Graph Displays</t>
  </si>
  <si>
    <t>Performance Calculations</t>
  </si>
  <si>
    <t>Take Off Performance Conditions</t>
  </si>
  <si>
    <t xml:space="preserve">A 10% increase in aeroplane weight 20% </t>
  </si>
  <si>
    <t>An increase of 1,000ft in airfield altitude 10%</t>
  </si>
  <si>
    <t>An increase of 10°C in ambient temperature 10%</t>
  </si>
  <si>
    <t>Dry grass – up to 20cm (on firm soil)* 20%</t>
  </si>
  <si>
    <t>Wet grass – up to 20cm (on firm soil)* 30%</t>
  </si>
  <si>
    <t>A 2% uphill slope* 10%</t>
  </si>
  <si>
    <t>A tailwind component of 10% of lift-off speed 20%</t>
  </si>
  <si>
    <t>Soft ground or snow* 25% or more</t>
  </si>
  <si>
    <t>Landing Performance Conditions</t>
  </si>
  <si>
    <t>Applicable?</t>
  </si>
  <si>
    <t>A 10% increase in aeroplane weight 10%</t>
  </si>
  <si>
    <t>An increase of 1,000ft in airfield altitude 5%</t>
  </si>
  <si>
    <t>An increase of 10°C in ambient temperature 5%</t>
  </si>
  <si>
    <t>Dry grass – up to 20cm (on firm soil)* 20% or more</t>
  </si>
  <si>
    <t>A 2% downhill slope* 10%</t>
  </si>
  <si>
    <t>A tailwind component of 10% of landing speed 20%</t>
  </si>
  <si>
    <t xml:space="preserve">T/O Airfield? </t>
  </si>
  <si>
    <t>Land Airfield?</t>
  </si>
  <si>
    <t xml:space="preserve">T/O Airfield </t>
  </si>
  <si>
    <t>Land Airfield</t>
  </si>
  <si>
    <t>Airfield Altitude</t>
  </si>
  <si>
    <t>Temperature</t>
  </si>
  <si>
    <t>Dry Grass</t>
  </si>
  <si>
    <t>Wet Grass</t>
  </si>
  <si>
    <t>Slope</t>
  </si>
  <si>
    <t>Tailwind</t>
  </si>
  <si>
    <t>Soft Ground or Snow</t>
  </si>
  <si>
    <t>Airfields/Airports</t>
  </si>
  <si>
    <t>Performance Factors</t>
  </si>
  <si>
    <t>Category</t>
  </si>
  <si>
    <t>Take Off Factor</t>
  </si>
  <si>
    <t>Land Factor</t>
  </si>
  <si>
    <t>Safety Factor</t>
  </si>
  <si>
    <t>TORA(m)</t>
  </si>
  <si>
    <t>TODA(m)</t>
  </si>
  <si>
    <t>LDA(m)</t>
  </si>
  <si>
    <t>no</t>
  </si>
  <si>
    <t>Wet grass – up to 20cm (on firm soil)*+ 35% or more</t>
  </si>
  <si>
    <t>Manual factor</t>
  </si>
  <si>
    <t>Within TODA?</t>
  </si>
  <si>
    <t>Within LDA?</t>
  </si>
  <si>
    <t>Unfactored Performance(m)</t>
  </si>
  <si>
    <t>Pre-Flight Performance Model</t>
  </si>
  <si>
    <t>Tab Key</t>
  </si>
  <si>
    <t>Field Key</t>
  </si>
  <si>
    <t>Airfield details and Performance Factors</t>
  </si>
  <si>
    <t>Instructions</t>
  </si>
  <si>
    <t>2. All users please adhere to key above and input details into relevant orange input fields. Do no alter calculation fields.</t>
  </si>
  <si>
    <t>3. The main entry tab that flows through to all tabs is the 'Variables' tab and each section is titled to indicate what it affects.</t>
  </si>
  <si>
    <r>
      <rPr>
        <b/>
        <sz val="11"/>
        <color rgb="FFFF0000"/>
        <rFont val="Calibri"/>
        <family val="2"/>
        <scheme val="minor"/>
      </rPr>
      <t>N.B</t>
    </r>
    <r>
      <rPr>
        <sz val="11"/>
        <color rgb="FFFF0000"/>
        <rFont val="Calibri"/>
        <family val="2"/>
        <scheme val="minor"/>
      </rPr>
      <t xml:space="preserve"> - It is also the responsibility of the PIC to ensure that the results reflected are accurate, especially if any changes have been made.</t>
    </r>
  </si>
  <si>
    <t>6. If new aircraft types are input, the relevant flight envelope details also need to be changed in Airfield Schedule Info under the relevant headings.</t>
  </si>
  <si>
    <r>
      <rPr>
        <b/>
        <sz val="11"/>
        <color rgb="FFFF0000"/>
        <rFont val="Calibri"/>
        <family val="2"/>
        <scheme val="minor"/>
      </rPr>
      <t>N.B</t>
    </r>
    <r>
      <rPr>
        <sz val="11"/>
        <color rgb="FFFF0000"/>
        <rFont val="Calibri"/>
        <family val="2"/>
        <scheme val="minor"/>
      </rPr>
      <t xml:space="preserve"> - It is the responsibility of the Pilot in Command (PIC) that all information input into this tool is accurate to provide accurate results. </t>
    </r>
  </si>
  <si>
    <t>07L</t>
  </si>
  <si>
    <t>25R</t>
  </si>
  <si>
    <t>Wet paved surface - 0% on T/O</t>
  </si>
  <si>
    <t>Wet Paved Surface - 15% on Land</t>
  </si>
  <si>
    <t>Wet Paved</t>
  </si>
  <si>
    <t>1. All users please input details only in Yellow tabs. Avoid changing formulas and format in blue or green tabs.</t>
  </si>
  <si>
    <t>Ramp totals</t>
  </si>
  <si>
    <t>Take off totals</t>
  </si>
  <si>
    <t>Less Forecast Route Fuel</t>
  </si>
  <si>
    <t>Forecast Landing Totals</t>
  </si>
  <si>
    <t>Weight and Balance Calcs</t>
  </si>
  <si>
    <t>Copy and paste the Appropriate Flight Envelope here</t>
  </si>
  <si>
    <t>Max Fuel [ltrs]</t>
  </si>
  <si>
    <t>Compton Abbas</t>
  </si>
  <si>
    <t>Active Runways</t>
  </si>
  <si>
    <t>Rwy count</t>
  </si>
  <si>
    <t>ZFW[lbs]</t>
  </si>
  <si>
    <t>Zero Fuel Weight [lbs]</t>
  </si>
  <si>
    <t>Produced by Jonathan Nicholas</t>
  </si>
  <si>
    <t>Duxford</t>
  </si>
  <si>
    <t>06R</t>
  </si>
  <si>
    <t>24L</t>
  </si>
  <si>
    <t>06L</t>
  </si>
  <si>
    <t>24R</t>
  </si>
  <si>
    <t>Fuel Type</t>
  </si>
  <si>
    <t>SP.G Conversion</t>
  </si>
  <si>
    <t>AVTUR</t>
  </si>
  <si>
    <t>AVGAS[Lts]</t>
  </si>
  <si>
    <t>AVTUR[Lts]</t>
  </si>
  <si>
    <t>Max Fuel [lts]</t>
  </si>
  <si>
    <t>7. This model works with aircraft consuming both AVGAS fuel and AVTUR (Jet Fuel). However, by default AVGAS is selected.</t>
  </si>
  <si>
    <t>Wellesbourne</t>
  </si>
  <si>
    <t>18</t>
  </si>
  <si>
    <t>05</t>
  </si>
  <si>
    <t>23</t>
  </si>
  <si>
    <t>36</t>
  </si>
  <si>
    <t>Bembridge</t>
  </si>
  <si>
    <t>30</t>
  </si>
  <si>
    <t>12</t>
  </si>
  <si>
    <t>Kemble</t>
  </si>
  <si>
    <t>08</t>
  </si>
  <si>
    <t>26</t>
  </si>
  <si>
    <t>08G</t>
  </si>
  <si>
    <t>26G</t>
  </si>
  <si>
    <t>Fenland</t>
  </si>
  <si>
    <t xml:space="preserve">                      Input Tab</t>
  </si>
  <si>
    <t xml:space="preserve">                      Calculation Tab</t>
  </si>
  <si>
    <t xml:space="preserve">                      Output Tab</t>
  </si>
  <si>
    <t xml:space="preserve">                      Appendix Tab</t>
  </si>
  <si>
    <t xml:space="preserve">                      Input field</t>
  </si>
  <si>
    <t xml:space="preserve">                      Calculation field</t>
  </si>
  <si>
    <t>PA28R-200</t>
  </si>
  <si>
    <t>PA28R-201</t>
  </si>
  <si>
    <t>Boundary 5</t>
  </si>
  <si>
    <t>Northampton/Sywell</t>
  </si>
  <si>
    <t>03L</t>
  </si>
  <si>
    <t>21R</t>
  </si>
  <si>
    <t>03RG</t>
  </si>
  <si>
    <t>21LG</t>
  </si>
  <si>
    <t>Beccles</t>
  </si>
  <si>
    <t>09R</t>
  </si>
  <si>
    <t>27L</t>
  </si>
  <si>
    <t>5. This model is setup for General Aviation aircraft operated by Stapleford (Cessna 152, Cessna 172, Piper Warrior, Piper Arrow II and III). If your club operates different types update the types, callsigns and POH information in Aircraft Schedule Information tab. Ensure the Distinct Types also reflects any new types.</t>
  </si>
  <si>
    <t>Le Touquet</t>
  </si>
  <si>
    <t>13LH</t>
  </si>
  <si>
    <t>31RH</t>
  </si>
  <si>
    <t>Coventry</t>
  </si>
  <si>
    <t>05RH</t>
  </si>
  <si>
    <t>23LH</t>
  </si>
  <si>
    <t>Leicester</t>
  </si>
  <si>
    <t>04RH</t>
  </si>
  <si>
    <t>06RH</t>
  </si>
  <si>
    <t>15RH</t>
  </si>
  <si>
    <t>16RH</t>
  </si>
  <si>
    <t>28RH</t>
  </si>
  <si>
    <t>10LH</t>
  </si>
  <si>
    <t>22LH</t>
  </si>
  <si>
    <t>24LH</t>
  </si>
  <si>
    <t>33LH</t>
  </si>
  <si>
    <t>34LH</t>
  </si>
  <si>
    <t>East Kirkby</t>
  </si>
  <si>
    <t>Clacton</t>
  </si>
  <si>
    <t>36LH</t>
  </si>
  <si>
    <t>18RH</t>
  </si>
  <si>
    <t>Isle of White - Sandown</t>
  </si>
  <si>
    <t>23RH</t>
  </si>
  <si>
    <t>05LH</t>
  </si>
  <si>
    <t>Humberside</t>
  </si>
  <si>
    <t>02</t>
  </si>
  <si>
    <t>20</t>
  </si>
  <si>
    <t>Sherburn-In-Elmet</t>
  </si>
  <si>
    <t>10</t>
  </si>
  <si>
    <t>28</t>
  </si>
  <si>
    <t>10G</t>
  </si>
  <si>
    <t>28G</t>
  </si>
  <si>
    <t>06</t>
  </si>
  <si>
    <t>24</t>
  </si>
  <si>
    <t>01</t>
  </si>
  <si>
    <t>19</t>
  </si>
  <si>
    <t>Welshpool</t>
  </si>
  <si>
    <t>04LH</t>
  </si>
  <si>
    <t>Nottingham</t>
  </si>
  <si>
    <t>03</t>
  </si>
  <si>
    <t>21</t>
  </si>
  <si>
    <t>09</t>
  </si>
  <si>
    <t>27</t>
  </si>
  <si>
    <t>Dunkeswell</t>
  </si>
  <si>
    <t>17LH</t>
  </si>
  <si>
    <t>35RH</t>
  </si>
  <si>
    <t>Pressure at MSL</t>
  </si>
  <si>
    <t>Density</t>
  </si>
  <si>
    <t>Temp at MSL (*C)</t>
  </si>
  <si>
    <t>Temp Lapse rate /1000ft (*C)</t>
  </si>
  <si>
    <t>Elevation (ft)</t>
  </si>
  <si>
    <t xml:space="preserve">Pressure Altitude at T/O </t>
  </si>
  <si>
    <t>Density Altitude at T/O</t>
  </si>
  <si>
    <t xml:space="preserve">Pressure Altitude at Land </t>
  </si>
  <si>
    <t>Density Altitude at Land</t>
  </si>
  <si>
    <t>ISA &amp; Actual condition calculations</t>
  </si>
  <si>
    <t>Actual variances T/O</t>
  </si>
  <si>
    <t>Actual variances Land</t>
  </si>
  <si>
    <t>ISA factors</t>
  </si>
  <si>
    <t>Airfield Pressure (mb/hPa) at T/O</t>
  </si>
  <si>
    <t>Airfield Temperature (*C) at T/O</t>
  </si>
  <si>
    <t>Airfield Pressure (mb/hPa) at Land</t>
  </si>
  <si>
    <t>Airfield Temperature (*C) at Land</t>
  </si>
  <si>
    <t>Aircraft Unfactored T/O Performance (m &amp; ft)</t>
  </si>
  <si>
    <t>Aircraft Unfactored Land Performance (m &amp; ft)</t>
  </si>
  <si>
    <t xml:space="preserve">4. If you would like to add additional airfields please add them in the airfields/airports box in Airfields &amp; Performance Factors tab and ensure the distinct types are updated. </t>
  </si>
  <si>
    <t>9. Once all relevant variables are input and you have the results, copy and paste the correct Flight envelope to the Performance Calcs &amp; Print Out tab.</t>
  </si>
  <si>
    <t>10. Use the Performance Calcs and Print Out tab as the page you print out before each flight.</t>
  </si>
  <si>
    <t xml:space="preserve">8. Before carrying out your performance calculations, ensure accurate meteorlogical information is inputted into this tool to derive the correct pressure and density altitudes which will underpin the basis of your take off and landing performance. </t>
  </si>
  <si>
    <t>Fairoaks</t>
  </si>
  <si>
    <t>Goodwood/Chichester</t>
  </si>
  <si>
    <t>14</t>
  </si>
  <si>
    <t>32</t>
  </si>
  <si>
    <t>31</t>
  </si>
  <si>
    <t>33</t>
  </si>
  <si>
    <t>34</t>
  </si>
  <si>
    <t>Eaglescott</t>
  </si>
  <si>
    <t>07</t>
  </si>
  <si>
    <t>25</t>
  </si>
  <si>
    <t>Perranporth</t>
  </si>
  <si>
    <t>Scilly Iles/St Mary's</t>
  </si>
  <si>
    <t>Lands End</t>
  </si>
  <si>
    <t>16</t>
  </si>
  <si>
    <t>Bodmin</t>
  </si>
  <si>
    <t>13</t>
  </si>
  <si>
    <t>Thruxton</t>
  </si>
  <si>
    <t>Alderney</t>
  </si>
  <si>
    <t>03LH</t>
  </si>
  <si>
    <t>21RH</t>
  </si>
  <si>
    <t>26LH</t>
  </si>
  <si>
    <t>08RH</t>
  </si>
  <si>
    <t>31LH</t>
  </si>
  <si>
    <t>13RH</t>
  </si>
  <si>
    <t>Peterborough/Sibson</t>
  </si>
  <si>
    <t>15LH</t>
  </si>
  <si>
    <t>33RH</t>
  </si>
  <si>
    <t>Oxford/Kidlington</t>
  </si>
  <si>
    <t>11</t>
  </si>
  <si>
    <t>29</t>
  </si>
  <si>
    <t>Abbeville</t>
  </si>
  <si>
    <t>Oostende-Brugge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</si>
</sst>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0;\(#,##0\)"/>
    <numFmt numFmtId="165" formatCode="#,##0_ ;\(#,##0\);\-\ "/>
    <numFmt numFmtId="166" formatCode="#,##0_);[Red]\(#,##0\);\-"/>
    <numFmt numFmtId="167" formatCode="[$-F800]dddd\,\ mmmm\ dd\,\ yyyy"/>
    <numFmt numFmtId="168" formatCode="#,##0.0"/>
    <numFmt numFmtId="169" formatCode="0.0"/>
    <numFmt numFmtId="170" formatCode="0.00&quot;ft&quot;"/>
  </numFmts>
  <fonts count="28" x14ac:knownFonts="1">
    <font>
      <sz val="11"/>
      <color theme="1"/>
      <name val="Calibri"/>
      <family val="2"/>
      <scheme val="minor"/>
    </font>
    <font>
      <b/>
      <sz val="11"/>
      <color theme="1"/>
      <name val="Calibri"/>
      <family val="2"/>
      <scheme val="minor"/>
    </font>
    <font>
      <sz val="11"/>
      <color rgb="FF006100"/>
      <name val="Calibri"/>
      <family val="2"/>
      <scheme val="minor"/>
    </font>
    <font>
      <sz val="11"/>
      <color rgb="FF3F3F76"/>
      <name val="Calibri"/>
      <family val="2"/>
      <scheme val="minor"/>
    </font>
    <font>
      <b/>
      <sz val="11"/>
      <color rgb="FFFA7D00"/>
      <name val="Calibri"/>
      <family val="2"/>
      <scheme val="minor"/>
    </font>
    <font>
      <b/>
      <sz val="16"/>
      <color rgb="FF00338D"/>
      <name val="Arial"/>
      <family val="2"/>
    </font>
    <font>
      <b/>
      <sz val="11"/>
      <color rgb="FF006100"/>
      <name val="Calibri"/>
      <family val="2"/>
      <scheme val="minor"/>
    </font>
    <font>
      <b/>
      <sz val="8"/>
      <name val="Arial"/>
      <family val="2"/>
    </font>
    <font>
      <sz val="8"/>
      <color theme="1"/>
      <name val="Arial"/>
      <family val="2"/>
    </font>
    <font>
      <b/>
      <sz val="12"/>
      <color indexed="9"/>
      <name val="Arial"/>
      <family val="2"/>
    </font>
    <font>
      <b/>
      <sz val="10"/>
      <name val="Arial"/>
      <family val="2"/>
    </font>
    <font>
      <sz val="8"/>
      <name val="Arial"/>
      <family val="2"/>
    </font>
    <font>
      <sz val="9"/>
      <color indexed="81"/>
      <name val="Tahoma"/>
      <family val="2"/>
    </font>
    <font>
      <b/>
      <sz val="9"/>
      <color indexed="81"/>
      <name val="Tahoma"/>
      <family val="2"/>
    </font>
    <font>
      <sz val="11"/>
      <color theme="0"/>
      <name val="Calibri"/>
      <family val="2"/>
      <scheme val="minor"/>
    </font>
    <font>
      <i/>
      <sz val="11"/>
      <color rgb="FF7F7F7F"/>
      <name val="Calibri"/>
      <family val="2"/>
      <scheme val="minor"/>
    </font>
    <font>
      <sz val="11"/>
      <color rgb="FFFF0000"/>
      <name val="Calibri"/>
      <family val="2"/>
      <scheme val="minor"/>
    </font>
    <font>
      <b/>
      <sz val="11"/>
      <color rgb="FFFF0000"/>
      <name val="Calibri"/>
      <family val="2"/>
      <scheme val="minor"/>
    </font>
    <font>
      <sz val="20"/>
      <color rgb="FFFF0000"/>
      <name val="Calibri"/>
      <family val="2"/>
      <scheme val="minor"/>
    </font>
    <font>
      <i/>
      <sz val="9"/>
      <color rgb="FF7F7F7F"/>
      <name val="Calibri"/>
      <family val="2"/>
      <scheme val="minor"/>
    </font>
    <font>
      <b/>
      <sz val="16"/>
      <color rgb="FF00338D"/>
      <name val="Arial"/>
      <family val="2"/>
    </font>
    <font>
      <sz val="11"/>
      <color theme="1"/>
      <name val="Calibri"/>
      <family val="2"/>
      <scheme val="minor"/>
    </font>
    <font>
      <b/>
      <sz val="11"/>
      <color rgb="FF006100"/>
      <name val="Calibri"/>
      <family val="2"/>
      <scheme val="minor"/>
    </font>
    <font>
      <sz val="11"/>
      <color rgb="FF006100"/>
      <name val="Calibri"/>
      <family val="2"/>
      <scheme val="minor"/>
    </font>
    <font>
      <sz val="11"/>
      <color rgb="FF3F3F76"/>
      <name val="Calibri"/>
      <family val="2"/>
      <scheme val="minor"/>
    </font>
    <font>
      <b/>
      <sz val="11"/>
      <color theme="1"/>
      <name val="Calibri"/>
      <family val="2"/>
      <scheme val="minor"/>
    </font>
    <font>
      <b/>
      <sz val="11"/>
      <color rgb="FFFA7D00"/>
      <name val="Calibri"/>
      <family val="2"/>
      <scheme val="minor"/>
    </font>
    <font>
      <i/>
      <sz val="11"/>
      <color rgb="FF7F7F7F"/>
      <name val="Calibri"/>
      <family val="2"/>
      <scheme val="minor"/>
    </font>
  </fonts>
  <fills count="10">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C99"/>
      </patternFill>
    </fill>
    <fill>
      <patternFill patternType="solid">
        <fgColor rgb="FFF2F2F2"/>
      </patternFill>
    </fill>
    <fill>
      <patternFill patternType="solid">
        <fgColor rgb="FF00338D"/>
        <bgColor indexed="64"/>
      </patternFill>
    </fill>
    <fill>
      <patternFill patternType="solid">
        <fgColor rgb="FF98C6EA"/>
        <bgColor indexed="64"/>
      </patternFill>
    </fill>
    <fill>
      <patternFill patternType="solid">
        <fgColor theme="2"/>
        <bgColor indexed="64"/>
      </patternFill>
    </fill>
    <fill>
      <patternFill patternType="solid">
        <fgColor theme="0" tint="-0.49998474074526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right/>
      <top style="medium">
        <color indexed="63"/>
      </top>
      <bottom style="thin">
        <color indexed="63"/>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indexed="64"/>
      </top>
      <bottom style="thin">
        <color rgb="FF7F7F7F"/>
      </bottom>
      <diagonal/>
    </border>
  </borders>
  <cellStyleXfs count="13">
    <xf numFmtId="0" fontId="0" fillId="0" borderId="0"/>
    <xf numFmtId="0" fontId="2" fillId="3" borderId="0" applyNumberFormat="0" applyBorder="0" applyAlignment="0" applyProtection="0"/>
    <xf numFmtId="0" fontId="3" fillId="4" borderId="4" applyNumberFormat="0" applyAlignment="0" applyProtection="0"/>
    <xf numFmtId="0" fontId="4" fillId="5" borderId="4" applyNumberFormat="0" applyAlignment="0" applyProtection="0"/>
    <xf numFmtId="164" fontId="5" fillId="0" borderId="0">
      <alignment horizontal="left"/>
    </xf>
    <xf numFmtId="165" fontId="7" fillId="0" borderId="0" applyNumberFormat="0" applyFill="0">
      <alignment vertical="center"/>
    </xf>
    <xf numFmtId="0" fontId="8" fillId="0" borderId="0"/>
    <xf numFmtId="165" fontId="9" fillId="6" borderId="0" applyNumberFormat="0">
      <alignment vertical="center"/>
    </xf>
    <xf numFmtId="165" fontId="10" fillId="7" borderId="0" applyNumberFormat="0">
      <alignment vertical="center"/>
    </xf>
    <xf numFmtId="165" fontId="10" fillId="0" borderId="0" applyNumberFormat="0" applyFill="0">
      <alignment vertical="center"/>
    </xf>
    <xf numFmtId="166" fontId="11" fillId="0" borderId="0" applyBorder="0">
      <alignment vertical="center"/>
    </xf>
    <xf numFmtId="166" fontId="7" fillId="0" borderId="5">
      <alignment vertical="center"/>
    </xf>
    <xf numFmtId="0" fontId="15" fillId="0" borderId="0" applyNumberFormat="0" applyFill="0" applyBorder="0" applyAlignment="0" applyProtection="0"/>
  </cellStyleXfs>
  <cellXfs count="71">
    <xf numFmtId="0" fontId="0" fillId="0" borderId="0" xfId="0"/>
    <xf numFmtId="0" fontId="0" fillId="2" borderId="0" xfId="0" applyFill="1"/>
    <xf numFmtId="0" fontId="0" fillId="2" borderId="1" xfId="0" applyFill="1" applyBorder="1"/>
    <xf numFmtId="0" fontId="0" fillId="0" borderId="0" xfId="0" applyFill="1" applyBorder="1"/>
    <xf numFmtId="0" fontId="0" fillId="0" borderId="1" xfId="0" applyFill="1" applyBorder="1"/>
    <xf numFmtId="0" fontId="0" fillId="2" borderId="1" xfId="0" applyFill="1" applyBorder="1" applyAlignment="1">
      <alignment horizontal="center"/>
    </xf>
    <xf numFmtId="0" fontId="0" fillId="0" borderId="1" xfId="0" applyBorder="1"/>
    <xf numFmtId="0" fontId="0" fillId="0" borderId="0" xfId="0"/>
    <xf numFmtId="164" fontId="5" fillId="0" borderId="0" xfId="4" applyFont="1">
      <alignment horizontal="left"/>
    </xf>
    <xf numFmtId="0" fontId="0" fillId="0" borderId="0" xfId="0"/>
    <xf numFmtId="0" fontId="1" fillId="0" borderId="0" xfId="0" applyFont="1"/>
    <xf numFmtId="0" fontId="2" fillId="3" borderId="0" xfId="1"/>
    <xf numFmtId="0" fontId="6" fillId="3" borderId="0" xfId="1" applyFont="1"/>
    <xf numFmtId="2" fontId="4" fillId="5" borderId="4" xfId="3" applyNumberFormat="1"/>
    <xf numFmtId="2" fontId="4" fillId="5" borderId="1" xfId="3" applyNumberFormat="1" applyBorder="1"/>
    <xf numFmtId="0" fontId="0" fillId="0" borderId="0" xfId="0" applyAlignment="1">
      <alignment wrapText="1"/>
    </xf>
    <xf numFmtId="0" fontId="1" fillId="0" borderId="0" xfId="0" applyFont="1" applyAlignment="1">
      <alignment wrapText="1"/>
    </xf>
    <xf numFmtId="0" fontId="0" fillId="0" borderId="1" xfId="0" applyBorder="1" applyAlignment="1">
      <alignment wrapText="1"/>
    </xf>
    <xf numFmtId="0" fontId="4" fillId="5" borderId="4" xfId="3"/>
    <xf numFmtId="0" fontId="0" fillId="0" borderId="0" xfId="0" applyAlignment="1">
      <alignment horizontal="center"/>
    </xf>
    <xf numFmtId="0" fontId="14" fillId="0" borderId="0" xfId="0" applyFont="1"/>
    <xf numFmtId="0" fontId="15" fillId="0" borderId="0" xfId="12"/>
    <xf numFmtId="0" fontId="0" fillId="0" borderId="0" xfId="0" applyBorder="1"/>
    <xf numFmtId="169" fontId="3" fillId="4" borderId="1" xfId="2" applyNumberFormat="1" applyBorder="1"/>
    <xf numFmtId="168" fontId="3" fillId="4" borderId="1" xfId="2" applyNumberFormat="1" applyBorder="1" applyAlignment="1">
      <alignment wrapText="1"/>
    </xf>
    <xf numFmtId="0" fontId="16" fillId="0" borderId="0" xfId="0" applyFont="1"/>
    <xf numFmtId="0" fontId="4" fillId="5" borderId="8" xfId="3" applyBorder="1"/>
    <xf numFmtId="0" fontId="0" fillId="0" borderId="8" xfId="0" applyBorder="1"/>
    <xf numFmtId="0" fontId="4" fillId="5" borderId="4" xfId="3" applyBorder="1"/>
    <xf numFmtId="49" fontId="0" fillId="0" borderId="0" xfId="0" applyNumberFormat="1"/>
    <xf numFmtId="0" fontId="19" fillId="0" borderId="0" xfId="12" applyFont="1" applyAlignment="1">
      <alignment horizontal="center"/>
    </xf>
    <xf numFmtId="49" fontId="3" fillId="4" borderId="1" xfId="2" applyNumberFormat="1" applyBorder="1" applyAlignment="1">
      <alignment horizontal="left"/>
    </xf>
    <xf numFmtId="1" fontId="4" fillId="5" borderId="1" xfId="3" applyNumberFormat="1" applyBorder="1"/>
    <xf numFmtId="0" fontId="4" fillId="5" borderId="1" xfId="3" applyBorder="1" applyAlignment="1">
      <alignment horizontal="right"/>
    </xf>
    <xf numFmtId="0" fontId="3" fillId="4" borderId="4" xfId="2" applyAlignment="1">
      <alignment horizontal="right"/>
    </xf>
    <xf numFmtId="2" fontId="4" fillId="5" borderId="1" xfId="3" applyNumberFormat="1" applyBorder="1" applyAlignment="1">
      <alignment horizontal="right"/>
    </xf>
    <xf numFmtId="0" fontId="0" fillId="0" borderId="0" xfId="0" applyAlignment="1">
      <alignment horizontal="right"/>
    </xf>
    <xf numFmtId="2" fontId="4" fillId="5" borderId="4" xfId="3" applyNumberFormat="1" applyAlignment="1">
      <alignment horizontal="right"/>
    </xf>
    <xf numFmtId="1" fontId="3" fillId="4" borderId="1" xfId="2" applyNumberFormat="1" applyBorder="1" applyAlignment="1">
      <alignment horizontal="right"/>
    </xf>
    <xf numFmtId="0" fontId="0" fillId="0" borderId="1" xfId="0" applyBorder="1" applyAlignment="1">
      <alignment horizontal="right"/>
    </xf>
    <xf numFmtId="49" fontId="3" fillId="4" borderId="1" xfId="2" applyNumberFormat="1" applyBorder="1" applyAlignment="1">
      <alignment horizontal="right"/>
    </xf>
    <xf numFmtId="0" fontId="0" fillId="0" borderId="1" xfId="0" applyBorder="1" applyAlignment="1">
      <alignment horizontal="left"/>
    </xf>
    <xf numFmtId="0" fontId="4" fillId="5" borderId="4" xfId="3" applyBorder="1" applyAlignment="1">
      <alignment horizontal="right"/>
    </xf>
    <xf numFmtId="0" fontId="0" fillId="0" borderId="0" xfId="0" applyFill="1" applyBorder="1" applyAlignment="1">
      <alignment horizontal="left"/>
    </xf>
    <xf numFmtId="0" fontId="0" fillId="9" borderId="0" xfId="0" applyFill="1"/>
    <xf numFmtId="2" fontId="14" fillId="0" borderId="0" xfId="0" applyNumberFormat="1" applyFont="1"/>
    <xf numFmtId="170" fontId="4" fillId="5" borderId="4" xfId="3" applyNumberFormat="1" applyAlignment="1">
      <alignment horizontal="right"/>
    </xf>
    <xf numFmtId="2" fontId="3" fillId="4" borderId="1" xfId="2" applyNumberFormat="1" applyBorder="1" applyAlignment="1">
      <alignment horizontal="right"/>
    </xf>
    <xf numFmtId="164" fontId="20" fillId="0" borderId="0" xfId="4" applyFont="1">
      <alignment horizontal="left"/>
    </xf>
    <xf numFmtId="0" fontId="21" fillId="0" borderId="0" xfId="0" applyFont="1"/>
    <xf numFmtId="0" fontId="22" fillId="3" borderId="0" xfId="1" applyFont="1"/>
    <xf numFmtId="0" fontId="23" fillId="3" borderId="0" xfId="1" applyFont="1"/>
    <xf numFmtId="167" fontId="24" fillId="4" borderId="1" xfId="2" applyNumberFormat="1" applyFont="1" applyBorder="1"/>
    <xf numFmtId="0" fontId="24" fillId="4" borderId="1" xfId="2" applyNumberFormat="1" applyFont="1" applyBorder="1" applyAlignment="1">
      <alignment horizontal="right"/>
    </xf>
    <xf numFmtId="167" fontId="24" fillId="4" borderId="1" xfId="2" applyNumberFormat="1" applyFont="1" applyBorder="1" applyAlignment="1">
      <alignment horizontal="right"/>
    </xf>
    <xf numFmtId="0" fontId="25" fillId="0" borderId="0" xfId="0" applyFont="1"/>
    <xf numFmtId="1" fontId="24" fillId="4" borderId="1" xfId="2" applyNumberFormat="1" applyFont="1" applyBorder="1"/>
    <xf numFmtId="0" fontId="21" fillId="0" borderId="0" xfId="0" applyFont="1" applyFill="1" applyBorder="1"/>
    <xf numFmtId="2" fontId="21" fillId="0" borderId="0" xfId="0" applyNumberFormat="1" applyFont="1"/>
    <xf numFmtId="1" fontId="24" fillId="4" borderId="1" xfId="2" applyNumberFormat="1" applyFont="1" applyBorder="1" applyAlignment="1">
      <alignment horizontal="right"/>
    </xf>
    <xf numFmtId="2" fontId="26" fillId="5" borderId="1" xfId="3" applyNumberFormat="1" applyFont="1" applyBorder="1" applyAlignment="1">
      <alignment horizontal="right"/>
    </xf>
    <xf numFmtId="1" fontId="26" fillId="5" borderId="4" xfId="3" applyNumberFormat="1" applyFont="1" applyAlignment="1">
      <alignment horizontal="right"/>
    </xf>
    <xf numFmtId="2" fontId="24" fillId="4" borderId="1" xfId="2" applyNumberFormat="1" applyFont="1" applyBorder="1" applyAlignment="1">
      <alignment horizontal="right"/>
    </xf>
    <xf numFmtId="0" fontId="27" fillId="0" borderId="0" xfId="12" applyFont="1"/>
    <xf numFmtId="2" fontId="24" fillId="4" borderId="1" xfId="2" applyNumberFormat="1" applyFont="1" applyBorder="1"/>
    <xf numFmtId="0" fontId="0" fillId="0" borderId="7" xfId="0" applyBorder="1" applyAlignment="1">
      <alignment horizontal="left" vertical="center" wrapText="1"/>
    </xf>
    <xf numFmtId="0" fontId="0" fillId="0" borderId="3" xfId="0" applyBorder="1" applyAlignment="1">
      <alignment horizontal="left" vertical="center" wrapText="1"/>
    </xf>
    <xf numFmtId="0" fontId="0" fillId="0" borderId="6" xfId="0" applyBorder="1" applyAlignment="1">
      <alignment horizontal="center" wrapText="1"/>
    </xf>
    <xf numFmtId="0" fontId="0" fillId="0" borderId="2" xfId="0" applyBorder="1" applyAlignment="1">
      <alignment horizontal="center" wrapText="1"/>
    </xf>
    <xf numFmtId="0" fontId="4" fillId="5" borderId="1" xfId="3" applyBorder="1" applyAlignment="1">
      <alignment horizontal="center"/>
    </xf>
    <xf numFmtId="0" fontId="18" fillId="8" borderId="0" xfId="0" applyFont="1" applyFill="1" applyAlignment="1">
      <alignment horizontal="center" vertical="center"/>
    </xf>
  </cellXfs>
  <cellStyles count="13">
    <cellStyle name="Calc 1" xfId="10"/>
    <cellStyle name="Calculation" xfId="3" builtinId="22"/>
    <cellStyle name="Explanatory Text" xfId="12" builtinId="53"/>
    <cellStyle name="Good" xfId="1" builtinId="26"/>
    <cellStyle name="Input" xfId="2" builtinId="20"/>
    <cellStyle name="Normal" xfId="0" builtinId="0"/>
    <cellStyle name="Normal 2" xfId="6"/>
    <cellStyle name="SheetHeading" xfId="4"/>
    <cellStyle name="Title 1" xfId="7"/>
    <cellStyle name="Title 2" xfId="8"/>
    <cellStyle name="Title 3" xfId="9"/>
    <cellStyle name="Title 4" xfId="5"/>
    <cellStyle name="Total - General" xfId="11"/>
  </cellStyles>
  <dxfs count="26">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6500"/>
      </font>
      <fill>
        <patternFill>
          <bgColor rgb="FFFFEB9C"/>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A7D00"/>
      <color rgb="FFF2F2F2"/>
      <color rgb="FFFFCC99"/>
      <color rgb="FF8EA5CE"/>
      <color rgb="FFDA81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C152 Weight</a:t>
            </a:r>
            <a:r>
              <a:rPr lang="en-GB" baseline="0"/>
              <a:t> and Balance Envelope</a:t>
            </a:r>
            <a:endParaRPr lang="en-GB"/>
          </a:p>
        </c:rich>
      </c:tx>
      <c:overlay val="0"/>
    </c:title>
    <c:autoTitleDeleted val="0"/>
    <c:plotArea>
      <c:layout/>
      <c:scatterChart>
        <c:scatterStyle val="lineMarker"/>
        <c:varyColors val="0"/>
        <c:ser>
          <c:idx val="0"/>
          <c:order val="0"/>
          <c:tx>
            <c:v>Boundary 1</c:v>
          </c:tx>
          <c:spPr>
            <a:ln w="19050">
              <a:solidFill>
                <a:schemeClr val="tx1"/>
              </a:solidFill>
            </a:ln>
          </c:spPr>
          <c:marker>
            <c:symbol val="none"/>
          </c:marker>
          <c:trendline>
            <c:trendlineType val="linear"/>
            <c:dispRSqr val="0"/>
            <c:dispEq val="0"/>
          </c:trendline>
          <c:trendline>
            <c:trendlineType val="linear"/>
            <c:dispRSqr val="0"/>
            <c:dispEq val="0"/>
          </c:trendline>
          <c:trendline>
            <c:trendlineType val="linear"/>
            <c:dispRSqr val="0"/>
            <c:dispEq val="0"/>
          </c:trendline>
          <c:xVal>
            <c:numRef>
              <c:f>'Aircraft Schedule Info'!$C$42:$C$43</c:f>
              <c:numCache>
                <c:formatCode>#,##0.0</c:formatCode>
                <c:ptCount val="2"/>
                <c:pt idx="0">
                  <c:v>31</c:v>
                </c:pt>
                <c:pt idx="1">
                  <c:v>31</c:v>
                </c:pt>
              </c:numCache>
            </c:numRef>
          </c:xVal>
          <c:yVal>
            <c:numRef>
              <c:f>'Aircraft Schedule Info'!$D$42:$D$43</c:f>
              <c:numCache>
                <c:formatCode>#,##0.0</c:formatCode>
                <c:ptCount val="2"/>
                <c:pt idx="0">
                  <c:v>1000</c:v>
                </c:pt>
                <c:pt idx="1">
                  <c:v>1450</c:v>
                </c:pt>
              </c:numCache>
            </c:numRef>
          </c:yVal>
          <c:smooth val="0"/>
          <c:extLst>
            <c:ext xmlns:c16="http://schemas.microsoft.com/office/drawing/2014/chart" uri="{C3380CC4-5D6E-409C-BE32-E72D297353CC}">
              <c16:uniqueId val="{00000000-A8D8-47B7-BDC0-22279F155E5C}"/>
            </c:ext>
          </c:extLst>
        </c:ser>
        <c:ser>
          <c:idx val="1"/>
          <c:order val="1"/>
          <c:tx>
            <c:v>Boundary 2</c:v>
          </c:tx>
          <c:spPr>
            <a:ln w="19050">
              <a:solidFill>
                <a:schemeClr val="tx1"/>
              </a:solidFill>
            </a:ln>
          </c:spPr>
          <c:marker>
            <c:symbol val="none"/>
          </c:marker>
          <c:trendline>
            <c:trendlineType val="linear"/>
            <c:dispRSqr val="0"/>
            <c:dispEq val="0"/>
          </c:trendline>
          <c:xVal>
            <c:numRef>
              <c:f>'Aircraft Schedule Info'!$C$44:$C$45</c:f>
              <c:numCache>
                <c:formatCode>#,##0.0</c:formatCode>
                <c:ptCount val="2"/>
                <c:pt idx="0">
                  <c:v>31</c:v>
                </c:pt>
                <c:pt idx="1">
                  <c:v>32.6</c:v>
                </c:pt>
              </c:numCache>
            </c:numRef>
          </c:xVal>
          <c:yVal>
            <c:numRef>
              <c:f>'Aircraft Schedule Info'!$D$44:$D$45</c:f>
              <c:numCache>
                <c:formatCode>#,##0.0</c:formatCode>
                <c:ptCount val="2"/>
                <c:pt idx="0">
                  <c:v>1450</c:v>
                </c:pt>
                <c:pt idx="1">
                  <c:v>1670</c:v>
                </c:pt>
              </c:numCache>
            </c:numRef>
          </c:yVal>
          <c:smooth val="0"/>
          <c:extLst>
            <c:ext xmlns:c16="http://schemas.microsoft.com/office/drawing/2014/chart" uri="{C3380CC4-5D6E-409C-BE32-E72D297353CC}">
              <c16:uniqueId val="{00000001-A8D8-47B7-BDC0-22279F155E5C}"/>
            </c:ext>
          </c:extLst>
        </c:ser>
        <c:ser>
          <c:idx val="2"/>
          <c:order val="2"/>
          <c:tx>
            <c:v>Boundary 3</c:v>
          </c:tx>
          <c:spPr>
            <a:ln w="19050">
              <a:solidFill>
                <a:schemeClr val="tx1"/>
              </a:solidFill>
            </a:ln>
          </c:spPr>
          <c:marker>
            <c:symbol val="none"/>
          </c:marker>
          <c:xVal>
            <c:numRef>
              <c:f>'Aircraft Schedule Info'!$C$46:$C$47</c:f>
              <c:numCache>
                <c:formatCode>#,##0.0</c:formatCode>
                <c:ptCount val="2"/>
                <c:pt idx="0">
                  <c:v>32.6</c:v>
                </c:pt>
                <c:pt idx="1">
                  <c:v>36.5</c:v>
                </c:pt>
              </c:numCache>
            </c:numRef>
          </c:xVal>
          <c:yVal>
            <c:numRef>
              <c:f>'Aircraft Schedule Info'!$D$46:$D$47</c:f>
              <c:numCache>
                <c:formatCode>#,##0.0</c:formatCode>
                <c:ptCount val="2"/>
                <c:pt idx="0">
                  <c:v>1670</c:v>
                </c:pt>
                <c:pt idx="1">
                  <c:v>1670</c:v>
                </c:pt>
              </c:numCache>
            </c:numRef>
          </c:yVal>
          <c:smooth val="0"/>
          <c:extLst>
            <c:ext xmlns:c16="http://schemas.microsoft.com/office/drawing/2014/chart" uri="{C3380CC4-5D6E-409C-BE32-E72D297353CC}">
              <c16:uniqueId val="{00000002-A8D8-47B7-BDC0-22279F155E5C}"/>
            </c:ext>
          </c:extLst>
        </c:ser>
        <c:ser>
          <c:idx val="3"/>
          <c:order val="3"/>
          <c:tx>
            <c:v>Boundary 4</c:v>
          </c:tx>
          <c:spPr>
            <a:ln w="19050">
              <a:solidFill>
                <a:schemeClr val="tx1"/>
              </a:solidFill>
            </a:ln>
          </c:spPr>
          <c:marker>
            <c:symbol val="none"/>
          </c:marker>
          <c:xVal>
            <c:numRef>
              <c:f>'Aircraft Schedule Info'!$C$48:$C$49</c:f>
              <c:numCache>
                <c:formatCode>#,##0.0</c:formatCode>
                <c:ptCount val="2"/>
                <c:pt idx="0">
                  <c:v>36.5</c:v>
                </c:pt>
                <c:pt idx="1">
                  <c:v>36.5</c:v>
                </c:pt>
              </c:numCache>
            </c:numRef>
          </c:xVal>
          <c:yVal>
            <c:numRef>
              <c:f>'Aircraft Schedule Info'!$D$48:$D$49</c:f>
              <c:numCache>
                <c:formatCode>#,##0.0</c:formatCode>
                <c:ptCount val="2"/>
                <c:pt idx="0">
                  <c:v>1670</c:v>
                </c:pt>
                <c:pt idx="1">
                  <c:v>1000</c:v>
                </c:pt>
              </c:numCache>
            </c:numRef>
          </c:yVal>
          <c:smooth val="0"/>
          <c:extLst>
            <c:ext xmlns:c16="http://schemas.microsoft.com/office/drawing/2014/chart" uri="{C3380CC4-5D6E-409C-BE32-E72D297353CC}">
              <c16:uniqueId val="{00000003-A8D8-47B7-BDC0-22279F155E5C}"/>
            </c:ext>
          </c:extLst>
        </c:ser>
        <c:ser>
          <c:idx val="4"/>
          <c:order val="4"/>
          <c:tx>
            <c:v>A/C Point at T/O</c:v>
          </c:tx>
          <c:marker>
            <c:symbol val="x"/>
            <c:size val="7"/>
            <c:spPr>
              <a:ln w="19050">
                <a:solidFill>
                  <a:srgbClr val="FF0000"/>
                </a:solidFill>
              </a:ln>
            </c:spPr>
          </c:marker>
          <c:trendline>
            <c:trendlineType val="linear"/>
            <c:dispRSqr val="0"/>
            <c:dispEq val="0"/>
          </c:trendline>
          <c:xVal>
            <c:numRef>
              <c:f>'Weight &amp; Balance'!$D$26</c:f>
              <c:numCache>
                <c:formatCode>General</c:formatCode>
                <c:ptCount val="1"/>
                <c:pt idx="0">
                  <c:v>0</c:v>
                </c:pt>
              </c:numCache>
            </c:numRef>
          </c:xVal>
          <c:yVal>
            <c:numRef>
              <c:f>'Weight &amp; Balance'!$C$26</c:f>
              <c:numCache>
                <c:formatCode>General</c:formatCode>
                <c:ptCount val="1"/>
                <c:pt idx="0">
                  <c:v>0</c:v>
                </c:pt>
              </c:numCache>
            </c:numRef>
          </c:yVal>
          <c:smooth val="0"/>
          <c:extLst>
            <c:ext xmlns:c16="http://schemas.microsoft.com/office/drawing/2014/chart" uri="{C3380CC4-5D6E-409C-BE32-E72D297353CC}">
              <c16:uniqueId val="{00000004-A8D8-47B7-BDC0-22279F155E5C}"/>
            </c:ext>
          </c:extLst>
        </c:ser>
        <c:ser>
          <c:idx val="5"/>
          <c:order val="5"/>
          <c:tx>
            <c:v>A/C Landing Totals</c:v>
          </c:tx>
          <c:spPr>
            <a:ln w="19050">
              <a:solidFill>
                <a:srgbClr val="DA8137"/>
              </a:solidFill>
              <a:tailEnd type="stealth"/>
            </a:ln>
          </c:spPr>
          <c:marker>
            <c:symbol val="x"/>
            <c:size val="7"/>
            <c:spPr>
              <a:ln w="19050"/>
            </c:spPr>
          </c:marker>
          <c:xVal>
            <c:numRef>
              <c:f>'Weight &amp; Balance'!$D$27</c:f>
              <c:numCache>
                <c:formatCode>General</c:formatCode>
                <c:ptCount val="1"/>
                <c:pt idx="0">
                  <c:v>0</c:v>
                </c:pt>
              </c:numCache>
            </c:numRef>
          </c:xVal>
          <c:yVal>
            <c:numRef>
              <c:f>'Weight &amp; Balance'!$C$27</c:f>
              <c:numCache>
                <c:formatCode>General</c:formatCode>
                <c:ptCount val="1"/>
                <c:pt idx="0">
                  <c:v>0</c:v>
                </c:pt>
              </c:numCache>
            </c:numRef>
          </c:yVal>
          <c:smooth val="0"/>
          <c:extLst>
            <c:ext xmlns:c16="http://schemas.microsoft.com/office/drawing/2014/chart" uri="{C3380CC4-5D6E-409C-BE32-E72D297353CC}">
              <c16:uniqueId val="{00000005-A8D8-47B7-BDC0-22279F155E5C}"/>
            </c:ext>
          </c:extLst>
        </c:ser>
        <c:ser>
          <c:idx val="6"/>
          <c:order val="6"/>
          <c:tx>
            <c:v>Utility / Normal Category Line</c:v>
          </c:tx>
          <c:spPr>
            <a:ln w="38100">
              <a:prstDash val="dash"/>
            </a:ln>
          </c:spPr>
          <c:xVal>
            <c:numRef>
              <c:f>'Aircraft Schedule Info'!$D$52:$D$53</c:f>
              <c:numCache>
                <c:formatCode>#,##0.0</c:formatCode>
                <c:ptCount val="2"/>
                <c:pt idx="0">
                  <c:v>0</c:v>
                </c:pt>
                <c:pt idx="1">
                  <c:v>0</c:v>
                </c:pt>
              </c:numCache>
            </c:numRef>
          </c:xVal>
          <c:yVal>
            <c:numRef>
              <c:f>'Aircraft Schedule Info'!$D$52:$D$53</c:f>
              <c:numCache>
                <c:formatCode>#,##0.0</c:formatCode>
                <c:ptCount val="2"/>
                <c:pt idx="0">
                  <c:v>0</c:v>
                </c:pt>
                <c:pt idx="1">
                  <c:v>0</c:v>
                </c:pt>
              </c:numCache>
            </c:numRef>
          </c:yVal>
          <c:smooth val="0"/>
          <c:extLst>
            <c:ext xmlns:c16="http://schemas.microsoft.com/office/drawing/2014/chart" uri="{C3380CC4-5D6E-409C-BE32-E72D297353CC}">
              <c16:uniqueId val="{00000006-A8D8-47B7-BDC0-22279F155E5C}"/>
            </c:ext>
          </c:extLst>
        </c:ser>
        <c:dLbls>
          <c:showLegendKey val="0"/>
          <c:showVal val="0"/>
          <c:showCatName val="0"/>
          <c:showSerName val="0"/>
          <c:showPercent val="0"/>
          <c:showBubbleSize val="0"/>
        </c:dLbls>
        <c:axId val="-1479316976"/>
        <c:axId val="-1479316432"/>
      </c:scatterChart>
      <c:valAx>
        <c:axId val="-1479316976"/>
        <c:scaling>
          <c:orientation val="minMax"/>
          <c:max val="37.5"/>
          <c:min val="30"/>
        </c:scaling>
        <c:delete val="0"/>
        <c:axPos val="b"/>
        <c:majorGridlines/>
        <c:minorGridlines/>
        <c:title>
          <c:tx>
            <c:rich>
              <a:bodyPr/>
              <a:lstStyle/>
              <a:p>
                <a:pPr>
                  <a:defRPr/>
                </a:pPr>
                <a:r>
                  <a:rPr lang="en-GB"/>
                  <a:t>Inches</a:t>
                </a:r>
                <a:r>
                  <a:rPr lang="en-GB" baseline="0"/>
                  <a:t> Aft of Datum</a:t>
                </a:r>
                <a:endParaRPr lang="en-GB"/>
              </a:p>
            </c:rich>
          </c:tx>
          <c:overlay val="0"/>
        </c:title>
        <c:numFmt formatCode="#,##0.0" sourceLinked="1"/>
        <c:majorTickMark val="none"/>
        <c:minorTickMark val="none"/>
        <c:tickLblPos val="nextTo"/>
        <c:crossAx val="-1479316432"/>
        <c:crosses val="autoZero"/>
        <c:crossBetween val="midCat"/>
      </c:valAx>
      <c:valAx>
        <c:axId val="-1479316432"/>
        <c:scaling>
          <c:orientation val="minMax"/>
          <c:max val="1700"/>
          <c:min val="1000"/>
        </c:scaling>
        <c:delete val="0"/>
        <c:axPos val="l"/>
        <c:majorGridlines/>
        <c:minorGridlines/>
        <c:title>
          <c:tx>
            <c:rich>
              <a:bodyPr/>
              <a:lstStyle/>
              <a:p>
                <a:pPr>
                  <a:defRPr/>
                </a:pPr>
                <a:r>
                  <a:rPr lang="en-GB"/>
                  <a:t>Weight</a:t>
                </a:r>
                <a:r>
                  <a:rPr lang="en-GB" baseline="0"/>
                  <a:t> lbs</a:t>
                </a:r>
                <a:endParaRPr lang="en-GB"/>
              </a:p>
            </c:rich>
          </c:tx>
          <c:overlay val="0"/>
        </c:title>
        <c:numFmt formatCode="#,##0.0" sourceLinked="1"/>
        <c:majorTickMark val="none"/>
        <c:minorTickMark val="none"/>
        <c:tickLblPos val="nextTo"/>
        <c:crossAx val="-1479316976"/>
        <c:crosses val="autoZero"/>
        <c:crossBetween val="midCat"/>
      </c:valAx>
    </c:plotArea>
    <c:legend>
      <c:legendPos val="r"/>
      <c:legendEntry>
        <c:idx val="0"/>
        <c:delete val="1"/>
      </c:legendEntry>
      <c:legendEntry>
        <c:idx val="1"/>
        <c:delete val="1"/>
      </c:legendEntry>
      <c:legendEntry>
        <c:idx val="2"/>
        <c:delete val="1"/>
      </c:legendEntry>
      <c:legendEntry>
        <c:idx val="3"/>
        <c:delete val="1"/>
      </c:legendEntry>
      <c:legendEntry>
        <c:idx val="7"/>
        <c:delete val="1"/>
      </c:legendEntry>
      <c:legendEntry>
        <c:idx val="8"/>
        <c:delete val="1"/>
      </c:legendEntry>
      <c:legendEntry>
        <c:idx val="9"/>
        <c:delete val="1"/>
      </c:legendEntry>
      <c:legendEntry>
        <c:idx val="10"/>
        <c:delete val="1"/>
      </c:legendEntry>
      <c:layout>
        <c:manualLayout>
          <c:xMode val="edge"/>
          <c:yMode val="edge"/>
          <c:x val="0.78563847695361622"/>
          <c:y val="0.42179413230791141"/>
          <c:w val="0.18362050330026977"/>
          <c:h val="0.12265167699209571"/>
        </c:manualLayout>
      </c:layout>
      <c:overlay val="0"/>
    </c:legend>
    <c:plotVisOnly val="1"/>
    <c:dispBlanksAs val="gap"/>
    <c:showDLblsOverMax val="0"/>
  </c:chart>
  <c:printSettings>
    <c:headerFooter/>
    <c:pageMargins b="0.75000000000000389" l="0.70000000000000062" r="0.70000000000000062" t="0.75000000000000389" header="0.30000000000000032" footer="0.30000000000000032"/>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C172M Weight</a:t>
            </a:r>
            <a:r>
              <a:rPr lang="en-GB" baseline="0"/>
              <a:t> and Balance Envelope</a:t>
            </a:r>
            <a:endParaRPr lang="en-GB"/>
          </a:p>
        </c:rich>
      </c:tx>
      <c:overlay val="0"/>
    </c:title>
    <c:autoTitleDeleted val="0"/>
    <c:plotArea>
      <c:layout/>
      <c:scatterChart>
        <c:scatterStyle val="lineMarker"/>
        <c:varyColors val="0"/>
        <c:ser>
          <c:idx val="0"/>
          <c:order val="0"/>
          <c:tx>
            <c:v>Boundary 1</c:v>
          </c:tx>
          <c:spPr>
            <a:ln w="19050">
              <a:solidFill>
                <a:schemeClr val="tx1"/>
              </a:solidFill>
            </a:ln>
          </c:spPr>
          <c:marker>
            <c:symbol val="none"/>
          </c:marker>
          <c:trendline>
            <c:trendlineType val="linear"/>
            <c:dispRSqr val="0"/>
            <c:dispEq val="0"/>
          </c:trendline>
          <c:trendline>
            <c:trendlineType val="linear"/>
            <c:dispRSqr val="0"/>
            <c:dispEq val="0"/>
          </c:trendline>
          <c:trendline>
            <c:trendlineType val="linear"/>
            <c:dispRSqr val="0"/>
            <c:dispEq val="0"/>
          </c:trendline>
          <c:xVal>
            <c:numRef>
              <c:f>'Aircraft Schedule Info'!$E$42:$E$43</c:f>
              <c:numCache>
                <c:formatCode>#,##0.0</c:formatCode>
                <c:ptCount val="2"/>
                <c:pt idx="0">
                  <c:v>35</c:v>
                </c:pt>
                <c:pt idx="1">
                  <c:v>35</c:v>
                </c:pt>
              </c:numCache>
            </c:numRef>
          </c:xVal>
          <c:yVal>
            <c:numRef>
              <c:f>'Aircraft Schedule Info'!$F$42:$F$43</c:f>
              <c:numCache>
                <c:formatCode>#,##0.0</c:formatCode>
                <c:ptCount val="2"/>
                <c:pt idx="0">
                  <c:v>1400</c:v>
                </c:pt>
                <c:pt idx="1">
                  <c:v>1950</c:v>
                </c:pt>
              </c:numCache>
            </c:numRef>
          </c:yVal>
          <c:smooth val="0"/>
          <c:extLst>
            <c:ext xmlns:c16="http://schemas.microsoft.com/office/drawing/2014/chart" uri="{C3380CC4-5D6E-409C-BE32-E72D297353CC}">
              <c16:uniqueId val="{00000000-E3B8-4506-9F9E-1ABA2F7865C4}"/>
            </c:ext>
          </c:extLst>
        </c:ser>
        <c:ser>
          <c:idx val="1"/>
          <c:order val="1"/>
          <c:tx>
            <c:v>Boundary 2</c:v>
          </c:tx>
          <c:spPr>
            <a:ln w="19050">
              <a:solidFill>
                <a:prstClr val="black"/>
              </a:solidFill>
            </a:ln>
          </c:spPr>
          <c:marker>
            <c:symbol val="none"/>
          </c:marker>
          <c:xVal>
            <c:numRef>
              <c:f>'Aircraft Schedule Info'!$E$44:$E$45</c:f>
              <c:numCache>
                <c:formatCode>#,##0.0</c:formatCode>
                <c:ptCount val="2"/>
                <c:pt idx="0">
                  <c:v>35</c:v>
                </c:pt>
                <c:pt idx="1">
                  <c:v>38.5</c:v>
                </c:pt>
              </c:numCache>
            </c:numRef>
          </c:xVal>
          <c:yVal>
            <c:numRef>
              <c:f>'Aircraft Schedule Info'!$F$44:$F$45</c:f>
              <c:numCache>
                <c:formatCode>#,##0.0</c:formatCode>
                <c:ptCount val="2"/>
                <c:pt idx="0">
                  <c:v>1950</c:v>
                </c:pt>
                <c:pt idx="1">
                  <c:v>2300</c:v>
                </c:pt>
              </c:numCache>
            </c:numRef>
          </c:yVal>
          <c:smooth val="0"/>
          <c:extLst>
            <c:ext xmlns:c16="http://schemas.microsoft.com/office/drawing/2014/chart" uri="{C3380CC4-5D6E-409C-BE32-E72D297353CC}">
              <c16:uniqueId val="{00000001-E3B8-4506-9F9E-1ABA2F7865C4}"/>
            </c:ext>
          </c:extLst>
        </c:ser>
        <c:ser>
          <c:idx val="2"/>
          <c:order val="2"/>
          <c:tx>
            <c:v>Boundary 3</c:v>
          </c:tx>
          <c:spPr>
            <a:ln w="19050">
              <a:solidFill>
                <a:schemeClr val="tx1"/>
              </a:solidFill>
            </a:ln>
          </c:spPr>
          <c:marker>
            <c:symbol val="none"/>
          </c:marker>
          <c:xVal>
            <c:numRef>
              <c:f>'Aircraft Schedule Info'!$E$46:$E$47</c:f>
              <c:numCache>
                <c:formatCode>#,##0.0</c:formatCode>
                <c:ptCount val="2"/>
                <c:pt idx="0">
                  <c:v>38.5</c:v>
                </c:pt>
                <c:pt idx="1">
                  <c:v>47.3</c:v>
                </c:pt>
              </c:numCache>
            </c:numRef>
          </c:xVal>
          <c:yVal>
            <c:numRef>
              <c:f>'Aircraft Schedule Info'!$F$46:$F$47</c:f>
              <c:numCache>
                <c:formatCode>#,##0.0</c:formatCode>
                <c:ptCount val="2"/>
                <c:pt idx="0">
                  <c:v>2300</c:v>
                </c:pt>
                <c:pt idx="1">
                  <c:v>2300</c:v>
                </c:pt>
              </c:numCache>
            </c:numRef>
          </c:yVal>
          <c:smooth val="0"/>
          <c:extLst>
            <c:ext xmlns:c16="http://schemas.microsoft.com/office/drawing/2014/chart" uri="{C3380CC4-5D6E-409C-BE32-E72D297353CC}">
              <c16:uniqueId val="{00000002-E3B8-4506-9F9E-1ABA2F7865C4}"/>
            </c:ext>
          </c:extLst>
        </c:ser>
        <c:ser>
          <c:idx val="3"/>
          <c:order val="3"/>
          <c:tx>
            <c:v>Boundary 4</c:v>
          </c:tx>
          <c:spPr>
            <a:ln w="19050">
              <a:solidFill>
                <a:schemeClr val="tx1"/>
              </a:solidFill>
            </a:ln>
          </c:spPr>
          <c:marker>
            <c:symbol val="none"/>
          </c:marker>
          <c:xVal>
            <c:numRef>
              <c:f>'Aircraft Schedule Info'!$E$48:$E$49</c:f>
              <c:numCache>
                <c:formatCode>#,##0.0</c:formatCode>
                <c:ptCount val="2"/>
                <c:pt idx="0">
                  <c:v>47.3</c:v>
                </c:pt>
                <c:pt idx="1">
                  <c:v>47.3</c:v>
                </c:pt>
              </c:numCache>
            </c:numRef>
          </c:xVal>
          <c:yVal>
            <c:numRef>
              <c:f>'Aircraft Schedule Info'!$F$48:$F$49</c:f>
              <c:numCache>
                <c:formatCode>#,##0.0</c:formatCode>
                <c:ptCount val="2"/>
                <c:pt idx="0">
                  <c:v>2300</c:v>
                </c:pt>
                <c:pt idx="1">
                  <c:v>1400</c:v>
                </c:pt>
              </c:numCache>
            </c:numRef>
          </c:yVal>
          <c:smooth val="0"/>
          <c:extLst>
            <c:ext xmlns:c16="http://schemas.microsoft.com/office/drawing/2014/chart" uri="{C3380CC4-5D6E-409C-BE32-E72D297353CC}">
              <c16:uniqueId val="{00000003-E3B8-4506-9F9E-1ABA2F7865C4}"/>
            </c:ext>
          </c:extLst>
        </c:ser>
        <c:ser>
          <c:idx val="4"/>
          <c:order val="4"/>
          <c:tx>
            <c:v>A/C Point at T/O</c:v>
          </c:tx>
          <c:marker>
            <c:symbol val="x"/>
            <c:size val="7"/>
            <c:spPr>
              <a:ln w="19050">
                <a:solidFill>
                  <a:srgbClr val="FF0000"/>
                </a:solidFill>
              </a:ln>
            </c:spPr>
          </c:marker>
          <c:trendline>
            <c:trendlineType val="linear"/>
            <c:dispRSqr val="0"/>
            <c:dispEq val="0"/>
          </c:trendline>
          <c:xVal>
            <c:numRef>
              <c:f>'Weight &amp; Balance'!$D$28</c:f>
              <c:numCache>
                <c:formatCode>General</c:formatCode>
                <c:ptCount val="1"/>
                <c:pt idx="0">
                  <c:v>0</c:v>
                </c:pt>
              </c:numCache>
            </c:numRef>
          </c:xVal>
          <c:yVal>
            <c:numRef>
              <c:f>'Weight &amp; Balance'!$C$28</c:f>
              <c:numCache>
                <c:formatCode>General</c:formatCode>
                <c:ptCount val="1"/>
                <c:pt idx="0">
                  <c:v>0</c:v>
                </c:pt>
              </c:numCache>
            </c:numRef>
          </c:yVal>
          <c:smooth val="0"/>
          <c:extLst>
            <c:ext xmlns:c16="http://schemas.microsoft.com/office/drawing/2014/chart" uri="{C3380CC4-5D6E-409C-BE32-E72D297353CC}">
              <c16:uniqueId val="{00000004-E3B8-4506-9F9E-1ABA2F7865C4}"/>
            </c:ext>
          </c:extLst>
        </c:ser>
        <c:ser>
          <c:idx val="5"/>
          <c:order val="5"/>
          <c:tx>
            <c:v>A/C Landing Totals</c:v>
          </c:tx>
          <c:spPr>
            <a:ln w="19050">
              <a:tailEnd type="stealth"/>
            </a:ln>
          </c:spPr>
          <c:marker>
            <c:symbol val="x"/>
            <c:size val="7"/>
            <c:spPr>
              <a:ln w="19050"/>
            </c:spPr>
          </c:marker>
          <c:xVal>
            <c:numRef>
              <c:f>'Weight &amp; Balance'!$D$29</c:f>
              <c:numCache>
                <c:formatCode>General</c:formatCode>
                <c:ptCount val="1"/>
                <c:pt idx="0">
                  <c:v>0</c:v>
                </c:pt>
              </c:numCache>
            </c:numRef>
          </c:xVal>
          <c:yVal>
            <c:numRef>
              <c:f>'Weight &amp; Balance'!$C$29</c:f>
              <c:numCache>
                <c:formatCode>General</c:formatCode>
                <c:ptCount val="1"/>
                <c:pt idx="0">
                  <c:v>0</c:v>
                </c:pt>
              </c:numCache>
            </c:numRef>
          </c:yVal>
          <c:smooth val="0"/>
          <c:extLst>
            <c:ext xmlns:c16="http://schemas.microsoft.com/office/drawing/2014/chart" uri="{C3380CC4-5D6E-409C-BE32-E72D297353CC}">
              <c16:uniqueId val="{00000005-E3B8-4506-9F9E-1ABA2F7865C4}"/>
            </c:ext>
          </c:extLst>
        </c:ser>
        <c:ser>
          <c:idx val="6"/>
          <c:order val="6"/>
          <c:tx>
            <c:v>Utility / Normal Category Line 1</c:v>
          </c:tx>
          <c:spPr>
            <a:ln w="38100">
              <a:prstDash val="dash"/>
            </a:ln>
          </c:spPr>
          <c:marker>
            <c:symbol val="none"/>
          </c:marker>
          <c:xVal>
            <c:numRef>
              <c:f>'Aircraft Schedule Info'!$E$52:$E$53</c:f>
              <c:numCache>
                <c:formatCode>#,##0.0</c:formatCode>
                <c:ptCount val="2"/>
                <c:pt idx="0">
                  <c:v>35.5</c:v>
                </c:pt>
                <c:pt idx="1">
                  <c:v>40.5</c:v>
                </c:pt>
              </c:numCache>
            </c:numRef>
          </c:xVal>
          <c:yVal>
            <c:numRef>
              <c:f>'Aircraft Schedule Info'!$F$52:$F$53</c:f>
              <c:numCache>
                <c:formatCode>#,##0.0</c:formatCode>
                <c:ptCount val="2"/>
                <c:pt idx="0">
                  <c:v>2000</c:v>
                </c:pt>
                <c:pt idx="1">
                  <c:v>2000</c:v>
                </c:pt>
              </c:numCache>
            </c:numRef>
          </c:yVal>
          <c:smooth val="0"/>
          <c:extLst>
            <c:ext xmlns:c16="http://schemas.microsoft.com/office/drawing/2014/chart" uri="{C3380CC4-5D6E-409C-BE32-E72D297353CC}">
              <c16:uniqueId val="{00000006-E3B8-4506-9F9E-1ABA2F7865C4}"/>
            </c:ext>
          </c:extLst>
        </c:ser>
        <c:ser>
          <c:idx val="7"/>
          <c:order val="7"/>
          <c:tx>
            <c:v>Utility Category Line 2</c:v>
          </c:tx>
          <c:spPr>
            <a:ln>
              <a:solidFill>
                <a:srgbClr val="8EA5CE"/>
              </a:solidFill>
              <a:prstDash val="dash"/>
            </a:ln>
          </c:spPr>
          <c:marker>
            <c:symbol val="none"/>
          </c:marker>
          <c:xVal>
            <c:numRef>
              <c:f>'Aircraft Schedule Info'!$E$54:$E$55</c:f>
              <c:numCache>
                <c:formatCode>#,##0.0</c:formatCode>
                <c:ptCount val="2"/>
                <c:pt idx="0">
                  <c:v>40.5</c:v>
                </c:pt>
                <c:pt idx="1">
                  <c:v>40.5</c:v>
                </c:pt>
              </c:numCache>
            </c:numRef>
          </c:xVal>
          <c:yVal>
            <c:numRef>
              <c:f>'Aircraft Schedule Info'!$F$54:$F$55</c:f>
              <c:numCache>
                <c:formatCode>#,##0.0</c:formatCode>
                <c:ptCount val="2"/>
                <c:pt idx="0">
                  <c:v>2000</c:v>
                </c:pt>
                <c:pt idx="1">
                  <c:v>1400</c:v>
                </c:pt>
              </c:numCache>
            </c:numRef>
          </c:yVal>
          <c:smooth val="0"/>
          <c:extLst>
            <c:ext xmlns:c16="http://schemas.microsoft.com/office/drawing/2014/chart" uri="{C3380CC4-5D6E-409C-BE32-E72D297353CC}">
              <c16:uniqueId val="{00000007-E3B8-4506-9F9E-1ABA2F7865C4}"/>
            </c:ext>
          </c:extLst>
        </c:ser>
        <c:dLbls>
          <c:showLegendKey val="0"/>
          <c:showVal val="0"/>
          <c:showCatName val="0"/>
          <c:showSerName val="0"/>
          <c:showPercent val="0"/>
          <c:showBubbleSize val="0"/>
        </c:dLbls>
        <c:axId val="-1479325680"/>
        <c:axId val="-1506561728"/>
      </c:scatterChart>
      <c:valAx>
        <c:axId val="-1479325680"/>
        <c:scaling>
          <c:orientation val="minMax"/>
          <c:max val="48"/>
          <c:min val="34"/>
        </c:scaling>
        <c:delete val="0"/>
        <c:axPos val="b"/>
        <c:majorGridlines/>
        <c:minorGridlines/>
        <c:title>
          <c:tx>
            <c:rich>
              <a:bodyPr/>
              <a:lstStyle/>
              <a:p>
                <a:pPr>
                  <a:defRPr/>
                </a:pPr>
                <a:r>
                  <a:rPr lang="en-GB"/>
                  <a:t>Inches</a:t>
                </a:r>
                <a:r>
                  <a:rPr lang="en-GB" baseline="0"/>
                  <a:t> Aft of Datum</a:t>
                </a:r>
                <a:endParaRPr lang="en-GB"/>
              </a:p>
            </c:rich>
          </c:tx>
          <c:overlay val="0"/>
        </c:title>
        <c:numFmt formatCode="#,##0.0" sourceLinked="1"/>
        <c:majorTickMark val="none"/>
        <c:minorTickMark val="none"/>
        <c:tickLblPos val="nextTo"/>
        <c:crossAx val="-1506561728"/>
        <c:crosses val="autoZero"/>
        <c:crossBetween val="midCat"/>
      </c:valAx>
      <c:valAx>
        <c:axId val="-1506561728"/>
        <c:scaling>
          <c:orientation val="minMax"/>
          <c:max val="2400"/>
          <c:min val="1400"/>
        </c:scaling>
        <c:delete val="0"/>
        <c:axPos val="l"/>
        <c:majorGridlines/>
        <c:minorGridlines/>
        <c:title>
          <c:tx>
            <c:rich>
              <a:bodyPr/>
              <a:lstStyle/>
              <a:p>
                <a:pPr>
                  <a:defRPr/>
                </a:pPr>
                <a:r>
                  <a:rPr lang="en-GB"/>
                  <a:t>Weight</a:t>
                </a:r>
                <a:r>
                  <a:rPr lang="en-GB" baseline="0"/>
                  <a:t> lbs</a:t>
                </a:r>
                <a:endParaRPr lang="en-GB"/>
              </a:p>
            </c:rich>
          </c:tx>
          <c:overlay val="0"/>
        </c:title>
        <c:numFmt formatCode="#,##0.0" sourceLinked="1"/>
        <c:majorTickMark val="none"/>
        <c:minorTickMark val="none"/>
        <c:tickLblPos val="nextTo"/>
        <c:crossAx val="-1479325680"/>
        <c:crosses val="autoZero"/>
        <c:crossBetween val="midCat"/>
      </c:valAx>
    </c:plotArea>
    <c:legend>
      <c:legendPos val="r"/>
      <c:legendEntry>
        <c:idx val="0"/>
        <c:delete val="1"/>
      </c:legendEntry>
      <c:legendEntry>
        <c:idx val="1"/>
        <c:delete val="1"/>
      </c:legendEntry>
      <c:legendEntry>
        <c:idx val="2"/>
        <c:delete val="1"/>
      </c:legendEntry>
      <c:legendEntry>
        <c:idx val="3"/>
        <c:delete val="1"/>
      </c:legendEntry>
      <c:legendEntry>
        <c:idx val="8"/>
        <c:delete val="1"/>
      </c:legendEntry>
      <c:legendEntry>
        <c:idx val="9"/>
        <c:delete val="1"/>
      </c:legendEntry>
      <c:legendEntry>
        <c:idx val="10"/>
        <c:delete val="1"/>
      </c:legendEntry>
      <c:legendEntry>
        <c:idx val="11"/>
        <c:delete val="1"/>
      </c:legendEntry>
      <c:layout>
        <c:manualLayout>
          <c:xMode val="edge"/>
          <c:yMode val="edge"/>
          <c:x val="0.78613557527293876"/>
          <c:y val="0.42179413230791141"/>
          <c:w val="0.18734600357834047"/>
          <c:h val="0.16353556932279428"/>
        </c:manualLayout>
      </c:layout>
      <c:overlay val="0"/>
    </c:legend>
    <c:plotVisOnly val="1"/>
    <c:dispBlanksAs val="gap"/>
    <c:showDLblsOverMax val="0"/>
  </c:chart>
  <c:printSettings>
    <c:headerFooter/>
    <c:pageMargins b="0.75000000000000411" l="0.70000000000000062" r="0.70000000000000062" t="0.75000000000000411" header="0.30000000000000032" footer="0.30000000000000032"/>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PA28 Weight</a:t>
            </a:r>
            <a:r>
              <a:rPr lang="en-GB" baseline="0"/>
              <a:t> and Balance Envelope</a:t>
            </a:r>
            <a:endParaRPr lang="en-GB"/>
          </a:p>
        </c:rich>
      </c:tx>
      <c:overlay val="0"/>
    </c:title>
    <c:autoTitleDeleted val="0"/>
    <c:plotArea>
      <c:layout/>
      <c:scatterChart>
        <c:scatterStyle val="lineMarker"/>
        <c:varyColors val="0"/>
        <c:ser>
          <c:idx val="0"/>
          <c:order val="0"/>
          <c:tx>
            <c:v>Boundary 1</c:v>
          </c:tx>
          <c:spPr>
            <a:ln w="19050">
              <a:solidFill>
                <a:schemeClr val="tx1"/>
              </a:solidFill>
            </a:ln>
          </c:spPr>
          <c:marker>
            <c:symbol val="none"/>
          </c:marker>
          <c:trendline>
            <c:trendlineType val="linear"/>
            <c:dispRSqr val="0"/>
            <c:dispEq val="0"/>
          </c:trendline>
          <c:trendline>
            <c:trendlineType val="linear"/>
            <c:dispRSqr val="0"/>
            <c:dispEq val="0"/>
          </c:trendline>
          <c:trendline>
            <c:trendlineType val="linear"/>
            <c:dispRSqr val="0"/>
            <c:dispEq val="0"/>
          </c:trendline>
          <c:xVal>
            <c:numRef>
              <c:f>'Aircraft Schedule Info'!$G$42:$G$43</c:f>
              <c:numCache>
                <c:formatCode>#,##0.0</c:formatCode>
                <c:ptCount val="2"/>
                <c:pt idx="0">
                  <c:v>83</c:v>
                </c:pt>
                <c:pt idx="1">
                  <c:v>83</c:v>
                </c:pt>
              </c:numCache>
            </c:numRef>
          </c:xVal>
          <c:yVal>
            <c:numRef>
              <c:f>'Aircraft Schedule Info'!$H$42:$H$43</c:f>
              <c:numCache>
                <c:formatCode>#,##0.0</c:formatCode>
                <c:ptCount val="2"/>
                <c:pt idx="0">
                  <c:v>1200</c:v>
                </c:pt>
                <c:pt idx="1">
                  <c:v>1950</c:v>
                </c:pt>
              </c:numCache>
            </c:numRef>
          </c:yVal>
          <c:smooth val="0"/>
          <c:extLst>
            <c:ext xmlns:c16="http://schemas.microsoft.com/office/drawing/2014/chart" uri="{C3380CC4-5D6E-409C-BE32-E72D297353CC}">
              <c16:uniqueId val="{00000000-9935-43DA-8F1E-31208A5C1A8E}"/>
            </c:ext>
          </c:extLst>
        </c:ser>
        <c:ser>
          <c:idx val="1"/>
          <c:order val="1"/>
          <c:tx>
            <c:v>Boundary 2</c:v>
          </c:tx>
          <c:spPr>
            <a:ln w="19050">
              <a:solidFill>
                <a:schemeClr val="tx1"/>
              </a:solidFill>
            </a:ln>
          </c:spPr>
          <c:marker>
            <c:symbol val="none"/>
          </c:marker>
          <c:xVal>
            <c:numRef>
              <c:f>'Aircraft Schedule Info'!$G$44:$G$45</c:f>
              <c:numCache>
                <c:formatCode>#,##0.0</c:formatCode>
                <c:ptCount val="2"/>
                <c:pt idx="0">
                  <c:v>83</c:v>
                </c:pt>
                <c:pt idx="1">
                  <c:v>87</c:v>
                </c:pt>
              </c:numCache>
            </c:numRef>
          </c:xVal>
          <c:yVal>
            <c:numRef>
              <c:f>'Aircraft Schedule Info'!$H$44:$H$45</c:f>
              <c:numCache>
                <c:formatCode>#,##0.0</c:formatCode>
                <c:ptCount val="2"/>
                <c:pt idx="0">
                  <c:v>1950</c:v>
                </c:pt>
                <c:pt idx="1">
                  <c:v>2325</c:v>
                </c:pt>
              </c:numCache>
            </c:numRef>
          </c:yVal>
          <c:smooth val="0"/>
          <c:extLst>
            <c:ext xmlns:c16="http://schemas.microsoft.com/office/drawing/2014/chart" uri="{C3380CC4-5D6E-409C-BE32-E72D297353CC}">
              <c16:uniqueId val="{00000001-9935-43DA-8F1E-31208A5C1A8E}"/>
            </c:ext>
          </c:extLst>
        </c:ser>
        <c:ser>
          <c:idx val="2"/>
          <c:order val="2"/>
          <c:tx>
            <c:v>Boundary 3</c:v>
          </c:tx>
          <c:spPr>
            <a:ln w="19050">
              <a:solidFill>
                <a:schemeClr val="tx1"/>
              </a:solidFill>
            </a:ln>
          </c:spPr>
          <c:marker>
            <c:symbol val="none"/>
          </c:marker>
          <c:xVal>
            <c:numRef>
              <c:f>'Aircraft Schedule Info'!$G$46:$G$47</c:f>
              <c:numCache>
                <c:formatCode>#,##0.0</c:formatCode>
                <c:ptCount val="2"/>
                <c:pt idx="0">
                  <c:v>87</c:v>
                </c:pt>
                <c:pt idx="1">
                  <c:v>93</c:v>
                </c:pt>
              </c:numCache>
            </c:numRef>
          </c:xVal>
          <c:yVal>
            <c:numRef>
              <c:f>'Aircraft Schedule Info'!$H$46:$H$47</c:f>
              <c:numCache>
                <c:formatCode>#,##0.0</c:formatCode>
                <c:ptCount val="2"/>
                <c:pt idx="0">
                  <c:v>2325</c:v>
                </c:pt>
                <c:pt idx="1">
                  <c:v>2325</c:v>
                </c:pt>
              </c:numCache>
            </c:numRef>
          </c:yVal>
          <c:smooth val="0"/>
          <c:extLst>
            <c:ext xmlns:c16="http://schemas.microsoft.com/office/drawing/2014/chart" uri="{C3380CC4-5D6E-409C-BE32-E72D297353CC}">
              <c16:uniqueId val="{00000002-9935-43DA-8F1E-31208A5C1A8E}"/>
            </c:ext>
          </c:extLst>
        </c:ser>
        <c:ser>
          <c:idx val="3"/>
          <c:order val="3"/>
          <c:tx>
            <c:v>Boundary 4</c:v>
          </c:tx>
          <c:spPr>
            <a:ln w="19050">
              <a:solidFill>
                <a:schemeClr val="tx1"/>
              </a:solidFill>
            </a:ln>
          </c:spPr>
          <c:marker>
            <c:symbol val="none"/>
          </c:marker>
          <c:xVal>
            <c:numRef>
              <c:f>'Aircraft Schedule Info'!$G$48:$G$49</c:f>
              <c:numCache>
                <c:formatCode>#,##0.0</c:formatCode>
                <c:ptCount val="2"/>
                <c:pt idx="0">
                  <c:v>93</c:v>
                </c:pt>
                <c:pt idx="1">
                  <c:v>93</c:v>
                </c:pt>
              </c:numCache>
            </c:numRef>
          </c:xVal>
          <c:yVal>
            <c:numRef>
              <c:f>'Aircraft Schedule Info'!$H$48:$H$49</c:f>
              <c:numCache>
                <c:formatCode>#,##0.0</c:formatCode>
                <c:ptCount val="2"/>
                <c:pt idx="0">
                  <c:v>2325</c:v>
                </c:pt>
                <c:pt idx="1">
                  <c:v>1200</c:v>
                </c:pt>
              </c:numCache>
            </c:numRef>
          </c:yVal>
          <c:smooth val="0"/>
          <c:extLst>
            <c:ext xmlns:c16="http://schemas.microsoft.com/office/drawing/2014/chart" uri="{C3380CC4-5D6E-409C-BE32-E72D297353CC}">
              <c16:uniqueId val="{00000003-9935-43DA-8F1E-31208A5C1A8E}"/>
            </c:ext>
          </c:extLst>
        </c:ser>
        <c:ser>
          <c:idx val="4"/>
          <c:order val="4"/>
          <c:tx>
            <c:v>A/C Point at T/O</c:v>
          </c:tx>
          <c:marker>
            <c:symbol val="x"/>
            <c:size val="7"/>
            <c:spPr>
              <a:ln w="19050">
                <a:solidFill>
                  <a:srgbClr val="FF0000"/>
                </a:solidFill>
              </a:ln>
            </c:spPr>
          </c:marker>
          <c:trendline>
            <c:trendlineType val="linear"/>
            <c:dispRSqr val="0"/>
            <c:dispEq val="0"/>
          </c:trendline>
          <c:xVal>
            <c:numRef>
              <c:f>'Weight &amp; Balance'!$D$30</c:f>
              <c:numCache>
                <c:formatCode>General</c:formatCode>
                <c:ptCount val="1"/>
                <c:pt idx="0">
                  <c:v>0</c:v>
                </c:pt>
              </c:numCache>
            </c:numRef>
          </c:xVal>
          <c:yVal>
            <c:numRef>
              <c:f>'Weight &amp; Balance'!$C$30</c:f>
              <c:numCache>
                <c:formatCode>General</c:formatCode>
                <c:ptCount val="1"/>
                <c:pt idx="0">
                  <c:v>0</c:v>
                </c:pt>
              </c:numCache>
            </c:numRef>
          </c:yVal>
          <c:smooth val="0"/>
          <c:extLst>
            <c:ext xmlns:c16="http://schemas.microsoft.com/office/drawing/2014/chart" uri="{C3380CC4-5D6E-409C-BE32-E72D297353CC}">
              <c16:uniqueId val="{00000004-9935-43DA-8F1E-31208A5C1A8E}"/>
            </c:ext>
          </c:extLst>
        </c:ser>
        <c:ser>
          <c:idx val="5"/>
          <c:order val="5"/>
          <c:tx>
            <c:v>A/C Landing Totals</c:v>
          </c:tx>
          <c:spPr>
            <a:ln w="28575">
              <a:tailEnd type="stealth"/>
            </a:ln>
          </c:spPr>
          <c:marker>
            <c:symbol val="x"/>
            <c:size val="7"/>
            <c:spPr>
              <a:ln w="19050"/>
            </c:spPr>
          </c:marker>
          <c:xVal>
            <c:numRef>
              <c:f>'Weight &amp; Balance'!$D$31</c:f>
              <c:numCache>
                <c:formatCode>General</c:formatCode>
                <c:ptCount val="1"/>
                <c:pt idx="0">
                  <c:v>0</c:v>
                </c:pt>
              </c:numCache>
            </c:numRef>
          </c:xVal>
          <c:yVal>
            <c:numRef>
              <c:f>'Weight &amp; Balance'!$C$31</c:f>
              <c:numCache>
                <c:formatCode>General</c:formatCode>
                <c:ptCount val="1"/>
                <c:pt idx="0">
                  <c:v>0</c:v>
                </c:pt>
              </c:numCache>
            </c:numRef>
          </c:yVal>
          <c:smooth val="0"/>
          <c:extLst>
            <c:ext xmlns:c16="http://schemas.microsoft.com/office/drawing/2014/chart" uri="{C3380CC4-5D6E-409C-BE32-E72D297353CC}">
              <c16:uniqueId val="{00000005-9935-43DA-8F1E-31208A5C1A8E}"/>
            </c:ext>
          </c:extLst>
        </c:ser>
        <c:ser>
          <c:idx val="6"/>
          <c:order val="6"/>
          <c:tx>
            <c:v>Utility / Normal Category Line</c:v>
          </c:tx>
          <c:spPr>
            <a:ln w="38100">
              <a:prstDash val="dash"/>
            </a:ln>
          </c:spPr>
          <c:marker>
            <c:symbol val="none"/>
          </c:marker>
          <c:xVal>
            <c:numRef>
              <c:f>'Aircraft Schedule Info'!$G$52:$G$53</c:f>
              <c:numCache>
                <c:formatCode>#,##0.0</c:formatCode>
                <c:ptCount val="2"/>
                <c:pt idx="0">
                  <c:v>83.8</c:v>
                </c:pt>
                <c:pt idx="1">
                  <c:v>93</c:v>
                </c:pt>
              </c:numCache>
            </c:numRef>
          </c:xVal>
          <c:yVal>
            <c:numRef>
              <c:f>'Aircraft Schedule Info'!$H$52:$H$53</c:f>
              <c:numCache>
                <c:formatCode>#,##0.0</c:formatCode>
                <c:ptCount val="2"/>
                <c:pt idx="0">
                  <c:v>2000</c:v>
                </c:pt>
                <c:pt idx="1">
                  <c:v>2000</c:v>
                </c:pt>
              </c:numCache>
            </c:numRef>
          </c:yVal>
          <c:smooth val="0"/>
          <c:extLst>
            <c:ext xmlns:c16="http://schemas.microsoft.com/office/drawing/2014/chart" uri="{C3380CC4-5D6E-409C-BE32-E72D297353CC}">
              <c16:uniqueId val="{00000006-9935-43DA-8F1E-31208A5C1A8E}"/>
            </c:ext>
          </c:extLst>
        </c:ser>
        <c:dLbls>
          <c:showLegendKey val="0"/>
          <c:showVal val="0"/>
          <c:showCatName val="0"/>
          <c:showSerName val="0"/>
          <c:showPercent val="0"/>
          <c:showBubbleSize val="0"/>
        </c:dLbls>
        <c:axId val="-1506566080"/>
        <c:axId val="-1506557376"/>
      </c:scatterChart>
      <c:valAx>
        <c:axId val="-1506566080"/>
        <c:scaling>
          <c:orientation val="minMax"/>
          <c:max val="95"/>
          <c:min val="81"/>
        </c:scaling>
        <c:delete val="0"/>
        <c:axPos val="b"/>
        <c:majorGridlines/>
        <c:minorGridlines/>
        <c:title>
          <c:tx>
            <c:rich>
              <a:bodyPr/>
              <a:lstStyle/>
              <a:p>
                <a:pPr>
                  <a:defRPr/>
                </a:pPr>
                <a:r>
                  <a:rPr lang="en-GB"/>
                  <a:t>Inches</a:t>
                </a:r>
                <a:r>
                  <a:rPr lang="en-GB" baseline="0"/>
                  <a:t> Aft of Datum</a:t>
                </a:r>
                <a:endParaRPr lang="en-GB"/>
              </a:p>
            </c:rich>
          </c:tx>
          <c:overlay val="0"/>
        </c:title>
        <c:numFmt formatCode="#,##0.0" sourceLinked="1"/>
        <c:majorTickMark val="none"/>
        <c:minorTickMark val="none"/>
        <c:tickLblPos val="nextTo"/>
        <c:crossAx val="-1506557376"/>
        <c:crosses val="autoZero"/>
        <c:crossBetween val="midCat"/>
      </c:valAx>
      <c:valAx>
        <c:axId val="-1506557376"/>
        <c:scaling>
          <c:orientation val="minMax"/>
          <c:max val="2600"/>
          <c:min val="1200"/>
        </c:scaling>
        <c:delete val="0"/>
        <c:axPos val="l"/>
        <c:majorGridlines/>
        <c:minorGridlines/>
        <c:title>
          <c:tx>
            <c:rich>
              <a:bodyPr/>
              <a:lstStyle/>
              <a:p>
                <a:pPr>
                  <a:defRPr/>
                </a:pPr>
                <a:r>
                  <a:rPr lang="en-GB"/>
                  <a:t>Weight</a:t>
                </a:r>
                <a:r>
                  <a:rPr lang="en-GB" baseline="0"/>
                  <a:t> lbs</a:t>
                </a:r>
                <a:endParaRPr lang="en-GB"/>
              </a:p>
            </c:rich>
          </c:tx>
          <c:overlay val="0"/>
        </c:title>
        <c:numFmt formatCode="#,##0.0" sourceLinked="1"/>
        <c:majorTickMark val="none"/>
        <c:minorTickMark val="none"/>
        <c:tickLblPos val="nextTo"/>
        <c:crossAx val="-1506566080"/>
        <c:crosses val="autoZero"/>
        <c:crossBetween val="midCat"/>
      </c:valAx>
    </c:plotArea>
    <c:legend>
      <c:legendPos val="r"/>
      <c:legendEntry>
        <c:idx val="0"/>
        <c:delete val="1"/>
      </c:legendEntry>
      <c:legendEntry>
        <c:idx val="1"/>
        <c:delete val="1"/>
      </c:legendEntry>
      <c:legendEntry>
        <c:idx val="2"/>
        <c:delete val="1"/>
      </c:legendEntry>
      <c:legendEntry>
        <c:idx val="3"/>
        <c:delete val="1"/>
      </c:legendEntry>
      <c:legendEntry>
        <c:idx val="7"/>
        <c:delete val="1"/>
      </c:legendEntry>
      <c:legendEntry>
        <c:idx val="8"/>
        <c:delete val="1"/>
      </c:legendEntry>
      <c:legendEntry>
        <c:idx val="9"/>
        <c:delete val="1"/>
      </c:legendEntry>
      <c:legendEntry>
        <c:idx val="10"/>
        <c:delete val="1"/>
      </c:legendEntry>
      <c:layout>
        <c:manualLayout>
          <c:xMode val="edge"/>
          <c:yMode val="edge"/>
          <c:x val="0.79839151102548755"/>
          <c:y val="0.42179413230791141"/>
          <c:w val="0.18362050330026977"/>
          <c:h val="0.12265167699209571"/>
        </c:manualLayout>
      </c:layout>
      <c:overlay val="0"/>
    </c:legend>
    <c:plotVisOnly val="1"/>
    <c:dispBlanksAs val="gap"/>
    <c:showDLblsOverMax val="0"/>
  </c:chart>
  <c:printSettings>
    <c:headerFooter/>
    <c:pageMargins b="0.75000000000000366" l="0.70000000000000062" r="0.70000000000000062" t="0.75000000000000366" header="0.30000000000000032" footer="0.30000000000000032"/>
    <c:pageSetup/>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PA28R-200 Weight</a:t>
            </a:r>
            <a:r>
              <a:rPr lang="en-GB" baseline="0"/>
              <a:t> and Balance Envelope</a:t>
            </a:r>
            <a:endParaRPr lang="en-GB"/>
          </a:p>
        </c:rich>
      </c:tx>
      <c:overlay val="0"/>
    </c:title>
    <c:autoTitleDeleted val="0"/>
    <c:plotArea>
      <c:layout/>
      <c:scatterChart>
        <c:scatterStyle val="lineMarker"/>
        <c:varyColors val="0"/>
        <c:ser>
          <c:idx val="0"/>
          <c:order val="0"/>
          <c:tx>
            <c:v>Boundary 1</c:v>
          </c:tx>
          <c:spPr>
            <a:ln w="19050">
              <a:solidFill>
                <a:schemeClr val="tx1"/>
              </a:solidFill>
            </a:ln>
          </c:spPr>
          <c:marker>
            <c:symbol val="none"/>
          </c:marker>
          <c:trendline>
            <c:trendlineType val="linear"/>
            <c:dispRSqr val="0"/>
            <c:dispEq val="0"/>
          </c:trendline>
          <c:trendline>
            <c:trendlineType val="linear"/>
            <c:dispRSqr val="0"/>
            <c:dispEq val="0"/>
          </c:trendline>
          <c:trendline>
            <c:trendlineType val="linear"/>
            <c:dispRSqr val="0"/>
            <c:dispEq val="0"/>
          </c:trendline>
          <c:xVal>
            <c:numRef>
              <c:f>'Aircraft Schedule Info'!$I$42:$I$43</c:f>
              <c:numCache>
                <c:formatCode>#,##0.0</c:formatCode>
                <c:ptCount val="2"/>
                <c:pt idx="0">
                  <c:v>80</c:v>
                </c:pt>
                <c:pt idx="1">
                  <c:v>80</c:v>
                </c:pt>
              </c:numCache>
            </c:numRef>
          </c:xVal>
          <c:yVal>
            <c:numRef>
              <c:f>'Aircraft Schedule Info'!$J$42:$J$43</c:f>
              <c:numCache>
                <c:formatCode>#,##0.0</c:formatCode>
                <c:ptCount val="2"/>
                <c:pt idx="0">
                  <c:v>1400</c:v>
                </c:pt>
                <c:pt idx="1">
                  <c:v>1800</c:v>
                </c:pt>
              </c:numCache>
            </c:numRef>
          </c:yVal>
          <c:smooth val="0"/>
          <c:extLst>
            <c:ext xmlns:c16="http://schemas.microsoft.com/office/drawing/2014/chart" uri="{C3380CC4-5D6E-409C-BE32-E72D297353CC}">
              <c16:uniqueId val="{00000000-79BC-4FA4-BB88-15DD2B06341D}"/>
            </c:ext>
          </c:extLst>
        </c:ser>
        <c:ser>
          <c:idx val="1"/>
          <c:order val="1"/>
          <c:tx>
            <c:v>Boundary 2</c:v>
          </c:tx>
          <c:spPr>
            <a:ln w="19050">
              <a:solidFill>
                <a:schemeClr val="tx1"/>
              </a:solidFill>
            </a:ln>
          </c:spPr>
          <c:marker>
            <c:symbol val="none"/>
          </c:marker>
          <c:xVal>
            <c:numRef>
              <c:f>'Aircraft Schedule Info'!$I$44:$I$45</c:f>
              <c:numCache>
                <c:formatCode>#,##0.0</c:formatCode>
                <c:ptCount val="2"/>
                <c:pt idx="0">
                  <c:v>80</c:v>
                </c:pt>
                <c:pt idx="1">
                  <c:v>82</c:v>
                </c:pt>
              </c:numCache>
            </c:numRef>
          </c:xVal>
          <c:yVal>
            <c:numRef>
              <c:f>'Aircraft Schedule Info'!$J$44:$J$45</c:f>
              <c:numCache>
                <c:formatCode>#,##0.0</c:formatCode>
                <c:ptCount val="2"/>
                <c:pt idx="0">
                  <c:v>1800</c:v>
                </c:pt>
                <c:pt idx="1">
                  <c:v>2300</c:v>
                </c:pt>
              </c:numCache>
            </c:numRef>
          </c:yVal>
          <c:smooth val="0"/>
          <c:extLst>
            <c:ext xmlns:c16="http://schemas.microsoft.com/office/drawing/2014/chart" uri="{C3380CC4-5D6E-409C-BE32-E72D297353CC}">
              <c16:uniqueId val="{00000001-79BC-4FA4-BB88-15DD2B06341D}"/>
            </c:ext>
          </c:extLst>
        </c:ser>
        <c:ser>
          <c:idx val="2"/>
          <c:order val="2"/>
          <c:tx>
            <c:v>Boundary 3</c:v>
          </c:tx>
          <c:spPr>
            <a:ln w="19050">
              <a:solidFill>
                <a:schemeClr val="tx1"/>
              </a:solidFill>
            </a:ln>
          </c:spPr>
          <c:marker>
            <c:symbol val="none"/>
          </c:marker>
          <c:xVal>
            <c:numRef>
              <c:f>'Aircraft Schedule Info'!$I$46:$I$47</c:f>
              <c:numCache>
                <c:formatCode>#,##0.0</c:formatCode>
                <c:ptCount val="2"/>
                <c:pt idx="0">
                  <c:v>82</c:v>
                </c:pt>
                <c:pt idx="1">
                  <c:v>87.3</c:v>
                </c:pt>
              </c:numCache>
            </c:numRef>
          </c:xVal>
          <c:yVal>
            <c:numRef>
              <c:f>'Aircraft Schedule Info'!$J$46:$J$47</c:f>
              <c:numCache>
                <c:formatCode>#,##0.0</c:formatCode>
                <c:ptCount val="2"/>
                <c:pt idx="0">
                  <c:v>2300</c:v>
                </c:pt>
                <c:pt idx="1">
                  <c:v>2650</c:v>
                </c:pt>
              </c:numCache>
            </c:numRef>
          </c:yVal>
          <c:smooth val="0"/>
          <c:extLst>
            <c:ext xmlns:c16="http://schemas.microsoft.com/office/drawing/2014/chart" uri="{C3380CC4-5D6E-409C-BE32-E72D297353CC}">
              <c16:uniqueId val="{00000002-79BC-4FA4-BB88-15DD2B06341D}"/>
            </c:ext>
          </c:extLst>
        </c:ser>
        <c:ser>
          <c:idx val="3"/>
          <c:order val="3"/>
          <c:tx>
            <c:v>Boundary 4</c:v>
          </c:tx>
          <c:spPr>
            <a:ln w="19050">
              <a:solidFill>
                <a:schemeClr val="tx1"/>
              </a:solidFill>
            </a:ln>
          </c:spPr>
          <c:marker>
            <c:symbol val="none"/>
          </c:marker>
          <c:xVal>
            <c:numRef>
              <c:f>'Aircraft Schedule Info'!$I$48:$I$49</c:f>
              <c:numCache>
                <c:formatCode>#,##0.0</c:formatCode>
                <c:ptCount val="2"/>
                <c:pt idx="0">
                  <c:v>87.3</c:v>
                </c:pt>
                <c:pt idx="1">
                  <c:v>93</c:v>
                </c:pt>
              </c:numCache>
            </c:numRef>
          </c:xVal>
          <c:yVal>
            <c:numRef>
              <c:f>'Aircraft Schedule Info'!$J$48:$J$49</c:f>
              <c:numCache>
                <c:formatCode>#,##0.0</c:formatCode>
                <c:ptCount val="2"/>
                <c:pt idx="0">
                  <c:v>2650</c:v>
                </c:pt>
                <c:pt idx="1">
                  <c:v>2650</c:v>
                </c:pt>
              </c:numCache>
            </c:numRef>
          </c:yVal>
          <c:smooth val="0"/>
          <c:extLst>
            <c:ext xmlns:c16="http://schemas.microsoft.com/office/drawing/2014/chart" uri="{C3380CC4-5D6E-409C-BE32-E72D297353CC}">
              <c16:uniqueId val="{00000003-79BC-4FA4-BB88-15DD2B06341D}"/>
            </c:ext>
          </c:extLst>
        </c:ser>
        <c:ser>
          <c:idx val="7"/>
          <c:order val="4"/>
          <c:tx>
            <c:v>Boundary 5</c:v>
          </c:tx>
          <c:spPr>
            <a:ln w="19050">
              <a:solidFill>
                <a:sysClr val="windowText" lastClr="000000"/>
              </a:solidFill>
            </a:ln>
          </c:spPr>
          <c:marker>
            <c:symbol val="none"/>
          </c:marker>
          <c:xVal>
            <c:numRef>
              <c:f>'Aircraft Schedule Info'!$I$50:$I$51</c:f>
              <c:numCache>
                <c:formatCode>#,##0.0</c:formatCode>
                <c:ptCount val="2"/>
                <c:pt idx="0">
                  <c:v>93</c:v>
                </c:pt>
                <c:pt idx="1">
                  <c:v>93</c:v>
                </c:pt>
              </c:numCache>
            </c:numRef>
          </c:xVal>
          <c:yVal>
            <c:numRef>
              <c:f>'Aircraft Schedule Info'!$J$50:$J$51</c:f>
              <c:numCache>
                <c:formatCode>#,##0.0</c:formatCode>
                <c:ptCount val="2"/>
                <c:pt idx="0">
                  <c:v>2650</c:v>
                </c:pt>
                <c:pt idx="1">
                  <c:v>1400</c:v>
                </c:pt>
              </c:numCache>
            </c:numRef>
          </c:yVal>
          <c:smooth val="0"/>
          <c:extLst>
            <c:ext xmlns:c16="http://schemas.microsoft.com/office/drawing/2014/chart" uri="{C3380CC4-5D6E-409C-BE32-E72D297353CC}">
              <c16:uniqueId val="{00000000-4A80-44B2-9246-D4AB44E2D120}"/>
            </c:ext>
          </c:extLst>
        </c:ser>
        <c:ser>
          <c:idx val="4"/>
          <c:order val="5"/>
          <c:tx>
            <c:v>A/C Point at T/O</c:v>
          </c:tx>
          <c:marker>
            <c:symbol val="x"/>
            <c:size val="7"/>
            <c:spPr>
              <a:ln w="19050">
                <a:solidFill>
                  <a:srgbClr val="FF0000"/>
                </a:solidFill>
              </a:ln>
            </c:spPr>
          </c:marker>
          <c:trendline>
            <c:trendlineType val="linear"/>
            <c:dispRSqr val="0"/>
            <c:dispEq val="0"/>
          </c:trendline>
          <c:xVal>
            <c:numRef>
              <c:f>'Weight &amp; Balance'!$D$32</c:f>
              <c:numCache>
                <c:formatCode>General</c:formatCode>
                <c:ptCount val="1"/>
                <c:pt idx="0">
                  <c:v>0</c:v>
                </c:pt>
              </c:numCache>
            </c:numRef>
          </c:xVal>
          <c:yVal>
            <c:numRef>
              <c:f>'Weight &amp; Balance'!$C$32</c:f>
              <c:numCache>
                <c:formatCode>General</c:formatCode>
                <c:ptCount val="1"/>
                <c:pt idx="0">
                  <c:v>0</c:v>
                </c:pt>
              </c:numCache>
            </c:numRef>
          </c:yVal>
          <c:smooth val="0"/>
          <c:extLst>
            <c:ext xmlns:c16="http://schemas.microsoft.com/office/drawing/2014/chart" uri="{C3380CC4-5D6E-409C-BE32-E72D297353CC}">
              <c16:uniqueId val="{00000004-79BC-4FA4-BB88-15DD2B06341D}"/>
            </c:ext>
          </c:extLst>
        </c:ser>
        <c:ser>
          <c:idx val="5"/>
          <c:order val="6"/>
          <c:tx>
            <c:v>A/C Landing Totals</c:v>
          </c:tx>
          <c:spPr>
            <a:ln w="19050">
              <a:tailEnd type="stealth"/>
            </a:ln>
          </c:spPr>
          <c:marker>
            <c:symbol val="x"/>
            <c:size val="7"/>
            <c:spPr>
              <a:ln w="19050"/>
            </c:spPr>
          </c:marker>
          <c:xVal>
            <c:numRef>
              <c:f>'Weight &amp; Balance'!$D$33</c:f>
              <c:numCache>
                <c:formatCode>General</c:formatCode>
                <c:ptCount val="1"/>
                <c:pt idx="0">
                  <c:v>0</c:v>
                </c:pt>
              </c:numCache>
            </c:numRef>
          </c:xVal>
          <c:yVal>
            <c:numRef>
              <c:f>'Weight &amp; Balance'!$C$33</c:f>
              <c:numCache>
                <c:formatCode>General</c:formatCode>
                <c:ptCount val="1"/>
                <c:pt idx="0">
                  <c:v>0</c:v>
                </c:pt>
              </c:numCache>
            </c:numRef>
          </c:yVal>
          <c:smooth val="0"/>
          <c:extLst>
            <c:ext xmlns:c16="http://schemas.microsoft.com/office/drawing/2014/chart" uri="{C3380CC4-5D6E-409C-BE32-E72D297353CC}">
              <c16:uniqueId val="{00000005-79BC-4FA4-BB88-15DD2B06341D}"/>
            </c:ext>
          </c:extLst>
        </c:ser>
        <c:ser>
          <c:idx val="6"/>
          <c:order val="7"/>
          <c:tx>
            <c:v>Utility / Normal Category Line</c:v>
          </c:tx>
          <c:spPr>
            <a:ln w="38100">
              <a:prstDash val="dash"/>
            </a:ln>
          </c:spPr>
          <c:xVal>
            <c:numRef>
              <c:f>'Aircraft Schedule Info'!$I$52:$I$53</c:f>
              <c:numCache>
                <c:formatCode>#,##0.0</c:formatCode>
                <c:ptCount val="2"/>
                <c:pt idx="0">
                  <c:v>0</c:v>
                </c:pt>
                <c:pt idx="1">
                  <c:v>0</c:v>
                </c:pt>
              </c:numCache>
            </c:numRef>
          </c:xVal>
          <c:yVal>
            <c:numRef>
              <c:f>'Aircraft Schedule Info'!$J$52:$J$53</c:f>
              <c:numCache>
                <c:formatCode>#,##0.0</c:formatCode>
                <c:ptCount val="2"/>
                <c:pt idx="0">
                  <c:v>0</c:v>
                </c:pt>
                <c:pt idx="1">
                  <c:v>0</c:v>
                </c:pt>
              </c:numCache>
            </c:numRef>
          </c:yVal>
          <c:smooth val="0"/>
          <c:extLst>
            <c:ext xmlns:c16="http://schemas.microsoft.com/office/drawing/2014/chart" uri="{C3380CC4-5D6E-409C-BE32-E72D297353CC}">
              <c16:uniqueId val="{00000006-79BC-4FA4-BB88-15DD2B06341D}"/>
            </c:ext>
          </c:extLst>
        </c:ser>
        <c:dLbls>
          <c:showLegendKey val="0"/>
          <c:showVal val="0"/>
          <c:showCatName val="0"/>
          <c:showSerName val="0"/>
          <c:showPercent val="0"/>
          <c:showBubbleSize val="0"/>
        </c:dLbls>
        <c:axId val="-1506565536"/>
        <c:axId val="-1506563904"/>
      </c:scatterChart>
      <c:valAx>
        <c:axId val="-1506565536"/>
        <c:scaling>
          <c:orientation val="minMax"/>
          <c:max val="94"/>
          <c:min val="78"/>
        </c:scaling>
        <c:delete val="0"/>
        <c:axPos val="b"/>
        <c:majorGridlines/>
        <c:minorGridlines/>
        <c:title>
          <c:tx>
            <c:rich>
              <a:bodyPr/>
              <a:lstStyle/>
              <a:p>
                <a:pPr>
                  <a:defRPr/>
                </a:pPr>
                <a:r>
                  <a:rPr lang="en-GB"/>
                  <a:t>Inches</a:t>
                </a:r>
                <a:r>
                  <a:rPr lang="en-GB" baseline="0"/>
                  <a:t> Aft of Datum</a:t>
                </a:r>
                <a:endParaRPr lang="en-GB"/>
              </a:p>
            </c:rich>
          </c:tx>
          <c:overlay val="0"/>
        </c:title>
        <c:numFmt formatCode="#,##0.0" sourceLinked="1"/>
        <c:majorTickMark val="none"/>
        <c:minorTickMark val="none"/>
        <c:tickLblPos val="nextTo"/>
        <c:crossAx val="-1506563904"/>
        <c:crosses val="autoZero"/>
        <c:crossBetween val="midCat"/>
      </c:valAx>
      <c:valAx>
        <c:axId val="-1506563904"/>
        <c:scaling>
          <c:orientation val="minMax"/>
          <c:max val="3000"/>
          <c:min val="1400"/>
        </c:scaling>
        <c:delete val="0"/>
        <c:axPos val="l"/>
        <c:majorGridlines/>
        <c:minorGridlines/>
        <c:title>
          <c:tx>
            <c:rich>
              <a:bodyPr/>
              <a:lstStyle/>
              <a:p>
                <a:pPr>
                  <a:defRPr/>
                </a:pPr>
                <a:r>
                  <a:rPr lang="en-GB"/>
                  <a:t>Weight</a:t>
                </a:r>
                <a:r>
                  <a:rPr lang="en-GB" baseline="0"/>
                  <a:t> lbs</a:t>
                </a:r>
                <a:endParaRPr lang="en-GB"/>
              </a:p>
            </c:rich>
          </c:tx>
          <c:overlay val="0"/>
        </c:title>
        <c:numFmt formatCode="#,##0.0" sourceLinked="1"/>
        <c:majorTickMark val="none"/>
        <c:minorTickMark val="none"/>
        <c:tickLblPos val="nextTo"/>
        <c:crossAx val="-1506565536"/>
        <c:crosses val="autoZero"/>
        <c:crossBetween val="midCat"/>
      </c:valAx>
    </c:plotArea>
    <c:legend>
      <c:legendPos val="r"/>
      <c:legendEntry>
        <c:idx val="0"/>
        <c:delete val="1"/>
      </c:legendEntry>
      <c:legendEntry>
        <c:idx val="1"/>
        <c:delete val="1"/>
      </c:legendEntry>
      <c:legendEntry>
        <c:idx val="2"/>
        <c:delete val="1"/>
      </c:legendEntry>
      <c:legendEntry>
        <c:idx val="3"/>
        <c:delete val="1"/>
      </c:legendEntry>
      <c:legendEntry>
        <c:idx val="4"/>
        <c:delete val="1"/>
      </c:legendEntry>
      <c:legendEntry>
        <c:idx val="8"/>
        <c:delete val="1"/>
      </c:legendEntry>
      <c:legendEntry>
        <c:idx val="9"/>
        <c:delete val="1"/>
      </c:legendEntry>
      <c:legendEntry>
        <c:idx val="10"/>
        <c:delete val="1"/>
      </c:legendEntry>
      <c:legendEntry>
        <c:idx val="11"/>
        <c:delete val="1"/>
      </c:legendEntry>
      <c:layout>
        <c:manualLayout>
          <c:xMode val="edge"/>
          <c:yMode val="edge"/>
          <c:x val="0.79143133603534521"/>
          <c:y val="0.42179413230791141"/>
          <c:w val="0.18361220652134227"/>
          <c:h val="0.12265167699209571"/>
        </c:manualLayout>
      </c:layout>
      <c:overlay val="0"/>
    </c:legend>
    <c:plotVisOnly val="1"/>
    <c:dispBlanksAs val="gap"/>
    <c:showDLblsOverMax val="0"/>
  </c:chart>
  <c:printSettings>
    <c:headerFooter/>
    <c:pageMargins b="0.75000000000000344" l="0.70000000000000062" r="0.70000000000000062" t="0.75000000000000344" header="0.30000000000000032" footer="0.30000000000000032"/>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PA28R-201 Weight</a:t>
            </a:r>
            <a:r>
              <a:rPr lang="en-GB" baseline="0"/>
              <a:t> and Balance Envelope</a:t>
            </a:r>
            <a:endParaRPr lang="en-GB"/>
          </a:p>
        </c:rich>
      </c:tx>
      <c:overlay val="0"/>
    </c:title>
    <c:autoTitleDeleted val="0"/>
    <c:plotArea>
      <c:layout/>
      <c:scatterChart>
        <c:scatterStyle val="lineMarker"/>
        <c:varyColors val="0"/>
        <c:ser>
          <c:idx val="0"/>
          <c:order val="0"/>
          <c:tx>
            <c:v>Boundary 1</c:v>
          </c:tx>
          <c:spPr>
            <a:ln w="19050">
              <a:solidFill>
                <a:schemeClr val="tx1"/>
              </a:solidFill>
            </a:ln>
          </c:spPr>
          <c:marker>
            <c:symbol val="none"/>
          </c:marker>
          <c:trendline>
            <c:trendlineType val="linear"/>
            <c:dispRSqr val="0"/>
            <c:dispEq val="0"/>
          </c:trendline>
          <c:trendline>
            <c:trendlineType val="linear"/>
            <c:dispRSqr val="0"/>
            <c:dispEq val="0"/>
          </c:trendline>
          <c:trendline>
            <c:trendlineType val="linear"/>
            <c:dispRSqr val="0"/>
            <c:dispEq val="0"/>
          </c:trendline>
          <c:xVal>
            <c:numRef>
              <c:f>'Aircraft Schedule Info'!$K$42:$K$43</c:f>
              <c:numCache>
                <c:formatCode>#,##0.0</c:formatCode>
                <c:ptCount val="2"/>
                <c:pt idx="0">
                  <c:v>82</c:v>
                </c:pt>
                <c:pt idx="1">
                  <c:v>82</c:v>
                </c:pt>
              </c:numCache>
            </c:numRef>
          </c:xVal>
          <c:yVal>
            <c:numRef>
              <c:f>'Aircraft Schedule Info'!$L$42:$L$43</c:f>
              <c:numCache>
                <c:formatCode>#,##0.0</c:formatCode>
                <c:ptCount val="2"/>
                <c:pt idx="0">
                  <c:v>1400</c:v>
                </c:pt>
                <c:pt idx="1">
                  <c:v>2375</c:v>
                </c:pt>
              </c:numCache>
            </c:numRef>
          </c:yVal>
          <c:smooth val="0"/>
          <c:extLst>
            <c:ext xmlns:c16="http://schemas.microsoft.com/office/drawing/2014/chart" uri="{C3380CC4-5D6E-409C-BE32-E72D297353CC}">
              <c16:uniqueId val="{00000000-79BC-4FA4-BB88-15DD2B06341D}"/>
            </c:ext>
          </c:extLst>
        </c:ser>
        <c:ser>
          <c:idx val="1"/>
          <c:order val="1"/>
          <c:tx>
            <c:v>Boundary 2</c:v>
          </c:tx>
          <c:spPr>
            <a:ln w="19050">
              <a:solidFill>
                <a:schemeClr val="tx1"/>
              </a:solidFill>
            </a:ln>
          </c:spPr>
          <c:marker>
            <c:symbol val="none"/>
          </c:marker>
          <c:xVal>
            <c:numRef>
              <c:f>'Aircraft Schedule Info'!$K$44:$K$45</c:f>
              <c:numCache>
                <c:formatCode>#,##0.0</c:formatCode>
                <c:ptCount val="2"/>
                <c:pt idx="0">
                  <c:v>82</c:v>
                </c:pt>
                <c:pt idx="1">
                  <c:v>88.8</c:v>
                </c:pt>
              </c:numCache>
            </c:numRef>
          </c:xVal>
          <c:yVal>
            <c:numRef>
              <c:f>'Aircraft Schedule Info'!$L$44:$L$45</c:f>
              <c:numCache>
                <c:formatCode>#,##0.0</c:formatCode>
                <c:ptCount val="2"/>
                <c:pt idx="0">
                  <c:v>2375</c:v>
                </c:pt>
                <c:pt idx="1">
                  <c:v>2750</c:v>
                </c:pt>
              </c:numCache>
            </c:numRef>
          </c:yVal>
          <c:smooth val="0"/>
          <c:extLst>
            <c:ext xmlns:c16="http://schemas.microsoft.com/office/drawing/2014/chart" uri="{C3380CC4-5D6E-409C-BE32-E72D297353CC}">
              <c16:uniqueId val="{00000001-79BC-4FA4-BB88-15DD2B06341D}"/>
            </c:ext>
          </c:extLst>
        </c:ser>
        <c:ser>
          <c:idx val="2"/>
          <c:order val="2"/>
          <c:tx>
            <c:v>Boundary 3</c:v>
          </c:tx>
          <c:spPr>
            <a:ln w="19050">
              <a:solidFill>
                <a:schemeClr val="tx1"/>
              </a:solidFill>
            </a:ln>
          </c:spPr>
          <c:marker>
            <c:symbol val="none"/>
          </c:marker>
          <c:xVal>
            <c:numRef>
              <c:f>'Aircraft Schedule Info'!$K$46:$K$47</c:f>
              <c:numCache>
                <c:formatCode>#,##0.0</c:formatCode>
                <c:ptCount val="2"/>
                <c:pt idx="0">
                  <c:v>88.8</c:v>
                </c:pt>
                <c:pt idx="1">
                  <c:v>91.4</c:v>
                </c:pt>
              </c:numCache>
            </c:numRef>
          </c:xVal>
          <c:yVal>
            <c:numRef>
              <c:f>'Aircraft Schedule Info'!$L$46:$L$47</c:f>
              <c:numCache>
                <c:formatCode>#,##0.0</c:formatCode>
                <c:ptCount val="2"/>
                <c:pt idx="0">
                  <c:v>2750</c:v>
                </c:pt>
                <c:pt idx="1">
                  <c:v>2750</c:v>
                </c:pt>
              </c:numCache>
            </c:numRef>
          </c:yVal>
          <c:smooth val="0"/>
          <c:extLst>
            <c:ext xmlns:c16="http://schemas.microsoft.com/office/drawing/2014/chart" uri="{C3380CC4-5D6E-409C-BE32-E72D297353CC}">
              <c16:uniqueId val="{00000002-79BC-4FA4-BB88-15DD2B06341D}"/>
            </c:ext>
          </c:extLst>
        </c:ser>
        <c:ser>
          <c:idx val="3"/>
          <c:order val="3"/>
          <c:tx>
            <c:v>Boundary 4</c:v>
          </c:tx>
          <c:spPr>
            <a:ln w="19050">
              <a:solidFill>
                <a:schemeClr val="tx1"/>
              </a:solidFill>
            </a:ln>
          </c:spPr>
          <c:marker>
            <c:symbol val="none"/>
          </c:marker>
          <c:xVal>
            <c:numRef>
              <c:f>'Aircraft Schedule Info'!$K$48:$K$49</c:f>
              <c:numCache>
                <c:formatCode>#,##0.0</c:formatCode>
                <c:ptCount val="2"/>
                <c:pt idx="0">
                  <c:v>91.4</c:v>
                </c:pt>
                <c:pt idx="1">
                  <c:v>91.4</c:v>
                </c:pt>
              </c:numCache>
            </c:numRef>
          </c:xVal>
          <c:yVal>
            <c:numRef>
              <c:f>'Aircraft Schedule Info'!$L$48:$L$49</c:f>
              <c:numCache>
                <c:formatCode>#,##0.0</c:formatCode>
                <c:ptCount val="2"/>
                <c:pt idx="0">
                  <c:v>2750</c:v>
                </c:pt>
                <c:pt idx="1">
                  <c:v>1400</c:v>
                </c:pt>
              </c:numCache>
            </c:numRef>
          </c:yVal>
          <c:smooth val="0"/>
          <c:extLst>
            <c:ext xmlns:c16="http://schemas.microsoft.com/office/drawing/2014/chart" uri="{C3380CC4-5D6E-409C-BE32-E72D297353CC}">
              <c16:uniqueId val="{00000003-79BC-4FA4-BB88-15DD2B06341D}"/>
            </c:ext>
          </c:extLst>
        </c:ser>
        <c:ser>
          <c:idx val="4"/>
          <c:order val="4"/>
          <c:tx>
            <c:v>A/C Point at T/O</c:v>
          </c:tx>
          <c:marker>
            <c:symbol val="x"/>
            <c:size val="7"/>
            <c:spPr>
              <a:ln w="19050">
                <a:solidFill>
                  <a:srgbClr val="FF0000"/>
                </a:solidFill>
              </a:ln>
            </c:spPr>
          </c:marker>
          <c:trendline>
            <c:trendlineType val="linear"/>
            <c:dispRSqr val="0"/>
            <c:dispEq val="0"/>
          </c:trendline>
          <c:xVal>
            <c:numRef>
              <c:f>'Weight &amp; Balance'!$D$34</c:f>
              <c:numCache>
                <c:formatCode>General</c:formatCode>
                <c:ptCount val="1"/>
                <c:pt idx="0">
                  <c:v>0</c:v>
                </c:pt>
              </c:numCache>
            </c:numRef>
          </c:xVal>
          <c:yVal>
            <c:numRef>
              <c:f>'Weight &amp; Balance'!$C$34</c:f>
              <c:numCache>
                <c:formatCode>General</c:formatCode>
                <c:ptCount val="1"/>
                <c:pt idx="0">
                  <c:v>0</c:v>
                </c:pt>
              </c:numCache>
            </c:numRef>
          </c:yVal>
          <c:smooth val="0"/>
          <c:extLst>
            <c:ext xmlns:c16="http://schemas.microsoft.com/office/drawing/2014/chart" uri="{C3380CC4-5D6E-409C-BE32-E72D297353CC}">
              <c16:uniqueId val="{00000004-79BC-4FA4-BB88-15DD2B06341D}"/>
            </c:ext>
          </c:extLst>
        </c:ser>
        <c:ser>
          <c:idx val="5"/>
          <c:order val="5"/>
          <c:tx>
            <c:v>A/C Landing Totals</c:v>
          </c:tx>
          <c:spPr>
            <a:ln w="19050">
              <a:tailEnd type="stealth"/>
            </a:ln>
          </c:spPr>
          <c:marker>
            <c:symbol val="x"/>
            <c:size val="7"/>
            <c:spPr>
              <a:ln w="19050"/>
            </c:spPr>
          </c:marker>
          <c:xVal>
            <c:numRef>
              <c:f>'Weight &amp; Balance'!$D$35</c:f>
              <c:numCache>
                <c:formatCode>General</c:formatCode>
                <c:ptCount val="1"/>
                <c:pt idx="0">
                  <c:v>0</c:v>
                </c:pt>
              </c:numCache>
            </c:numRef>
          </c:xVal>
          <c:yVal>
            <c:numRef>
              <c:f>'Weight &amp; Balance'!$C$35</c:f>
              <c:numCache>
                <c:formatCode>General</c:formatCode>
                <c:ptCount val="1"/>
                <c:pt idx="0">
                  <c:v>0</c:v>
                </c:pt>
              </c:numCache>
            </c:numRef>
          </c:yVal>
          <c:smooth val="0"/>
          <c:extLst>
            <c:ext xmlns:c16="http://schemas.microsoft.com/office/drawing/2014/chart" uri="{C3380CC4-5D6E-409C-BE32-E72D297353CC}">
              <c16:uniqueId val="{00000005-79BC-4FA4-BB88-15DD2B06341D}"/>
            </c:ext>
          </c:extLst>
        </c:ser>
        <c:ser>
          <c:idx val="6"/>
          <c:order val="6"/>
          <c:tx>
            <c:v>Utility / Normal Category Line</c:v>
          </c:tx>
          <c:spPr>
            <a:ln w="38100">
              <a:prstDash val="dash"/>
            </a:ln>
          </c:spPr>
          <c:xVal>
            <c:numRef>
              <c:f>'Aircraft Schedule Info'!$I$52:$I$53</c:f>
              <c:numCache>
                <c:formatCode>#,##0.0</c:formatCode>
                <c:ptCount val="2"/>
                <c:pt idx="0">
                  <c:v>0</c:v>
                </c:pt>
                <c:pt idx="1">
                  <c:v>0</c:v>
                </c:pt>
              </c:numCache>
            </c:numRef>
          </c:xVal>
          <c:yVal>
            <c:numRef>
              <c:f>'Aircraft Schedule Info'!$J$52:$J$53</c:f>
              <c:numCache>
                <c:formatCode>#,##0.0</c:formatCode>
                <c:ptCount val="2"/>
                <c:pt idx="0">
                  <c:v>0</c:v>
                </c:pt>
                <c:pt idx="1">
                  <c:v>0</c:v>
                </c:pt>
              </c:numCache>
            </c:numRef>
          </c:yVal>
          <c:smooth val="0"/>
          <c:extLst>
            <c:ext xmlns:c16="http://schemas.microsoft.com/office/drawing/2014/chart" uri="{C3380CC4-5D6E-409C-BE32-E72D297353CC}">
              <c16:uniqueId val="{00000006-79BC-4FA4-BB88-15DD2B06341D}"/>
            </c:ext>
          </c:extLst>
        </c:ser>
        <c:dLbls>
          <c:showLegendKey val="0"/>
          <c:showVal val="0"/>
          <c:showCatName val="0"/>
          <c:showSerName val="0"/>
          <c:showPercent val="0"/>
          <c:showBubbleSize val="0"/>
        </c:dLbls>
        <c:axId val="-1881360400"/>
        <c:axId val="-1881363120"/>
      </c:scatterChart>
      <c:valAx>
        <c:axId val="-1881360400"/>
        <c:scaling>
          <c:orientation val="minMax"/>
          <c:max val="94"/>
          <c:min val="78"/>
        </c:scaling>
        <c:delete val="0"/>
        <c:axPos val="b"/>
        <c:majorGridlines/>
        <c:minorGridlines/>
        <c:title>
          <c:tx>
            <c:rich>
              <a:bodyPr/>
              <a:lstStyle/>
              <a:p>
                <a:pPr>
                  <a:defRPr/>
                </a:pPr>
                <a:r>
                  <a:rPr lang="en-GB"/>
                  <a:t>Inches</a:t>
                </a:r>
                <a:r>
                  <a:rPr lang="en-GB" baseline="0"/>
                  <a:t> Aft of Datum</a:t>
                </a:r>
                <a:endParaRPr lang="en-GB"/>
              </a:p>
            </c:rich>
          </c:tx>
          <c:overlay val="0"/>
        </c:title>
        <c:numFmt formatCode="#,##0.0" sourceLinked="1"/>
        <c:majorTickMark val="none"/>
        <c:minorTickMark val="none"/>
        <c:tickLblPos val="nextTo"/>
        <c:crossAx val="-1881363120"/>
        <c:crosses val="autoZero"/>
        <c:crossBetween val="midCat"/>
      </c:valAx>
      <c:valAx>
        <c:axId val="-1881363120"/>
        <c:scaling>
          <c:orientation val="minMax"/>
          <c:max val="3000"/>
          <c:min val="1400"/>
        </c:scaling>
        <c:delete val="0"/>
        <c:axPos val="l"/>
        <c:majorGridlines/>
        <c:minorGridlines/>
        <c:title>
          <c:tx>
            <c:rich>
              <a:bodyPr/>
              <a:lstStyle/>
              <a:p>
                <a:pPr>
                  <a:defRPr/>
                </a:pPr>
                <a:r>
                  <a:rPr lang="en-GB"/>
                  <a:t>Weight</a:t>
                </a:r>
                <a:r>
                  <a:rPr lang="en-GB" baseline="0"/>
                  <a:t> lbs</a:t>
                </a:r>
                <a:endParaRPr lang="en-GB"/>
              </a:p>
            </c:rich>
          </c:tx>
          <c:overlay val="0"/>
        </c:title>
        <c:numFmt formatCode="#,##0.0" sourceLinked="1"/>
        <c:majorTickMark val="none"/>
        <c:minorTickMark val="none"/>
        <c:tickLblPos val="nextTo"/>
        <c:crossAx val="-1881360400"/>
        <c:crosses val="autoZero"/>
        <c:crossBetween val="midCat"/>
      </c:valAx>
    </c:plotArea>
    <c:legend>
      <c:legendPos val="r"/>
      <c:legendEntry>
        <c:idx val="0"/>
        <c:delete val="1"/>
      </c:legendEntry>
      <c:legendEntry>
        <c:idx val="1"/>
        <c:delete val="1"/>
      </c:legendEntry>
      <c:legendEntry>
        <c:idx val="2"/>
        <c:delete val="1"/>
      </c:legendEntry>
      <c:legendEntry>
        <c:idx val="3"/>
        <c:delete val="1"/>
      </c:legendEntry>
      <c:legendEntry>
        <c:idx val="7"/>
        <c:delete val="1"/>
      </c:legendEntry>
      <c:legendEntry>
        <c:idx val="8"/>
        <c:delete val="1"/>
      </c:legendEntry>
      <c:legendEntry>
        <c:idx val="9"/>
        <c:delete val="1"/>
      </c:legendEntry>
      <c:legendEntry>
        <c:idx val="10"/>
        <c:delete val="1"/>
      </c:legendEntry>
      <c:layout>
        <c:manualLayout>
          <c:xMode val="edge"/>
          <c:yMode val="edge"/>
          <c:x val="0.79143133603534521"/>
          <c:y val="0.42179413230791141"/>
          <c:w val="0.18361220652134227"/>
          <c:h val="0.12265167699209571"/>
        </c:manualLayout>
      </c:layout>
      <c:overlay val="0"/>
    </c:legend>
    <c:plotVisOnly val="1"/>
    <c:dispBlanksAs val="gap"/>
    <c:showDLblsOverMax val="0"/>
  </c:chart>
  <c:printSettings>
    <c:headerFooter/>
    <c:pageMargins b="0.75000000000000344" l="0.70000000000000062" r="0.70000000000000062" t="0.75000000000000344" header="0.30000000000000032" footer="0.30000000000000032"/>
    <c:pageSetup/>
  </c:printSettings>
  <c:userShapes r:id="rId1"/>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4.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xdr:col>
      <xdr:colOff>4937760</xdr:colOff>
      <xdr:row>3</xdr:row>
      <xdr:rowOff>38100</xdr:rowOff>
    </xdr:from>
    <xdr:to>
      <xdr:col>1</xdr:col>
      <xdr:colOff>9114204</xdr:colOff>
      <xdr:row>12</xdr:row>
      <xdr:rowOff>144780</xdr:rowOff>
    </xdr:to>
    <xdr:pic>
      <xdr:nvPicPr>
        <xdr:cNvPr id="3" name="Picture 2" descr="http://www.aviators4kids.com/wp-content/uploads/2015/05/Aircraft_Plane_clip_art_hight.png">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34940" y="670560"/>
          <a:ext cx="4366944" cy="1752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106680</xdr:colOff>
      <xdr:row>5</xdr:row>
      <xdr:rowOff>15240</xdr:rowOff>
    </xdr:from>
    <xdr:to>
      <xdr:col>1</xdr:col>
      <xdr:colOff>647700</xdr:colOff>
      <xdr:row>5</xdr:row>
      <xdr:rowOff>175260</xdr:rowOff>
    </xdr:to>
    <xdr:sp macro="" textlink="">
      <xdr:nvSpPr>
        <xdr:cNvPr id="7" name="Rectangle 6">
          <a:extLst>
            <a:ext uri="{FF2B5EF4-FFF2-40B4-BE49-F238E27FC236}">
              <a16:creationId xmlns:a16="http://schemas.microsoft.com/office/drawing/2014/main" id="{00000000-0008-0000-0000-000007000000}"/>
            </a:ext>
          </a:extLst>
        </xdr:cNvPr>
        <xdr:cNvSpPr/>
      </xdr:nvSpPr>
      <xdr:spPr>
        <a:xfrm>
          <a:off x="403860" y="1013460"/>
          <a:ext cx="541020" cy="160020"/>
        </a:xfrm>
        <a:prstGeom prst="rect">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106680</xdr:colOff>
      <xdr:row>6</xdr:row>
      <xdr:rowOff>15240</xdr:rowOff>
    </xdr:from>
    <xdr:to>
      <xdr:col>1</xdr:col>
      <xdr:colOff>647700</xdr:colOff>
      <xdr:row>6</xdr:row>
      <xdr:rowOff>175260</xdr:rowOff>
    </xdr:to>
    <xdr:sp macro="" textlink="">
      <xdr:nvSpPr>
        <xdr:cNvPr id="10" name="Rectangle 9">
          <a:extLst>
            <a:ext uri="{FF2B5EF4-FFF2-40B4-BE49-F238E27FC236}">
              <a16:creationId xmlns:a16="http://schemas.microsoft.com/office/drawing/2014/main" id="{00000000-0008-0000-0000-00000A000000}"/>
            </a:ext>
          </a:extLst>
        </xdr:cNvPr>
        <xdr:cNvSpPr/>
      </xdr:nvSpPr>
      <xdr:spPr>
        <a:xfrm>
          <a:off x="403860" y="1196340"/>
          <a:ext cx="541020" cy="160020"/>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106680</xdr:colOff>
      <xdr:row>7</xdr:row>
      <xdr:rowOff>15240</xdr:rowOff>
    </xdr:from>
    <xdr:to>
      <xdr:col>1</xdr:col>
      <xdr:colOff>647700</xdr:colOff>
      <xdr:row>7</xdr:row>
      <xdr:rowOff>175260</xdr:rowOff>
    </xdr:to>
    <xdr:sp macro="" textlink="">
      <xdr:nvSpPr>
        <xdr:cNvPr id="11" name="Rectangle 10">
          <a:extLst>
            <a:ext uri="{FF2B5EF4-FFF2-40B4-BE49-F238E27FC236}">
              <a16:creationId xmlns:a16="http://schemas.microsoft.com/office/drawing/2014/main" id="{00000000-0008-0000-0000-00000B000000}"/>
            </a:ext>
          </a:extLst>
        </xdr:cNvPr>
        <xdr:cNvSpPr/>
      </xdr:nvSpPr>
      <xdr:spPr>
        <a:xfrm>
          <a:off x="403860" y="1196340"/>
          <a:ext cx="541020" cy="160020"/>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106680</xdr:colOff>
      <xdr:row>8</xdr:row>
      <xdr:rowOff>15240</xdr:rowOff>
    </xdr:from>
    <xdr:to>
      <xdr:col>1</xdr:col>
      <xdr:colOff>647700</xdr:colOff>
      <xdr:row>8</xdr:row>
      <xdr:rowOff>175260</xdr:rowOff>
    </xdr:to>
    <xdr:sp macro="" textlink="">
      <xdr:nvSpPr>
        <xdr:cNvPr id="12" name="Rectangle 11">
          <a:extLst>
            <a:ext uri="{FF2B5EF4-FFF2-40B4-BE49-F238E27FC236}">
              <a16:creationId xmlns:a16="http://schemas.microsoft.com/office/drawing/2014/main" id="{00000000-0008-0000-0000-00000C000000}"/>
            </a:ext>
          </a:extLst>
        </xdr:cNvPr>
        <xdr:cNvSpPr/>
      </xdr:nvSpPr>
      <xdr:spPr>
        <a:xfrm>
          <a:off x="403860" y="1379220"/>
          <a:ext cx="541020" cy="160020"/>
        </a:xfrm>
        <a:prstGeom prst="rect">
          <a:avLst/>
        </a:prstGeom>
        <a:solidFill>
          <a:srgbClr val="7030A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106680</xdr:colOff>
      <xdr:row>10</xdr:row>
      <xdr:rowOff>15240</xdr:rowOff>
    </xdr:from>
    <xdr:to>
      <xdr:col>1</xdr:col>
      <xdr:colOff>647700</xdr:colOff>
      <xdr:row>10</xdr:row>
      <xdr:rowOff>175260</xdr:rowOff>
    </xdr:to>
    <xdr:sp macro="" textlink="">
      <xdr:nvSpPr>
        <xdr:cNvPr id="13" name="Rectangle 12">
          <a:extLst>
            <a:ext uri="{FF2B5EF4-FFF2-40B4-BE49-F238E27FC236}">
              <a16:creationId xmlns:a16="http://schemas.microsoft.com/office/drawing/2014/main" id="{00000000-0008-0000-0000-00000D000000}"/>
            </a:ext>
          </a:extLst>
        </xdr:cNvPr>
        <xdr:cNvSpPr/>
      </xdr:nvSpPr>
      <xdr:spPr>
        <a:xfrm>
          <a:off x="403860" y="1562100"/>
          <a:ext cx="541020" cy="160020"/>
        </a:xfrm>
        <a:prstGeom prst="rect">
          <a:avLst/>
        </a:prstGeom>
        <a:solidFill>
          <a:srgbClr val="FFCC9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106680</xdr:colOff>
      <xdr:row>11</xdr:row>
      <xdr:rowOff>15240</xdr:rowOff>
    </xdr:from>
    <xdr:to>
      <xdr:col>1</xdr:col>
      <xdr:colOff>647700</xdr:colOff>
      <xdr:row>11</xdr:row>
      <xdr:rowOff>175260</xdr:rowOff>
    </xdr:to>
    <xdr:sp macro="" textlink="">
      <xdr:nvSpPr>
        <xdr:cNvPr id="14" name="Rectangle 13">
          <a:extLst>
            <a:ext uri="{FF2B5EF4-FFF2-40B4-BE49-F238E27FC236}">
              <a16:creationId xmlns:a16="http://schemas.microsoft.com/office/drawing/2014/main" id="{00000000-0008-0000-0000-00000E000000}"/>
            </a:ext>
          </a:extLst>
        </xdr:cNvPr>
        <xdr:cNvSpPr/>
      </xdr:nvSpPr>
      <xdr:spPr>
        <a:xfrm>
          <a:off x="403860" y="2110740"/>
          <a:ext cx="541020" cy="160020"/>
        </a:xfrm>
        <a:prstGeom prst="rect">
          <a:avLst/>
        </a:prstGeom>
        <a:solidFill>
          <a:srgbClr val="F2F2F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800">
              <a:solidFill>
                <a:srgbClr val="FA7D00"/>
              </a:solidFill>
            </a:rPr>
            <a:t>xxx</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3</xdr:row>
      <xdr:rowOff>19050</xdr:rowOff>
    </xdr:from>
    <xdr:to>
      <xdr:col>18</xdr:col>
      <xdr:colOff>600581</xdr:colOff>
      <xdr:row>32</xdr:row>
      <xdr:rowOff>111750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0.70052</cdr:x>
      <cdr:y>0.63955</cdr:y>
    </cdr:from>
    <cdr:to>
      <cdr:x>0.94499</cdr:x>
      <cdr:y>0.81154</cdr:y>
    </cdr:to>
    <cdr:sp macro="" textlink="">
      <cdr:nvSpPr>
        <cdr:cNvPr id="2" name="TextBox 1">
          <a:extLst xmlns:a="http://schemas.openxmlformats.org/drawingml/2006/main">
            <a:ext uri="{FF2B5EF4-FFF2-40B4-BE49-F238E27FC236}">
              <a16:creationId xmlns:a16="http://schemas.microsoft.com/office/drawing/2014/main" id="{1D3DFFF2-5CAE-443F-A053-B7D0989D5229}"/>
            </a:ext>
          </a:extLst>
        </cdr:cNvPr>
        <cdr:cNvSpPr txBox="1"/>
      </cdr:nvSpPr>
      <cdr:spPr>
        <a:xfrm xmlns:a="http://schemas.openxmlformats.org/drawingml/2006/main">
          <a:off x="5965543" y="3592460"/>
          <a:ext cx="2081893" cy="96610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b="0"/>
        </a:p>
      </cdr:txBody>
    </cdr:sp>
  </cdr:relSizeAnchor>
  <cdr:relSizeAnchor xmlns:cdr="http://schemas.openxmlformats.org/drawingml/2006/chartDrawing">
    <cdr:from>
      <cdr:x>0.44261</cdr:x>
      <cdr:y>0.24951</cdr:y>
    </cdr:from>
    <cdr:to>
      <cdr:x>0.59121</cdr:x>
      <cdr:y>0.28342</cdr:y>
    </cdr:to>
    <cdr:sp macro="" textlink="">
      <cdr:nvSpPr>
        <cdr:cNvPr id="3" name="TextBox 4">
          <a:extLst xmlns:a="http://schemas.openxmlformats.org/drawingml/2006/main">
            <a:ext uri="{FF2B5EF4-FFF2-40B4-BE49-F238E27FC236}">
              <a16:creationId xmlns:a16="http://schemas.microsoft.com/office/drawing/2014/main" id="{1D37697E-AB16-427E-BD73-782F93BC3E7E}"/>
            </a:ext>
          </a:extLst>
        </cdr:cNvPr>
        <cdr:cNvSpPr txBox="1"/>
      </cdr:nvSpPr>
      <cdr:spPr>
        <a:xfrm xmlns:a="http://schemas.openxmlformats.org/drawingml/2006/main">
          <a:off x="4848463" y="1401548"/>
          <a:ext cx="1627803" cy="190479"/>
        </a:xfrm>
        <a:prstGeom xmlns:a="http://schemas.openxmlformats.org/drawingml/2006/main" prst="rect">
          <a:avLst/>
        </a:prstGeom>
        <a:noFill xmlns:a="http://schemas.openxmlformats.org/drawingml/2006/main"/>
        <a:ln xmlns:a="http://schemas.openxmlformats.org/drawingml/2006/main" w="9525" cmpd="sng">
          <a:noFill/>
        </a:ln>
        <a:effectLst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ysClr val="windowText" lastClr="000000"/>
              </a:solidFill>
              <a:latin typeface="Calibri"/>
            </a:defRPr>
          </a:lvl1pPr>
          <a:lvl2pPr marL="457200" indent="0">
            <a:defRPr sz="1100">
              <a:solidFill>
                <a:sysClr val="windowText" lastClr="000000"/>
              </a:solidFill>
              <a:latin typeface="Calibri"/>
            </a:defRPr>
          </a:lvl2pPr>
          <a:lvl3pPr marL="914400" indent="0">
            <a:defRPr sz="1100">
              <a:solidFill>
                <a:sysClr val="windowText" lastClr="000000"/>
              </a:solidFill>
              <a:latin typeface="Calibri"/>
            </a:defRPr>
          </a:lvl3pPr>
          <a:lvl4pPr marL="1371600" indent="0">
            <a:defRPr sz="1100">
              <a:solidFill>
                <a:sysClr val="windowText" lastClr="000000"/>
              </a:solidFill>
              <a:latin typeface="Calibri"/>
            </a:defRPr>
          </a:lvl4pPr>
          <a:lvl5pPr marL="1828800" indent="0">
            <a:defRPr sz="1100">
              <a:solidFill>
                <a:sysClr val="windowText" lastClr="000000"/>
              </a:solidFill>
              <a:latin typeface="Calibri"/>
            </a:defRPr>
          </a:lvl5pPr>
          <a:lvl6pPr marL="2286000" indent="0">
            <a:defRPr sz="1100">
              <a:solidFill>
                <a:sysClr val="windowText" lastClr="000000"/>
              </a:solidFill>
              <a:latin typeface="Calibri"/>
            </a:defRPr>
          </a:lvl6pPr>
          <a:lvl7pPr marL="2743200" indent="0">
            <a:defRPr sz="1100">
              <a:solidFill>
                <a:sysClr val="windowText" lastClr="000000"/>
              </a:solidFill>
              <a:latin typeface="Calibri"/>
            </a:defRPr>
          </a:lvl7pPr>
          <a:lvl8pPr marL="3200400" indent="0">
            <a:defRPr sz="1100">
              <a:solidFill>
                <a:sysClr val="windowText" lastClr="000000"/>
              </a:solidFill>
              <a:latin typeface="Calibri"/>
            </a:defRPr>
          </a:lvl8pPr>
          <a:lvl9pPr marL="3657600" indent="0">
            <a:defRPr sz="1100">
              <a:solidFill>
                <a:sysClr val="windowText" lastClr="000000"/>
              </a:solidFill>
              <a:latin typeface="Calibri"/>
            </a:defRPr>
          </a:lvl9pPr>
        </a:lstStyle>
        <a:p xmlns:a="http://schemas.openxmlformats.org/drawingml/2006/main">
          <a:pPr algn="ctr"/>
          <a:r>
            <a:rPr lang="en-GB" sz="1100" b="1"/>
            <a:t>Normal Category</a:t>
          </a:r>
        </a:p>
      </cdr:txBody>
    </cdr:sp>
  </cdr:relSizeAnchor>
  <cdr:relSizeAnchor xmlns:cdr="http://schemas.openxmlformats.org/drawingml/2006/chartDrawing">
    <cdr:from>
      <cdr:x>0.09747</cdr:x>
      <cdr:y>0.57896</cdr:y>
    </cdr:from>
    <cdr:to>
      <cdr:x>0.16364</cdr:x>
      <cdr:y>0.68799</cdr:y>
    </cdr:to>
    <cdr:sp macro="" textlink="">
      <cdr:nvSpPr>
        <cdr:cNvPr id="7" name="TextBox 4">
          <a:extLst xmlns:a="http://schemas.openxmlformats.org/drawingml/2006/main">
            <a:ext uri="{FF2B5EF4-FFF2-40B4-BE49-F238E27FC236}">
              <a16:creationId xmlns:a16="http://schemas.microsoft.com/office/drawing/2014/main" id="{76CD4812-1E5D-4EA4-8A49-7EF5D28E677D}"/>
            </a:ext>
          </a:extLst>
        </cdr:cNvPr>
        <cdr:cNvSpPr txBox="1"/>
      </cdr:nvSpPr>
      <cdr:spPr>
        <a:xfrm xmlns:a="http://schemas.openxmlformats.org/drawingml/2006/main">
          <a:off x="1067711" y="3252134"/>
          <a:ext cx="724843" cy="612443"/>
        </a:xfrm>
        <a:prstGeom xmlns:a="http://schemas.openxmlformats.org/drawingml/2006/main" prst="rect">
          <a:avLst/>
        </a:prstGeom>
        <a:noFill xmlns:a="http://schemas.openxmlformats.org/drawingml/2006/main"/>
        <a:ln xmlns:a="http://schemas.openxmlformats.org/drawingml/2006/main" w="9525" cmpd="sng">
          <a:noFill/>
        </a:ln>
        <a:effectLst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ysClr val="windowText" lastClr="000000"/>
              </a:solidFill>
              <a:latin typeface="Calibri"/>
            </a:defRPr>
          </a:lvl1pPr>
          <a:lvl2pPr marL="457200" indent="0">
            <a:defRPr sz="1100">
              <a:solidFill>
                <a:sysClr val="windowText" lastClr="000000"/>
              </a:solidFill>
              <a:latin typeface="Calibri"/>
            </a:defRPr>
          </a:lvl2pPr>
          <a:lvl3pPr marL="914400" indent="0">
            <a:defRPr sz="1100">
              <a:solidFill>
                <a:sysClr val="windowText" lastClr="000000"/>
              </a:solidFill>
              <a:latin typeface="Calibri"/>
            </a:defRPr>
          </a:lvl3pPr>
          <a:lvl4pPr marL="1371600" indent="0">
            <a:defRPr sz="1100">
              <a:solidFill>
                <a:sysClr val="windowText" lastClr="000000"/>
              </a:solidFill>
              <a:latin typeface="Calibri"/>
            </a:defRPr>
          </a:lvl4pPr>
          <a:lvl5pPr marL="1828800" indent="0">
            <a:defRPr sz="1100">
              <a:solidFill>
                <a:sysClr val="windowText" lastClr="000000"/>
              </a:solidFill>
              <a:latin typeface="Calibri"/>
            </a:defRPr>
          </a:lvl5pPr>
          <a:lvl6pPr marL="2286000" indent="0">
            <a:defRPr sz="1100">
              <a:solidFill>
                <a:sysClr val="windowText" lastClr="000000"/>
              </a:solidFill>
              <a:latin typeface="Calibri"/>
            </a:defRPr>
          </a:lvl6pPr>
          <a:lvl7pPr marL="2743200" indent="0">
            <a:defRPr sz="1100">
              <a:solidFill>
                <a:sysClr val="windowText" lastClr="000000"/>
              </a:solidFill>
              <a:latin typeface="Calibri"/>
            </a:defRPr>
          </a:lvl7pPr>
          <a:lvl8pPr marL="3200400" indent="0">
            <a:defRPr sz="1100">
              <a:solidFill>
                <a:sysClr val="windowText" lastClr="000000"/>
              </a:solidFill>
              <a:latin typeface="Calibri"/>
            </a:defRPr>
          </a:lvl8pPr>
          <a:lvl9pPr marL="3657600" indent="0">
            <a:defRPr sz="1100">
              <a:solidFill>
                <a:sysClr val="windowText" lastClr="000000"/>
              </a:solidFill>
              <a:latin typeface="Calibri"/>
            </a:defRPr>
          </a:lvl9pPr>
        </a:lstStyle>
        <a:p xmlns:a="http://schemas.openxmlformats.org/drawingml/2006/main">
          <a:pPr algn="ctr"/>
          <a:r>
            <a:rPr lang="en-GB" sz="1100" b="1"/>
            <a:t>FWD Li</a:t>
          </a:r>
          <a:r>
            <a:rPr lang="en-GB" sz="1100" b="1" baseline="0"/>
            <a:t>mit</a:t>
          </a:r>
          <a:endParaRPr lang="en-GB" sz="1100" b="1"/>
        </a:p>
      </cdr:txBody>
    </cdr:sp>
  </cdr:relSizeAnchor>
  <cdr:relSizeAnchor xmlns:cdr="http://schemas.openxmlformats.org/drawingml/2006/chartDrawing">
    <cdr:from>
      <cdr:x>0.60399</cdr:x>
      <cdr:y>0.57653</cdr:y>
    </cdr:from>
    <cdr:to>
      <cdr:x>0.67016</cdr:x>
      <cdr:y>0.68557</cdr:y>
    </cdr:to>
    <cdr:sp macro="" textlink="">
      <cdr:nvSpPr>
        <cdr:cNvPr id="12" name="TextBox 4">
          <a:extLst xmlns:a="http://schemas.openxmlformats.org/drawingml/2006/main">
            <a:ext uri="{FF2B5EF4-FFF2-40B4-BE49-F238E27FC236}">
              <a16:creationId xmlns:a16="http://schemas.microsoft.com/office/drawing/2014/main" id="{BA33E284-9961-40BC-B264-CC1F3C53F695}"/>
            </a:ext>
          </a:extLst>
        </cdr:cNvPr>
        <cdr:cNvSpPr txBox="1"/>
      </cdr:nvSpPr>
      <cdr:spPr>
        <a:xfrm xmlns:a="http://schemas.openxmlformats.org/drawingml/2006/main">
          <a:off x="5143500" y="3238501"/>
          <a:ext cx="563507" cy="612494"/>
        </a:xfrm>
        <a:prstGeom xmlns:a="http://schemas.openxmlformats.org/drawingml/2006/main" prst="rect">
          <a:avLst/>
        </a:prstGeom>
        <a:noFill xmlns:a="http://schemas.openxmlformats.org/drawingml/2006/main"/>
        <a:ln xmlns:a="http://schemas.openxmlformats.org/drawingml/2006/main" w="9525" cmpd="sng">
          <a:noFill/>
        </a:ln>
        <a:effectLst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ysClr val="windowText" lastClr="000000"/>
              </a:solidFill>
              <a:latin typeface="Calibri"/>
            </a:defRPr>
          </a:lvl1pPr>
          <a:lvl2pPr marL="457200" indent="0">
            <a:defRPr sz="1100">
              <a:solidFill>
                <a:sysClr val="windowText" lastClr="000000"/>
              </a:solidFill>
              <a:latin typeface="Calibri"/>
            </a:defRPr>
          </a:lvl2pPr>
          <a:lvl3pPr marL="914400" indent="0">
            <a:defRPr sz="1100">
              <a:solidFill>
                <a:sysClr val="windowText" lastClr="000000"/>
              </a:solidFill>
              <a:latin typeface="Calibri"/>
            </a:defRPr>
          </a:lvl3pPr>
          <a:lvl4pPr marL="1371600" indent="0">
            <a:defRPr sz="1100">
              <a:solidFill>
                <a:sysClr val="windowText" lastClr="000000"/>
              </a:solidFill>
              <a:latin typeface="Calibri"/>
            </a:defRPr>
          </a:lvl4pPr>
          <a:lvl5pPr marL="1828800" indent="0">
            <a:defRPr sz="1100">
              <a:solidFill>
                <a:sysClr val="windowText" lastClr="000000"/>
              </a:solidFill>
              <a:latin typeface="Calibri"/>
            </a:defRPr>
          </a:lvl5pPr>
          <a:lvl6pPr marL="2286000" indent="0">
            <a:defRPr sz="1100">
              <a:solidFill>
                <a:sysClr val="windowText" lastClr="000000"/>
              </a:solidFill>
              <a:latin typeface="Calibri"/>
            </a:defRPr>
          </a:lvl6pPr>
          <a:lvl7pPr marL="2743200" indent="0">
            <a:defRPr sz="1100">
              <a:solidFill>
                <a:sysClr val="windowText" lastClr="000000"/>
              </a:solidFill>
              <a:latin typeface="Calibri"/>
            </a:defRPr>
          </a:lvl7pPr>
          <a:lvl8pPr marL="3200400" indent="0">
            <a:defRPr sz="1100">
              <a:solidFill>
                <a:sysClr val="windowText" lastClr="000000"/>
              </a:solidFill>
              <a:latin typeface="Calibri"/>
            </a:defRPr>
          </a:lvl8pPr>
          <a:lvl9pPr marL="3657600" indent="0">
            <a:defRPr sz="1100">
              <a:solidFill>
                <a:sysClr val="windowText" lastClr="000000"/>
              </a:solidFill>
              <a:latin typeface="Calibri"/>
            </a:defRPr>
          </a:lvl9pPr>
        </a:lstStyle>
        <a:p xmlns:a="http://schemas.openxmlformats.org/drawingml/2006/main">
          <a:pPr algn="ctr"/>
          <a:endParaRPr lang="en-GB" sz="1100"/>
        </a:p>
      </cdr:txBody>
    </cdr:sp>
  </cdr:relSizeAnchor>
  <cdr:relSizeAnchor xmlns:cdr="http://schemas.openxmlformats.org/drawingml/2006/chartDrawing">
    <cdr:from>
      <cdr:x>0.70052</cdr:x>
      <cdr:y>0.63955</cdr:y>
    </cdr:from>
    <cdr:to>
      <cdr:x>0.94499</cdr:x>
      <cdr:y>0.81154</cdr:y>
    </cdr:to>
    <cdr:sp macro="" textlink="">
      <cdr:nvSpPr>
        <cdr:cNvPr id="18" name="TextBox 1">
          <a:extLst xmlns:a="http://schemas.openxmlformats.org/drawingml/2006/main">
            <a:ext uri="{FF2B5EF4-FFF2-40B4-BE49-F238E27FC236}">
              <a16:creationId xmlns:a16="http://schemas.microsoft.com/office/drawing/2014/main" id="{B9BE0F4E-11C2-4A8E-90EF-88C9E4A15AA0}"/>
            </a:ext>
          </a:extLst>
        </cdr:cNvPr>
        <cdr:cNvSpPr txBox="1"/>
      </cdr:nvSpPr>
      <cdr:spPr>
        <a:xfrm xmlns:a="http://schemas.openxmlformats.org/drawingml/2006/main">
          <a:off x="5965543" y="3592460"/>
          <a:ext cx="2081893" cy="96610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b="0"/>
        </a:p>
      </cdr:txBody>
    </cdr:sp>
  </cdr:relSizeAnchor>
  <cdr:relSizeAnchor xmlns:cdr="http://schemas.openxmlformats.org/drawingml/2006/chartDrawing">
    <cdr:from>
      <cdr:x>0.70833</cdr:x>
      <cdr:y>0.57992</cdr:y>
    </cdr:from>
    <cdr:to>
      <cdr:x>0.7745</cdr:x>
      <cdr:y>0.68896</cdr:y>
    </cdr:to>
    <cdr:sp macro="" textlink="">
      <cdr:nvSpPr>
        <cdr:cNvPr id="28" name="TextBox 4">
          <a:extLst xmlns:a="http://schemas.openxmlformats.org/drawingml/2006/main">
            <a:ext uri="{FF2B5EF4-FFF2-40B4-BE49-F238E27FC236}">
              <a16:creationId xmlns:a16="http://schemas.microsoft.com/office/drawing/2014/main" id="{CC047A78-90BC-492B-915C-D9CE0D48FBB8}"/>
            </a:ext>
          </a:extLst>
        </cdr:cNvPr>
        <cdr:cNvSpPr txBox="1"/>
      </cdr:nvSpPr>
      <cdr:spPr>
        <a:xfrm xmlns:a="http://schemas.openxmlformats.org/drawingml/2006/main">
          <a:off x="7759261" y="3257534"/>
          <a:ext cx="724843" cy="612500"/>
        </a:xfrm>
        <a:prstGeom xmlns:a="http://schemas.openxmlformats.org/drawingml/2006/main" prst="rect">
          <a:avLst/>
        </a:prstGeom>
        <a:noFill xmlns:a="http://schemas.openxmlformats.org/drawingml/2006/main"/>
        <a:ln xmlns:a="http://schemas.openxmlformats.org/drawingml/2006/main" w="9525" cmpd="sng">
          <a:noFill/>
        </a:ln>
        <a:effectLst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ysClr val="windowText" lastClr="000000"/>
              </a:solidFill>
              <a:latin typeface="Calibri"/>
            </a:defRPr>
          </a:lvl1pPr>
          <a:lvl2pPr marL="457200" indent="0">
            <a:defRPr sz="1100">
              <a:solidFill>
                <a:sysClr val="windowText" lastClr="000000"/>
              </a:solidFill>
              <a:latin typeface="Calibri"/>
            </a:defRPr>
          </a:lvl2pPr>
          <a:lvl3pPr marL="914400" indent="0">
            <a:defRPr sz="1100">
              <a:solidFill>
                <a:sysClr val="windowText" lastClr="000000"/>
              </a:solidFill>
              <a:latin typeface="Calibri"/>
            </a:defRPr>
          </a:lvl3pPr>
          <a:lvl4pPr marL="1371600" indent="0">
            <a:defRPr sz="1100">
              <a:solidFill>
                <a:sysClr val="windowText" lastClr="000000"/>
              </a:solidFill>
              <a:latin typeface="Calibri"/>
            </a:defRPr>
          </a:lvl4pPr>
          <a:lvl5pPr marL="1828800" indent="0">
            <a:defRPr sz="1100">
              <a:solidFill>
                <a:sysClr val="windowText" lastClr="000000"/>
              </a:solidFill>
              <a:latin typeface="Calibri"/>
            </a:defRPr>
          </a:lvl5pPr>
          <a:lvl6pPr marL="2286000" indent="0">
            <a:defRPr sz="1100">
              <a:solidFill>
                <a:sysClr val="windowText" lastClr="000000"/>
              </a:solidFill>
              <a:latin typeface="Calibri"/>
            </a:defRPr>
          </a:lvl6pPr>
          <a:lvl7pPr marL="2743200" indent="0">
            <a:defRPr sz="1100">
              <a:solidFill>
                <a:sysClr val="windowText" lastClr="000000"/>
              </a:solidFill>
              <a:latin typeface="Calibri"/>
            </a:defRPr>
          </a:lvl7pPr>
          <a:lvl8pPr marL="3200400" indent="0">
            <a:defRPr sz="1100">
              <a:solidFill>
                <a:sysClr val="windowText" lastClr="000000"/>
              </a:solidFill>
              <a:latin typeface="Calibri"/>
            </a:defRPr>
          </a:lvl8pPr>
          <a:lvl9pPr marL="3657600" indent="0">
            <a:defRPr sz="1100">
              <a:solidFill>
                <a:sysClr val="windowText" lastClr="000000"/>
              </a:solidFill>
              <a:latin typeface="Calibri"/>
            </a:defRPr>
          </a:lvl9pPr>
        </a:lstStyle>
        <a:p xmlns:a="http://schemas.openxmlformats.org/drawingml/2006/main">
          <a:pPr algn="ctr"/>
          <a:r>
            <a:rPr lang="en-GB" sz="1100" b="1"/>
            <a:t>Aft </a:t>
          </a:r>
          <a:r>
            <a:rPr lang="en-GB" sz="1100" b="1" baseline="0"/>
            <a:t> Limit</a:t>
          </a:r>
          <a:endParaRPr lang="en-GB" sz="1100" b="1"/>
        </a:p>
      </cdr:txBody>
    </cdr:sp>
  </cdr:relSizeAnchor>
  <cdr:relSizeAnchor xmlns:cdr="http://schemas.openxmlformats.org/drawingml/2006/chartDrawing">
    <cdr:from>
      <cdr:x>0.80431</cdr:x>
      <cdr:y>0.63927</cdr:y>
    </cdr:from>
    <cdr:to>
      <cdr:x>0.98166</cdr:x>
      <cdr:y>0.81126</cdr:y>
    </cdr:to>
    <cdr:sp macro="" textlink="">
      <cdr:nvSpPr>
        <cdr:cNvPr id="30" name="TextBox 1">
          <a:extLst xmlns:a="http://schemas.openxmlformats.org/drawingml/2006/main">
            <a:ext uri="{FF2B5EF4-FFF2-40B4-BE49-F238E27FC236}">
              <a16:creationId xmlns:a16="http://schemas.microsoft.com/office/drawing/2014/main" id="{061D7093-017E-4DDB-8ADF-40F9B3FDDA50}"/>
            </a:ext>
          </a:extLst>
        </cdr:cNvPr>
        <cdr:cNvSpPr txBox="1"/>
      </cdr:nvSpPr>
      <cdr:spPr>
        <a:xfrm xmlns:a="http://schemas.openxmlformats.org/drawingml/2006/main">
          <a:off x="8810625" y="3590925"/>
          <a:ext cx="1942737" cy="96610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r>
            <a:rPr lang="en-GB" sz="1100" b="1"/>
            <a:t>NOTE:</a:t>
          </a:r>
        </a:p>
        <a:p xmlns:a="http://schemas.openxmlformats.org/drawingml/2006/main">
          <a:r>
            <a:rPr lang="en-GB" sz="1100" b="0"/>
            <a:t>C152  is only handled in the Normal category. Please see POH/FM for</a:t>
          </a:r>
          <a:r>
            <a:rPr lang="en-GB" sz="1100" b="0" baseline="0"/>
            <a:t> handling conditions.</a:t>
          </a:r>
          <a:endParaRPr lang="en-GB" sz="1100" b="0"/>
        </a:p>
      </cdr:txBody>
    </cdr:sp>
  </cdr:relSizeAnchor>
</c:userShapes>
</file>

<file path=xl/drawings/drawing4.xml><?xml version="1.0" encoding="utf-8"?>
<xdr:wsDr xmlns:xdr="http://schemas.openxmlformats.org/drawingml/2006/spreadsheetDrawing" xmlns:a="http://schemas.openxmlformats.org/drawingml/2006/main">
  <xdr:twoCellAnchor>
    <xdr:from>
      <xdr:col>1</xdr:col>
      <xdr:colOff>0</xdr:colOff>
      <xdr:row>3</xdr:row>
      <xdr:rowOff>0</xdr:rowOff>
    </xdr:from>
    <xdr:to>
      <xdr:col>18</xdr:col>
      <xdr:colOff>591600</xdr:colOff>
      <xdr:row>32</xdr:row>
      <xdr:rowOff>92700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0.70052</cdr:x>
      <cdr:y>0.63955</cdr:y>
    </cdr:from>
    <cdr:to>
      <cdr:x>0.94499</cdr:x>
      <cdr:y>0.81154</cdr:y>
    </cdr:to>
    <cdr:sp macro="" textlink="">
      <cdr:nvSpPr>
        <cdr:cNvPr id="2" name="TextBox 1">
          <a:extLst xmlns:a="http://schemas.openxmlformats.org/drawingml/2006/main">
            <a:ext uri="{FF2B5EF4-FFF2-40B4-BE49-F238E27FC236}">
              <a16:creationId xmlns:a16="http://schemas.microsoft.com/office/drawing/2014/main" id="{9351ED8A-59F8-44D1-9FBA-D7117CB4C223}"/>
            </a:ext>
          </a:extLst>
        </cdr:cNvPr>
        <cdr:cNvSpPr txBox="1"/>
      </cdr:nvSpPr>
      <cdr:spPr>
        <a:xfrm xmlns:a="http://schemas.openxmlformats.org/drawingml/2006/main">
          <a:off x="5965543" y="3592460"/>
          <a:ext cx="2081893" cy="96610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b="0"/>
        </a:p>
      </cdr:txBody>
    </cdr:sp>
  </cdr:relSizeAnchor>
  <cdr:relSizeAnchor xmlns:cdr="http://schemas.openxmlformats.org/drawingml/2006/chartDrawing">
    <cdr:from>
      <cdr:x>0.44261</cdr:x>
      <cdr:y>0.24951</cdr:y>
    </cdr:from>
    <cdr:to>
      <cdr:x>0.59121</cdr:x>
      <cdr:y>0.28342</cdr:y>
    </cdr:to>
    <cdr:sp macro="" textlink="">
      <cdr:nvSpPr>
        <cdr:cNvPr id="3" name="TextBox 4">
          <a:extLst xmlns:a="http://schemas.openxmlformats.org/drawingml/2006/main">
            <a:ext uri="{FF2B5EF4-FFF2-40B4-BE49-F238E27FC236}">
              <a16:creationId xmlns:a16="http://schemas.microsoft.com/office/drawing/2014/main" id="{9B130C71-2DFB-40A1-B24D-708CA771B46D}"/>
            </a:ext>
          </a:extLst>
        </cdr:cNvPr>
        <cdr:cNvSpPr txBox="1"/>
      </cdr:nvSpPr>
      <cdr:spPr>
        <a:xfrm xmlns:a="http://schemas.openxmlformats.org/drawingml/2006/main">
          <a:off x="4848704" y="1401548"/>
          <a:ext cx="1627883" cy="190479"/>
        </a:xfrm>
        <a:prstGeom xmlns:a="http://schemas.openxmlformats.org/drawingml/2006/main" prst="rect">
          <a:avLst/>
        </a:prstGeom>
        <a:noFill xmlns:a="http://schemas.openxmlformats.org/drawingml/2006/main"/>
        <a:ln xmlns:a="http://schemas.openxmlformats.org/drawingml/2006/main" w="9525" cmpd="sng">
          <a:noFill/>
        </a:ln>
        <a:effectLst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ysClr val="windowText" lastClr="000000"/>
              </a:solidFill>
              <a:latin typeface="Calibri"/>
            </a:defRPr>
          </a:lvl1pPr>
          <a:lvl2pPr marL="457200" indent="0">
            <a:defRPr sz="1100">
              <a:solidFill>
                <a:sysClr val="windowText" lastClr="000000"/>
              </a:solidFill>
              <a:latin typeface="Calibri"/>
            </a:defRPr>
          </a:lvl2pPr>
          <a:lvl3pPr marL="914400" indent="0">
            <a:defRPr sz="1100">
              <a:solidFill>
                <a:sysClr val="windowText" lastClr="000000"/>
              </a:solidFill>
              <a:latin typeface="Calibri"/>
            </a:defRPr>
          </a:lvl3pPr>
          <a:lvl4pPr marL="1371600" indent="0">
            <a:defRPr sz="1100">
              <a:solidFill>
                <a:sysClr val="windowText" lastClr="000000"/>
              </a:solidFill>
              <a:latin typeface="Calibri"/>
            </a:defRPr>
          </a:lvl4pPr>
          <a:lvl5pPr marL="1828800" indent="0">
            <a:defRPr sz="1100">
              <a:solidFill>
                <a:sysClr val="windowText" lastClr="000000"/>
              </a:solidFill>
              <a:latin typeface="Calibri"/>
            </a:defRPr>
          </a:lvl5pPr>
          <a:lvl6pPr marL="2286000" indent="0">
            <a:defRPr sz="1100">
              <a:solidFill>
                <a:sysClr val="windowText" lastClr="000000"/>
              </a:solidFill>
              <a:latin typeface="Calibri"/>
            </a:defRPr>
          </a:lvl6pPr>
          <a:lvl7pPr marL="2743200" indent="0">
            <a:defRPr sz="1100">
              <a:solidFill>
                <a:sysClr val="windowText" lastClr="000000"/>
              </a:solidFill>
              <a:latin typeface="Calibri"/>
            </a:defRPr>
          </a:lvl7pPr>
          <a:lvl8pPr marL="3200400" indent="0">
            <a:defRPr sz="1100">
              <a:solidFill>
                <a:sysClr val="windowText" lastClr="000000"/>
              </a:solidFill>
              <a:latin typeface="Calibri"/>
            </a:defRPr>
          </a:lvl8pPr>
          <a:lvl9pPr marL="3657600" indent="0">
            <a:defRPr sz="1100">
              <a:solidFill>
                <a:sysClr val="windowText" lastClr="000000"/>
              </a:solidFill>
              <a:latin typeface="Calibri"/>
            </a:defRPr>
          </a:lvl9pPr>
        </a:lstStyle>
        <a:p xmlns:a="http://schemas.openxmlformats.org/drawingml/2006/main">
          <a:pPr algn="ctr"/>
          <a:r>
            <a:rPr lang="en-GB" sz="1100" b="1"/>
            <a:t>Normal Category</a:t>
          </a:r>
        </a:p>
      </cdr:txBody>
    </cdr:sp>
  </cdr:relSizeAnchor>
  <cdr:relSizeAnchor xmlns:cdr="http://schemas.openxmlformats.org/drawingml/2006/chartDrawing">
    <cdr:from>
      <cdr:x>0.71268</cdr:x>
      <cdr:y>0.56127</cdr:y>
    </cdr:from>
    <cdr:to>
      <cdr:x>0.77885</cdr:x>
      <cdr:y>0.67031</cdr:y>
    </cdr:to>
    <cdr:sp macro="" textlink="">
      <cdr:nvSpPr>
        <cdr:cNvPr id="4" name="TextBox 4">
          <a:extLst xmlns:a="http://schemas.openxmlformats.org/drawingml/2006/main">
            <a:ext uri="{FF2B5EF4-FFF2-40B4-BE49-F238E27FC236}">
              <a16:creationId xmlns:a16="http://schemas.microsoft.com/office/drawing/2014/main" id="{725583AC-1D1B-4E59-BA90-44604D1F5BAE}"/>
            </a:ext>
          </a:extLst>
        </cdr:cNvPr>
        <cdr:cNvSpPr txBox="1"/>
      </cdr:nvSpPr>
      <cdr:spPr>
        <a:xfrm xmlns:a="http://schemas.openxmlformats.org/drawingml/2006/main">
          <a:off x="7807215" y="3152759"/>
          <a:ext cx="724879" cy="612500"/>
        </a:xfrm>
        <a:prstGeom xmlns:a="http://schemas.openxmlformats.org/drawingml/2006/main" prst="rect">
          <a:avLst/>
        </a:prstGeom>
        <a:noFill xmlns:a="http://schemas.openxmlformats.org/drawingml/2006/main"/>
        <a:ln xmlns:a="http://schemas.openxmlformats.org/drawingml/2006/main" w="9525" cmpd="sng">
          <a:noFill/>
        </a:ln>
        <a:effectLst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ysClr val="windowText" lastClr="000000"/>
              </a:solidFill>
              <a:latin typeface="Calibri"/>
            </a:defRPr>
          </a:lvl1pPr>
          <a:lvl2pPr marL="457200" indent="0">
            <a:defRPr sz="1100">
              <a:solidFill>
                <a:sysClr val="windowText" lastClr="000000"/>
              </a:solidFill>
              <a:latin typeface="Calibri"/>
            </a:defRPr>
          </a:lvl2pPr>
          <a:lvl3pPr marL="914400" indent="0">
            <a:defRPr sz="1100">
              <a:solidFill>
                <a:sysClr val="windowText" lastClr="000000"/>
              </a:solidFill>
              <a:latin typeface="Calibri"/>
            </a:defRPr>
          </a:lvl3pPr>
          <a:lvl4pPr marL="1371600" indent="0">
            <a:defRPr sz="1100">
              <a:solidFill>
                <a:sysClr val="windowText" lastClr="000000"/>
              </a:solidFill>
              <a:latin typeface="Calibri"/>
            </a:defRPr>
          </a:lvl4pPr>
          <a:lvl5pPr marL="1828800" indent="0">
            <a:defRPr sz="1100">
              <a:solidFill>
                <a:sysClr val="windowText" lastClr="000000"/>
              </a:solidFill>
              <a:latin typeface="Calibri"/>
            </a:defRPr>
          </a:lvl5pPr>
          <a:lvl6pPr marL="2286000" indent="0">
            <a:defRPr sz="1100">
              <a:solidFill>
                <a:sysClr val="windowText" lastClr="000000"/>
              </a:solidFill>
              <a:latin typeface="Calibri"/>
            </a:defRPr>
          </a:lvl6pPr>
          <a:lvl7pPr marL="2743200" indent="0">
            <a:defRPr sz="1100">
              <a:solidFill>
                <a:sysClr val="windowText" lastClr="000000"/>
              </a:solidFill>
              <a:latin typeface="Calibri"/>
            </a:defRPr>
          </a:lvl7pPr>
          <a:lvl8pPr marL="3200400" indent="0">
            <a:defRPr sz="1100">
              <a:solidFill>
                <a:sysClr val="windowText" lastClr="000000"/>
              </a:solidFill>
              <a:latin typeface="Calibri"/>
            </a:defRPr>
          </a:lvl8pPr>
          <a:lvl9pPr marL="3657600" indent="0">
            <a:defRPr sz="1100">
              <a:solidFill>
                <a:sysClr val="windowText" lastClr="000000"/>
              </a:solidFill>
              <a:latin typeface="Calibri"/>
            </a:defRPr>
          </a:lvl9pPr>
        </a:lstStyle>
        <a:p xmlns:a="http://schemas.openxmlformats.org/drawingml/2006/main">
          <a:pPr algn="ctr"/>
          <a:r>
            <a:rPr lang="en-GB" sz="1100" b="1"/>
            <a:t>Aft </a:t>
          </a:r>
          <a:r>
            <a:rPr lang="en-GB" sz="1100" b="1" baseline="0"/>
            <a:t> Limit</a:t>
          </a:r>
          <a:endParaRPr lang="en-GB" sz="1100" b="1"/>
        </a:p>
      </cdr:txBody>
    </cdr:sp>
  </cdr:relSizeAnchor>
  <cdr:relSizeAnchor xmlns:cdr="http://schemas.openxmlformats.org/drawingml/2006/chartDrawing">
    <cdr:from>
      <cdr:x>0.06617</cdr:x>
      <cdr:y>0.57557</cdr:y>
    </cdr:from>
    <cdr:to>
      <cdr:x>0.13234</cdr:x>
      <cdr:y>0.6846</cdr:y>
    </cdr:to>
    <cdr:sp macro="" textlink="">
      <cdr:nvSpPr>
        <cdr:cNvPr id="7" name="TextBox 4">
          <a:extLst xmlns:a="http://schemas.openxmlformats.org/drawingml/2006/main">
            <a:ext uri="{FF2B5EF4-FFF2-40B4-BE49-F238E27FC236}">
              <a16:creationId xmlns:a16="http://schemas.microsoft.com/office/drawing/2014/main" id="{30E44850-390B-4EA4-B6CC-17A7D6046E58}"/>
            </a:ext>
          </a:extLst>
        </cdr:cNvPr>
        <cdr:cNvSpPr txBox="1"/>
      </cdr:nvSpPr>
      <cdr:spPr>
        <a:xfrm xmlns:a="http://schemas.openxmlformats.org/drawingml/2006/main">
          <a:off x="724864" y="3233084"/>
          <a:ext cx="724879" cy="612443"/>
        </a:xfrm>
        <a:prstGeom xmlns:a="http://schemas.openxmlformats.org/drawingml/2006/main" prst="rect">
          <a:avLst/>
        </a:prstGeom>
        <a:noFill xmlns:a="http://schemas.openxmlformats.org/drawingml/2006/main"/>
        <a:ln xmlns:a="http://schemas.openxmlformats.org/drawingml/2006/main" w="9525" cmpd="sng">
          <a:noFill/>
        </a:ln>
        <a:effectLst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ysClr val="windowText" lastClr="000000"/>
              </a:solidFill>
              <a:latin typeface="Calibri"/>
            </a:defRPr>
          </a:lvl1pPr>
          <a:lvl2pPr marL="457200" indent="0">
            <a:defRPr sz="1100">
              <a:solidFill>
                <a:sysClr val="windowText" lastClr="000000"/>
              </a:solidFill>
              <a:latin typeface="Calibri"/>
            </a:defRPr>
          </a:lvl2pPr>
          <a:lvl3pPr marL="914400" indent="0">
            <a:defRPr sz="1100">
              <a:solidFill>
                <a:sysClr val="windowText" lastClr="000000"/>
              </a:solidFill>
              <a:latin typeface="Calibri"/>
            </a:defRPr>
          </a:lvl3pPr>
          <a:lvl4pPr marL="1371600" indent="0">
            <a:defRPr sz="1100">
              <a:solidFill>
                <a:sysClr val="windowText" lastClr="000000"/>
              </a:solidFill>
              <a:latin typeface="Calibri"/>
            </a:defRPr>
          </a:lvl4pPr>
          <a:lvl5pPr marL="1828800" indent="0">
            <a:defRPr sz="1100">
              <a:solidFill>
                <a:sysClr val="windowText" lastClr="000000"/>
              </a:solidFill>
              <a:latin typeface="Calibri"/>
            </a:defRPr>
          </a:lvl5pPr>
          <a:lvl6pPr marL="2286000" indent="0">
            <a:defRPr sz="1100">
              <a:solidFill>
                <a:sysClr val="windowText" lastClr="000000"/>
              </a:solidFill>
              <a:latin typeface="Calibri"/>
            </a:defRPr>
          </a:lvl6pPr>
          <a:lvl7pPr marL="2743200" indent="0">
            <a:defRPr sz="1100">
              <a:solidFill>
                <a:sysClr val="windowText" lastClr="000000"/>
              </a:solidFill>
              <a:latin typeface="Calibri"/>
            </a:defRPr>
          </a:lvl7pPr>
          <a:lvl8pPr marL="3200400" indent="0">
            <a:defRPr sz="1100">
              <a:solidFill>
                <a:sysClr val="windowText" lastClr="000000"/>
              </a:solidFill>
              <a:latin typeface="Calibri"/>
            </a:defRPr>
          </a:lvl8pPr>
          <a:lvl9pPr marL="3657600" indent="0">
            <a:defRPr sz="1100">
              <a:solidFill>
                <a:sysClr val="windowText" lastClr="000000"/>
              </a:solidFill>
              <a:latin typeface="Calibri"/>
            </a:defRPr>
          </a:lvl9pPr>
        </a:lstStyle>
        <a:p xmlns:a="http://schemas.openxmlformats.org/drawingml/2006/main">
          <a:pPr algn="ctr"/>
          <a:r>
            <a:rPr lang="en-GB" sz="1100" b="1"/>
            <a:t>FWD Li</a:t>
          </a:r>
          <a:r>
            <a:rPr lang="en-GB" sz="1100" b="1" baseline="0"/>
            <a:t>mit</a:t>
          </a:r>
          <a:endParaRPr lang="en-GB" sz="1100" b="1"/>
        </a:p>
      </cdr:txBody>
    </cdr:sp>
  </cdr:relSizeAnchor>
  <cdr:relSizeAnchor xmlns:cdr="http://schemas.openxmlformats.org/drawingml/2006/chartDrawing">
    <cdr:from>
      <cdr:x>0.70052</cdr:x>
      <cdr:y>0.63955</cdr:y>
    </cdr:from>
    <cdr:to>
      <cdr:x>0.94499</cdr:x>
      <cdr:y>0.81154</cdr:y>
    </cdr:to>
    <cdr:sp macro="" textlink="">
      <cdr:nvSpPr>
        <cdr:cNvPr id="18" name="TextBox 1">
          <a:extLst xmlns:a="http://schemas.openxmlformats.org/drawingml/2006/main">
            <a:ext uri="{FF2B5EF4-FFF2-40B4-BE49-F238E27FC236}">
              <a16:creationId xmlns:a16="http://schemas.microsoft.com/office/drawing/2014/main" id="{843346D9-015E-4514-B99D-6F34228B805A}"/>
            </a:ext>
          </a:extLst>
        </cdr:cNvPr>
        <cdr:cNvSpPr txBox="1"/>
      </cdr:nvSpPr>
      <cdr:spPr>
        <a:xfrm xmlns:a="http://schemas.openxmlformats.org/drawingml/2006/main">
          <a:off x="5965543" y="3592460"/>
          <a:ext cx="2081893" cy="96610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b="0"/>
        </a:p>
      </cdr:txBody>
    </cdr:sp>
  </cdr:relSizeAnchor>
  <cdr:relSizeAnchor xmlns:cdr="http://schemas.openxmlformats.org/drawingml/2006/chartDrawing">
    <cdr:from>
      <cdr:x>0.19238</cdr:x>
      <cdr:y>0.39679</cdr:y>
    </cdr:from>
    <cdr:to>
      <cdr:x>0.34098</cdr:x>
      <cdr:y>0.4307</cdr:y>
    </cdr:to>
    <cdr:sp macro="" textlink="">
      <cdr:nvSpPr>
        <cdr:cNvPr id="30" name="TextBox 4">
          <a:extLst xmlns:a="http://schemas.openxmlformats.org/drawingml/2006/main">
            <a:ext uri="{FF2B5EF4-FFF2-40B4-BE49-F238E27FC236}">
              <a16:creationId xmlns:a16="http://schemas.microsoft.com/office/drawing/2014/main" id="{83FF1569-EB0A-41DE-91C0-4E77E01D8B4C}"/>
            </a:ext>
          </a:extLst>
        </cdr:cNvPr>
        <cdr:cNvSpPr txBox="1"/>
      </cdr:nvSpPr>
      <cdr:spPr>
        <a:xfrm xmlns:a="http://schemas.openxmlformats.org/drawingml/2006/main">
          <a:off x="2107484" y="2228849"/>
          <a:ext cx="1627884" cy="190479"/>
        </a:xfrm>
        <a:prstGeom xmlns:a="http://schemas.openxmlformats.org/drawingml/2006/main" prst="rect">
          <a:avLst/>
        </a:prstGeom>
        <a:noFill xmlns:a="http://schemas.openxmlformats.org/drawingml/2006/main"/>
        <a:ln xmlns:a="http://schemas.openxmlformats.org/drawingml/2006/main" w="9525" cmpd="sng">
          <a:noFill/>
        </a:ln>
        <a:effectLst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ysClr val="windowText" lastClr="000000"/>
              </a:solidFill>
              <a:latin typeface="Calibri"/>
            </a:defRPr>
          </a:lvl1pPr>
          <a:lvl2pPr marL="457200" indent="0">
            <a:defRPr sz="1100">
              <a:solidFill>
                <a:sysClr val="windowText" lastClr="000000"/>
              </a:solidFill>
              <a:latin typeface="Calibri"/>
            </a:defRPr>
          </a:lvl2pPr>
          <a:lvl3pPr marL="914400" indent="0">
            <a:defRPr sz="1100">
              <a:solidFill>
                <a:sysClr val="windowText" lastClr="000000"/>
              </a:solidFill>
              <a:latin typeface="Calibri"/>
            </a:defRPr>
          </a:lvl3pPr>
          <a:lvl4pPr marL="1371600" indent="0">
            <a:defRPr sz="1100">
              <a:solidFill>
                <a:sysClr val="windowText" lastClr="000000"/>
              </a:solidFill>
              <a:latin typeface="Calibri"/>
            </a:defRPr>
          </a:lvl4pPr>
          <a:lvl5pPr marL="1828800" indent="0">
            <a:defRPr sz="1100">
              <a:solidFill>
                <a:sysClr val="windowText" lastClr="000000"/>
              </a:solidFill>
              <a:latin typeface="Calibri"/>
            </a:defRPr>
          </a:lvl5pPr>
          <a:lvl6pPr marL="2286000" indent="0">
            <a:defRPr sz="1100">
              <a:solidFill>
                <a:sysClr val="windowText" lastClr="000000"/>
              </a:solidFill>
              <a:latin typeface="Calibri"/>
            </a:defRPr>
          </a:lvl6pPr>
          <a:lvl7pPr marL="2743200" indent="0">
            <a:defRPr sz="1100">
              <a:solidFill>
                <a:sysClr val="windowText" lastClr="000000"/>
              </a:solidFill>
              <a:latin typeface="Calibri"/>
            </a:defRPr>
          </a:lvl7pPr>
          <a:lvl8pPr marL="3200400" indent="0">
            <a:defRPr sz="1100">
              <a:solidFill>
                <a:sysClr val="windowText" lastClr="000000"/>
              </a:solidFill>
              <a:latin typeface="Calibri"/>
            </a:defRPr>
          </a:lvl8pPr>
          <a:lvl9pPr marL="3657600" indent="0">
            <a:defRPr sz="1100">
              <a:solidFill>
                <a:sysClr val="windowText" lastClr="000000"/>
              </a:solidFill>
              <a:latin typeface="Calibri"/>
            </a:defRPr>
          </a:lvl9pPr>
        </a:lstStyle>
        <a:p xmlns:a="http://schemas.openxmlformats.org/drawingml/2006/main">
          <a:pPr algn="ctr"/>
          <a:r>
            <a:rPr lang="en-GB" sz="1100" b="1"/>
            <a:t>Utilitiy Category</a:t>
          </a:r>
        </a:p>
      </cdr:txBody>
    </cdr:sp>
  </cdr:relSizeAnchor>
</c:userShapes>
</file>

<file path=xl/drawings/drawing6.xml><?xml version="1.0" encoding="utf-8"?>
<xdr:wsDr xmlns:xdr="http://schemas.openxmlformats.org/drawingml/2006/spreadsheetDrawing" xmlns:a="http://schemas.openxmlformats.org/drawingml/2006/main">
  <xdr:twoCellAnchor>
    <xdr:from>
      <xdr:col>1</xdr:col>
      <xdr:colOff>0</xdr:colOff>
      <xdr:row>3</xdr:row>
      <xdr:rowOff>0</xdr:rowOff>
    </xdr:from>
    <xdr:to>
      <xdr:col>18</xdr:col>
      <xdr:colOff>591056</xdr:colOff>
      <xdr:row>32</xdr:row>
      <xdr:rowOff>92700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0.81909</cdr:x>
      <cdr:y>0.63785</cdr:y>
    </cdr:from>
    <cdr:to>
      <cdr:x>0.99644</cdr:x>
      <cdr:y>0.80984</cdr:y>
    </cdr:to>
    <cdr:sp macro="" textlink="">
      <cdr:nvSpPr>
        <cdr:cNvPr id="2" name="TextBox 1">
          <a:extLst xmlns:a="http://schemas.openxmlformats.org/drawingml/2006/main">
            <a:ext uri="{FF2B5EF4-FFF2-40B4-BE49-F238E27FC236}">
              <a16:creationId xmlns:a16="http://schemas.microsoft.com/office/drawing/2014/main" id="{362E7EC5-B433-4C01-B3E1-FA96B25B49B6}"/>
            </a:ext>
          </a:extLst>
        </cdr:cNvPr>
        <cdr:cNvSpPr txBox="1"/>
      </cdr:nvSpPr>
      <cdr:spPr>
        <a:xfrm xmlns:a="http://schemas.openxmlformats.org/drawingml/2006/main">
          <a:off x="8972522" y="3582931"/>
          <a:ext cx="1942737" cy="96610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100" b="1"/>
            <a:t>NOTE:</a:t>
          </a:r>
        </a:p>
        <a:p xmlns:a="http://schemas.openxmlformats.org/drawingml/2006/main">
          <a:r>
            <a:rPr lang="en-GB" sz="1100" b="0"/>
            <a:t>Within the Utiliity</a:t>
          </a:r>
          <a:r>
            <a:rPr lang="en-GB" sz="1100" b="0" baseline="0"/>
            <a:t> Category, No baggage or aft passengers allowed.</a:t>
          </a:r>
          <a:endParaRPr lang="en-GB" sz="1100" b="0"/>
        </a:p>
      </cdr:txBody>
    </cdr:sp>
  </cdr:relSizeAnchor>
  <cdr:relSizeAnchor xmlns:cdr="http://schemas.openxmlformats.org/drawingml/2006/chartDrawing">
    <cdr:from>
      <cdr:x>0.44261</cdr:x>
      <cdr:y>0.24951</cdr:y>
    </cdr:from>
    <cdr:to>
      <cdr:x>0.59121</cdr:x>
      <cdr:y>0.28342</cdr:y>
    </cdr:to>
    <cdr:sp macro="" textlink="">
      <cdr:nvSpPr>
        <cdr:cNvPr id="3" name="TextBox 4">
          <a:extLst xmlns:a="http://schemas.openxmlformats.org/drawingml/2006/main">
            <a:ext uri="{FF2B5EF4-FFF2-40B4-BE49-F238E27FC236}">
              <a16:creationId xmlns:a16="http://schemas.microsoft.com/office/drawing/2014/main" id="{73F99D0D-16B2-45D7-A885-E4E650FD9A78}"/>
            </a:ext>
          </a:extLst>
        </cdr:cNvPr>
        <cdr:cNvSpPr txBox="1"/>
      </cdr:nvSpPr>
      <cdr:spPr>
        <a:xfrm xmlns:a="http://schemas.openxmlformats.org/drawingml/2006/main">
          <a:off x="4848463" y="1401548"/>
          <a:ext cx="1627803" cy="190479"/>
        </a:xfrm>
        <a:prstGeom xmlns:a="http://schemas.openxmlformats.org/drawingml/2006/main" prst="rect">
          <a:avLst/>
        </a:prstGeom>
        <a:noFill xmlns:a="http://schemas.openxmlformats.org/drawingml/2006/main"/>
        <a:ln xmlns:a="http://schemas.openxmlformats.org/drawingml/2006/main" w="9525" cmpd="sng">
          <a:noFill/>
        </a:ln>
        <a:effectLst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ysClr val="windowText" lastClr="000000"/>
              </a:solidFill>
              <a:latin typeface="Calibri"/>
            </a:defRPr>
          </a:lvl1pPr>
          <a:lvl2pPr marL="457200" indent="0">
            <a:defRPr sz="1100">
              <a:solidFill>
                <a:sysClr val="windowText" lastClr="000000"/>
              </a:solidFill>
              <a:latin typeface="Calibri"/>
            </a:defRPr>
          </a:lvl2pPr>
          <a:lvl3pPr marL="914400" indent="0">
            <a:defRPr sz="1100">
              <a:solidFill>
                <a:sysClr val="windowText" lastClr="000000"/>
              </a:solidFill>
              <a:latin typeface="Calibri"/>
            </a:defRPr>
          </a:lvl3pPr>
          <a:lvl4pPr marL="1371600" indent="0">
            <a:defRPr sz="1100">
              <a:solidFill>
                <a:sysClr val="windowText" lastClr="000000"/>
              </a:solidFill>
              <a:latin typeface="Calibri"/>
            </a:defRPr>
          </a:lvl4pPr>
          <a:lvl5pPr marL="1828800" indent="0">
            <a:defRPr sz="1100">
              <a:solidFill>
                <a:sysClr val="windowText" lastClr="000000"/>
              </a:solidFill>
              <a:latin typeface="Calibri"/>
            </a:defRPr>
          </a:lvl5pPr>
          <a:lvl6pPr marL="2286000" indent="0">
            <a:defRPr sz="1100">
              <a:solidFill>
                <a:sysClr val="windowText" lastClr="000000"/>
              </a:solidFill>
              <a:latin typeface="Calibri"/>
            </a:defRPr>
          </a:lvl6pPr>
          <a:lvl7pPr marL="2743200" indent="0">
            <a:defRPr sz="1100">
              <a:solidFill>
                <a:sysClr val="windowText" lastClr="000000"/>
              </a:solidFill>
              <a:latin typeface="Calibri"/>
            </a:defRPr>
          </a:lvl7pPr>
          <a:lvl8pPr marL="3200400" indent="0">
            <a:defRPr sz="1100">
              <a:solidFill>
                <a:sysClr val="windowText" lastClr="000000"/>
              </a:solidFill>
              <a:latin typeface="Calibri"/>
            </a:defRPr>
          </a:lvl8pPr>
          <a:lvl9pPr marL="3657600" indent="0">
            <a:defRPr sz="1100">
              <a:solidFill>
                <a:sysClr val="windowText" lastClr="000000"/>
              </a:solidFill>
              <a:latin typeface="Calibri"/>
            </a:defRPr>
          </a:lvl9pPr>
        </a:lstStyle>
        <a:p xmlns:a="http://schemas.openxmlformats.org/drawingml/2006/main">
          <a:pPr algn="ctr"/>
          <a:r>
            <a:rPr lang="en-GB" sz="1100" b="1"/>
            <a:t>Normal Category</a:t>
          </a:r>
        </a:p>
      </cdr:txBody>
    </cdr:sp>
  </cdr:relSizeAnchor>
  <cdr:relSizeAnchor xmlns:cdr="http://schemas.openxmlformats.org/drawingml/2006/chartDrawing">
    <cdr:from>
      <cdr:x>0.09747</cdr:x>
      <cdr:y>0.57896</cdr:y>
    </cdr:from>
    <cdr:to>
      <cdr:x>0.16364</cdr:x>
      <cdr:y>0.68799</cdr:y>
    </cdr:to>
    <cdr:sp macro="" textlink="">
      <cdr:nvSpPr>
        <cdr:cNvPr id="7" name="TextBox 4">
          <a:extLst xmlns:a="http://schemas.openxmlformats.org/drawingml/2006/main">
            <a:ext uri="{FF2B5EF4-FFF2-40B4-BE49-F238E27FC236}">
              <a16:creationId xmlns:a16="http://schemas.microsoft.com/office/drawing/2014/main" id="{4837154B-6825-4D4E-8B59-8F9097C92B50}"/>
            </a:ext>
          </a:extLst>
        </cdr:cNvPr>
        <cdr:cNvSpPr txBox="1"/>
      </cdr:nvSpPr>
      <cdr:spPr>
        <a:xfrm xmlns:a="http://schemas.openxmlformats.org/drawingml/2006/main">
          <a:off x="830035" y="3252107"/>
          <a:ext cx="563507" cy="612494"/>
        </a:xfrm>
        <a:prstGeom xmlns:a="http://schemas.openxmlformats.org/drawingml/2006/main" prst="rect">
          <a:avLst/>
        </a:prstGeom>
        <a:noFill xmlns:a="http://schemas.openxmlformats.org/drawingml/2006/main"/>
        <a:ln xmlns:a="http://schemas.openxmlformats.org/drawingml/2006/main" w="9525" cmpd="sng">
          <a:noFill/>
        </a:ln>
        <a:effectLst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ysClr val="windowText" lastClr="000000"/>
              </a:solidFill>
              <a:latin typeface="Calibri"/>
            </a:defRPr>
          </a:lvl1pPr>
          <a:lvl2pPr marL="457200" indent="0">
            <a:defRPr sz="1100">
              <a:solidFill>
                <a:sysClr val="windowText" lastClr="000000"/>
              </a:solidFill>
              <a:latin typeface="Calibri"/>
            </a:defRPr>
          </a:lvl2pPr>
          <a:lvl3pPr marL="914400" indent="0">
            <a:defRPr sz="1100">
              <a:solidFill>
                <a:sysClr val="windowText" lastClr="000000"/>
              </a:solidFill>
              <a:latin typeface="Calibri"/>
            </a:defRPr>
          </a:lvl3pPr>
          <a:lvl4pPr marL="1371600" indent="0">
            <a:defRPr sz="1100">
              <a:solidFill>
                <a:sysClr val="windowText" lastClr="000000"/>
              </a:solidFill>
              <a:latin typeface="Calibri"/>
            </a:defRPr>
          </a:lvl4pPr>
          <a:lvl5pPr marL="1828800" indent="0">
            <a:defRPr sz="1100">
              <a:solidFill>
                <a:sysClr val="windowText" lastClr="000000"/>
              </a:solidFill>
              <a:latin typeface="Calibri"/>
            </a:defRPr>
          </a:lvl5pPr>
          <a:lvl6pPr marL="2286000" indent="0">
            <a:defRPr sz="1100">
              <a:solidFill>
                <a:sysClr val="windowText" lastClr="000000"/>
              </a:solidFill>
              <a:latin typeface="Calibri"/>
            </a:defRPr>
          </a:lvl6pPr>
          <a:lvl7pPr marL="2743200" indent="0">
            <a:defRPr sz="1100">
              <a:solidFill>
                <a:sysClr val="windowText" lastClr="000000"/>
              </a:solidFill>
              <a:latin typeface="Calibri"/>
            </a:defRPr>
          </a:lvl7pPr>
          <a:lvl8pPr marL="3200400" indent="0">
            <a:defRPr sz="1100">
              <a:solidFill>
                <a:sysClr val="windowText" lastClr="000000"/>
              </a:solidFill>
              <a:latin typeface="Calibri"/>
            </a:defRPr>
          </a:lvl8pPr>
          <a:lvl9pPr marL="3657600" indent="0">
            <a:defRPr sz="1100">
              <a:solidFill>
                <a:sysClr val="windowText" lastClr="000000"/>
              </a:solidFill>
              <a:latin typeface="Calibri"/>
            </a:defRPr>
          </a:lvl9pPr>
        </a:lstStyle>
        <a:p xmlns:a="http://schemas.openxmlformats.org/drawingml/2006/main">
          <a:pPr algn="ctr"/>
          <a:r>
            <a:rPr lang="en-GB" sz="1100"/>
            <a:t>FWD Li</a:t>
          </a:r>
          <a:r>
            <a:rPr lang="en-GB" sz="1100" baseline="0"/>
            <a:t>mit</a:t>
          </a:r>
          <a:endParaRPr lang="en-GB" sz="1100"/>
        </a:p>
      </cdr:txBody>
    </cdr:sp>
  </cdr:relSizeAnchor>
  <cdr:relSizeAnchor xmlns:cdr="http://schemas.openxmlformats.org/drawingml/2006/chartDrawing">
    <cdr:from>
      <cdr:x>0.09747</cdr:x>
      <cdr:y>0.57896</cdr:y>
    </cdr:from>
    <cdr:to>
      <cdr:x>0.16364</cdr:x>
      <cdr:y>0.68799</cdr:y>
    </cdr:to>
    <cdr:sp macro="" textlink="">
      <cdr:nvSpPr>
        <cdr:cNvPr id="9" name="TextBox 4">
          <a:extLst xmlns:a="http://schemas.openxmlformats.org/drawingml/2006/main">
            <a:ext uri="{FF2B5EF4-FFF2-40B4-BE49-F238E27FC236}">
              <a16:creationId xmlns:a16="http://schemas.microsoft.com/office/drawing/2014/main" id="{4344AC19-06A0-4D74-ABA8-6D1649D192AA}"/>
            </a:ext>
          </a:extLst>
        </cdr:cNvPr>
        <cdr:cNvSpPr txBox="1"/>
      </cdr:nvSpPr>
      <cdr:spPr>
        <a:xfrm xmlns:a="http://schemas.openxmlformats.org/drawingml/2006/main">
          <a:off x="830035" y="3252107"/>
          <a:ext cx="563507" cy="612494"/>
        </a:xfrm>
        <a:prstGeom xmlns:a="http://schemas.openxmlformats.org/drawingml/2006/main" prst="rect">
          <a:avLst/>
        </a:prstGeom>
        <a:noFill xmlns:a="http://schemas.openxmlformats.org/drawingml/2006/main"/>
        <a:ln xmlns:a="http://schemas.openxmlformats.org/drawingml/2006/main" w="9525" cmpd="sng">
          <a:noFill/>
        </a:ln>
        <a:effectLst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ysClr val="windowText" lastClr="000000"/>
              </a:solidFill>
              <a:latin typeface="Calibri"/>
            </a:defRPr>
          </a:lvl1pPr>
          <a:lvl2pPr marL="457200" indent="0">
            <a:defRPr sz="1100">
              <a:solidFill>
                <a:sysClr val="windowText" lastClr="000000"/>
              </a:solidFill>
              <a:latin typeface="Calibri"/>
            </a:defRPr>
          </a:lvl2pPr>
          <a:lvl3pPr marL="914400" indent="0">
            <a:defRPr sz="1100">
              <a:solidFill>
                <a:sysClr val="windowText" lastClr="000000"/>
              </a:solidFill>
              <a:latin typeface="Calibri"/>
            </a:defRPr>
          </a:lvl3pPr>
          <a:lvl4pPr marL="1371600" indent="0">
            <a:defRPr sz="1100">
              <a:solidFill>
                <a:sysClr val="windowText" lastClr="000000"/>
              </a:solidFill>
              <a:latin typeface="Calibri"/>
            </a:defRPr>
          </a:lvl4pPr>
          <a:lvl5pPr marL="1828800" indent="0">
            <a:defRPr sz="1100">
              <a:solidFill>
                <a:sysClr val="windowText" lastClr="000000"/>
              </a:solidFill>
              <a:latin typeface="Calibri"/>
            </a:defRPr>
          </a:lvl5pPr>
          <a:lvl6pPr marL="2286000" indent="0">
            <a:defRPr sz="1100">
              <a:solidFill>
                <a:sysClr val="windowText" lastClr="000000"/>
              </a:solidFill>
              <a:latin typeface="Calibri"/>
            </a:defRPr>
          </a:lvl6pPr>
          <a:lvl7pPr marL="2743200" indent="0">
            <a:defRPr sz="1100">
              <a:solidFill>
                <a:sysClr val="windowText" lastClr="000000"/>
              </a:solidFill>
              <a:latin typeface="Calibri"/>
            </a:defRPr>
          </a:lvl7pPr>
          <a:lvl8pPr marL="3200400" indent="0">
            <a:defRPr sz="1100">
              <a:solidFill>
                <a:sysClr val="windowText" lastClr="000000"/>
              </a:solidFill>
              <a:latin typeface="Calibri"/>
            </a:defRPr>
          </a:lvl8pPr>
          <a:lvl9pPr marL="3657600" indent="0">
            <a:defRPr sz="1100">
              <a:solidFill>
                <a:sysClr val="windowText" lastClr="000000"/>
              </a:solidFill>
              <a:latin typeface="Calibri"/>
            </a:defRPr>
          </a:lvl9pPr>
        </a:lstStyle>
        <a:p xmlns:a="http://schemas.openxmlformats.org/drawingml/2006/main">
          <a:pPr algn="ctr"/>
          <a:r>
            <a:rPr lang="en-GB" sz="1100"/>
            <a:t>FWD Li</a:t>
          </a:r>
          <a:r>
            <a:rPr lang="en-GB" sz="1100" baseline="0"/>
            <a:t>mit</a:t>
          </a:r>
          <a:endParaRPr lang="en-GB" sz="1100"/>
        </a:p>
      </cdr:txBody>
    </cdr:sp>
  </cdr:relSizeAnchor>
  <cdr:relSizeAnchor xmlns:cdr="http://schemas.openxmlformats.org/drawingml/2006/chartDrawing">
    <cdr:from>
      <cdr:x>0.09747</cdr:x>
      <cdr:y>0.57896</cdr:y>
    </cdr:from>
    <cdr:to>
      <cdr:x>0.16364</cdr:x>
      <cdr:y>0.68799</cdr:y>
    </cdr:to>
    <cdr:sp macro="" textlink="">
      <cdr:nvSpPr>
        <cdr:cNvPr id="13" name="TextBox 4">
          <a:extLst xmlns:a="http://schemas.openxmlformats.org/drawingml/2006/main">
            <a:ext uri="{FF2B5EF4-FFF2-40B4-BE49-F238E27FC236}">
              <a16:creationId xmlns:a16="http://schemas.microsoft.com/office/drawing/2014/main" id="{465E505A-9B39-416C-B258-B55FF83305C2}"/>
            </a:ext>
          </a:extLst>
        </cdr:cNvPr>
        <cdr:cNvSpPr txBox="1"/>
      </cdr:nvSpPr>
      <cdr:spPr>
        <a:xfrm xmlns:a="http://schemas.openxmlformats.org/drawingml/2006/main">
          <a:off x="830035" y="3252107"/>
          <a:ext cx="563507" cy="612494"/>
        </a:xfrm>
        <a:prstGeom xmlns:a="http://schemas.openxmlformats.org/drawingml/2006/main" prst="rect">
          <a:avLst/>
        </a:prstGeom>
        <a:noFill xmlns:a="http://schemas.openxmlformats.org/drawingml/2006/main"/>
        <a:ln xmlns:a="http://schemas.openxmlformats.org/drawingml/2006/main" w="9525" cmpd="sng">
          <a:noFill/>
        </a:ln>
        <a:effectLst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ysClr val="windowText" lastClr="000000"/>
              </a:solidFill>
              <a:latin typeface="Calibri"/>
            </a:defRPr>
          </a:lvl1pPr>
          <a:lvl2pPr marL="457200" indent="0">
            <a:defRPr sz="1100">
              <a:solidFill>
                <a:sysClr val="windowText" lastClr="000000"/>
              </a:solidFill>
              <a:latin typeface="Calibri"/>
            </a:defRPr>
          </a:lvl2pPr>
          <a:lvl3pPr marL="914400" indent="0">
            <a:defRPr sz="1100">
              <a:solidFill>
                <a:sysClr val="windowText" lastClr="000000"/>
              </a:solidFill>
              <a:latin typeface="Calibri"/>
            </a:defRPr>
          </a:lvl3pPr>
          <a:lvl4pPr marL="1371600" indent="0">
            <a:defRPr sz="1100">
              <a:solidFill>
                <a:sysClr val="windowText" lastClr="000000"/>
              </a:solidFill>
              <a:latin typeface="Calibri"/>
            </a:defRPr>
          </a:lvl4pPr>
          <a:lvl5pPr marL="1828800" indent="0">
            <a:defRPr sz="1100">
              <a:solidFill>
                <a:sysClr val="windowText" lastClr="000000"/>
              </a:solidFill>
              <a:latin typeface="Calibri"/>
            </a:defRPr>
          </a:lvl5pPr>
          <a:lvl6pPr marL="2286000" indent="0">
            <a:defRPr sz="1100">
              <a:solidFill>
                <a:sysClr val="windowText" lastClr="000000"/>
              </a:solidFill>
              <a:latin typeface="Calibri"/>
            </a:defRPr>
          </a:lvl6pPr>
          <a:lvl7pPr marL="2743200" indent="0">
            <a:defRPr sz="1100">
              <a:solidFill>
                <a:sysClr val="windowText" lastClr="000000"/>
              </a:solidFill>
              <a:latin typeface="Calibri"/>
            </a:defRPr>
          </a:lvl7pPr>
          <a:lvl8pPr marL="3200400" indent="0">
            <a:defRPr sz="1100">
              <a:solidFill>
                <a:sysClr val="windowText" lastClr="000000"/>
              </a:solidFill>
              <a:latin typeface="Calibri"/>
            </a:defRPr>
          </a:lvl8pPr>
          <a:lvl9pPr marL="3657600" indent="0">
            <a:defRPr sz="1100">
              <a:solidFill>
                <a:sysClr val="windowText" lastClr="000000"/>
              </a:solidFill>
              <a:latin typeface="Calibri"/>
            </a:defRPr>
          </a:lvl9pPr>
        </a:lstStyle>
        <a:p xmlns:a="http://schemas.openxmlformats.org/drawingml/2006/main">
          <a:pPr algn="ctr"/>
          <a:r>
            <a:rPr lang="en-GB" sz="1100"/>
            <a:t>FWD Li</a:t>
          </a:r>
          <a:r>
            <a:rPr lang="en-GB" sz="1100" baseline="0"/>
            <a:t>mit</a:t>
          </a:r>
          <a:endParaRPr lang="en-GB" sz="1100"/>
        </a:p>
      </cdr:txBody>
    </cdr:sp>
  </cdr:relSizeAnchor>
  <cdr:relSizeAnchor xmlns:cdr="http://schemas.openxmlformats.org/drawingml/2006/chartDrawing">
    <cdr:from>
      <cdr:x>0.09747</cdr:x>
      <cdr:y>0.57896</cdr:y>
    </cdr:from>
    <cdr:to>
      <cdr:x>0.16364</cdr:x>
      <cdr:y>0.68799</cdr:y>
    </cdr:to>
    <cdr:sp macro="" textlink="">
      <cdr:nvSpPr>
        <cdr:cNvPr id="17" name="TextBox 4">
          <a:extLst xmlns:a="http://schemas.openxmlformats.org/drawingml/2006/main">
            <a:ext uri="{FF2B5EF4-FFF2-40B4-BE49-F238E27FC236}">
              <a16:creationId xmlns:a16="http://schemas.microsoft.com/office/drawing/2014/main" id="{06E7CB59-845E-4C34-A652-EF6DAA232D39}"/>
            </a:ext>
          </a:extLst>
        </cdr:cNvPr>
        <cdr:cNvSpPr txBox="1"/>
      </cdr:nvSpPr>
      <cdr:spPr>
        <a:xfrm xmlns:a="http://schemas.openxmlformats.org/drawingml/2006/main">
          <a:off x="830035" y="3252107"/>
          <a:ext cx="563507" cy="612494"/>
        </a:xfrm>
        <a:prstGeom xmlns:a="http://schemas.openxmlformats.org/drawingml/2006/main" prst="rect">
          <a:avLst/>
        </a:prstGeom>
        <a:noFill xmlns:a="http://schemas.openxmlformats.org/drawingml/2006/main"/>
        <a:ln xmlns:a="http://schemas.openxmlformats.org/drawingml/2006/main" w="9525" cmpd="sng">
          <a:noFill/>
        </a:ln>
        <a:effectLst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ysClr val="windowText" lastClr="000000"/>
              </a:solidFill>
              <a:latin typeface="Calibri"/>
            </a:defRPr>
          </a:lvl1pPr>
          <a:lvl2pPr marL="457200" indent="0">
            <a:defRPr sz="1100">
              <a:solidFill>
                <a:sysClr val="windowText" lastClr="000000"/>
              </a:solidFill>
              <a:latin typeface="Calibri"/>
            </a:defRPr>
          </a:lvl2pPr>
          <a:lvl3pPr marL="914400" indent="0">
            <a:defRPr sz="1100">
              <a:solidFill>
                <a:sysClr val="windowText" lastClr="000000"/>
              </a:solidFill>
              <a:latin typeface="Calibri"/>
            </a:defRPr>
          </a:lvl3pPr>
          <a:lvl4pPr marL="1371600" indent="0">
            <a:defRPr sz="1100">
              <a:solidFill>
                <a:sysClr val="windowText" lastClr="000000"/>
              </a:solidFill>
              <a:latin typeface="Calibri"/>
            </a:defRPr>
          </a:lvl4pPr>
          <a:lvl5pPr marL="1828800" indent="0">
            <a:defRPr sz="1100">
              <a:solidFill>
                <a:sysClr val="windowText" lastClr="000000"/>
              </a:solidFill>
              <a:latin typeface="Calibri"/>
            </a:defRPr>
          </a:lvl5pPr>
          <a:lvl6pPr marL="2286000" indent="0">
            <a:defRPr sz="1100">
              <a:solidFill>
                <a:sysClr val="windowText" lastClr="000000"/>
              </a:solidFill>
              <a:latin typeface="Calibri"/>
            </a:defRPr>
          </a:lvl6pPr>
          <a:lvl7pPr marL="2743200" indent="0">
            <a:defRPr sz="1100">
              <a:solidFill>
                <a:sysClr val="windowText" lastClr="000000"/>
              </a:solidFill>
              <a:latin typeface="Calibri"/>
            </a:defRPr>
          </a:lvl7pPr>
          <a:lvl8pPr marL="3200400" indent="0">
            <a:defRPr sz="1100">
              <a:solidFill>
                <a:sysClr val="windowText" lastClr="000000"/>
              </a:solidFill>
              <a:latin typeface="Calibri"/>
            </a:defRPr>
          </a:lvl8pPr>
          <a:lvl9pPr marL="3657600" indent="0">
            <a:defRPr sz="1100">
              <a:solidFill>
                <a:sysClr val="windowText" lastClr="000000"/>
              </a:solidFill>
              <a:latin typeface="Calibri"/>
            </a:defRPr>
          </a:lvl9pPr>
        </a:lstStyle>
        <a:p xmlns:a="http://schemas.openxmlformats.org/drawingml/2006/main">
          <a:pPr algn="ctr"/>
          <a:r>
            <a:rPr lang="en-GB" sz="1100"/>
            <a:t>FWD Li</a:t>
          </a:r>
          <a:r>
            <a:rPr lang="en-GB" sz="1100" baseline="0"/>
            <a:t>mit</a:t>
          </a:r>
          <a:endParaRPr lang="en-GB" sz="1100"/>
        </a:p>
      </cdr:txBody>
    </cdr:sp>
  </cdr:relSizeAnchor>
  <cdr:relSizeAnchor xmlns:cdr="http://schemas.openxmlformats.org/drawingml/2006/chartDrawing">
    <cdr:from>
      <cdr:x>0.43733</cdr:x>
      <cdr:y>0.41714</cdr:y>
    </cdr:from>
    <cdr:to>
      <cdr:x>0.58594</cdr:x>
      <cdr:y>0.45105</cdr:y>
    </cdr:to>
    <cdr:sp macro="" textlink="">
      <cdr:nvSpPr>
        <cdr:cNvPr id="18" name="TextBox 4">
          <a:extLst xmlns:a="http://schemas.openxmlformats.org/drawingml/2006/main">
            <a:ext uri="{FF2B5EF4-FFF2-40B4-BE49-F238E27FC236}">
              <a16:creationId xmlns:a16="http://schemas.microsoft.com/office/drawing/2014/main" id="{6FC22391-C52E-44E6-A180-39FF380861EE}"/>
            </a:ext>
          </a:extLst>
        </cdr:cNvPr>
        <cdr:cNvSpPr txBox="1"/>
      </cdr:nvSpPr>
      <cdr:spPr>
        <a:xfrm xmlns:a="http://schemas.openxmlformats.org/drawingml/2006/main">
          <a:off x="4790625" y="2343159"/>
          <a:ext cx="1627912" cy="190479"/>
        </a:xfrm>
        <a:prstGeom xmlns:a="http://schemas.openxmlformats.org/drawingml/2006/main" prst="rect">
          <a:avLst/>
        </a:prstGeom>
        <a:noFill xmlns:a="http://schemas.openxmlformats.org/drawingml/2006/main"/>
        <a:ln xmlns:a="http://schemas.openxmlformats.org/drawingml/2006/main" w="9525" cmpd="sng">
          <a:noFill/>
        </a:ln>
        <a:effectLst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ysClr val="windowText" lastClr="000000"/>
              </a:solidFill>
              <a:latin typeface="Calibri"/>
            </a:defRPr>
          </a:lvl1pPr>
          <a:lvl2pPr marL="457200" indent="0">
            <a:defRPr sz="1100">
              <a:solidFill>
                <a:sysClr val="windowText" lastClr="000000"/>
              </a:solidFill>
              <a:latin typeface="Calibri"/>
            </a:defRPr>
          </a:lvl2pPr>
          <a:lvl3pPr marL="914400" indent="0">
            <a:defRPr sz="1100">
              <a:solidFill>
                <a:sysClr val="windowText" lastClr="000000"/>
              </a:solidFill>
              <a:latin typeface="Calibri"/>
            </a:defRPr>
          </a:lvl3pPr>
          <a:lvl4pPr marL="1371600" indent="0">
            <a:defRPr sz="1100">
              <a:solidFill>
                <a:sysClr val="windowText" lastClr="000000"/>
              </a:solidFill>
              <a:latin typeface="Calibri"/>
            </a:defRPr>
          </a:lvl4pPr>
          <a:lvl5pPr marL="1828800" indent="0">
            <a:defRPr sz="1100">
              <a:solidFill>
                <a:sysClr val="windowText" lastClr="000000"/>
              </a:solidFill>
              <a:latin typeface="Calibri"/>
            </a:defRPr>
          </a:lvl5pPr>
          <a:lvl6pPr marL="2286000" indent="0">
            <a:defRPr sz="1100">
              <a:solidFill>
                <a:sysClr val="windowText" lastClr="000000"/>
              </a:solidFill>
              <a:latin typeface="Calibri"/>
            </a:defRPr>
          </a:lvl6pPr>
          <a:lvl7pPr marL="2743200" indent="0">
            <a:defRPr sz="1100">
              <a:solidFill>
                <a:sysClr val="windowText" lastClr="000000"/>
              </a:solidFill>
              <a:latin typeface="Calibri"/>
            </a:defRPr>
          </a:lvl7pPr>
          <a:lvl8pPr marL="3200400" indent="0">
            <a:defRPr sz="1100">
              <a:solidFill>
                <a:sysClr val="windowText" lastClr="000000"/>
              </a:solidFill>
              <a:latin typeface="Calibri"/>
            </a:defRPr>
          </a:lvl8pPr>
          <a:lvl9pPr marL="3657600" indent="0">
            <a:defRPr sz="1100">
              <a:solidFill>
                <a:sysClr val="windowText" lastClr="000000"/>
              </a:solidFill>
              <a:latin typeface="Calibri"/>
            </a:defRPr>
          </a:lvl9pPr>
        </a:lstStyle>
        <a:p xmlns:a="http://schemas.openxmlformats.org/drawingml/2006/main">
          <a:pPr algn="ctr"/>
          <a:r>
            <a:rPr lang="en-GB" sz="1100" b="1"/>
            <a:t>Utilitiy Category</a:t>
          </a:r>
        </a:p>
      </cdr:txBody>
    </cdr:sp>
  </cdr:relSizeAnchor>
  <cdr:relSizeAnchor xmlns:cdr="http://schemas.openxmlformats.org/drawingml/2006/chartDrawing">
    <cdr:from>
      <cdr:x>0.09747</cdr:x>
      <cdr:y>0.57896</cdr:y>
    </cdr:from>
    <cdr:to>
      <cdr:x>0.16364</cdr:x>
      <cdr:y>0.68799</cdr:y>
    </cdr:to>
    <cdr:sp macro="" textlink="">
      <cdr:nvSpPr>
        <cdr:cNvPr id="19" name="TextBox 4">
          <a:extLst xmlns:a="http://schemas.openxmlformats.org/drawingml/2006/main">
            <a:ext uri="{FF2B5EF4-FFF2-40B4-BE49-F238E27FC236}">
              <a16:creationId xmlns:a16="http://schemas.microsoft.com/office/drawing/2014/main" id="{CB3784E9-A0A3-4042-8879-403377A2F939}"/>
            </a:ext>
          </a:extLst>
        </cdr:cNvPr>
        <cdr:cNvSpPr txBox="1"/>
      </cdr:nvSpPr>
      <cdr:spPr>
        <a:xfrm xmlns:a="http://schemas.openxmlformats.org/drawingml/2006/main">
          <a:off x="830035" y="3252107"/>
          <a:ext cx="563507" cy="612494"/>
        </a:xfrm>
        <a:prstGeom xmlns:a="http://schemas.openxmlformats.org/drawingml/2006/main" prst="rect">
          <a:avLst/>
        </a:prstGeom>
        <a:noFill xmlns:a="http://schemas.openxmlformats.org/drawingml/2006/main"/>
        <a:ln xmlns:a="http://schemas.openxmlformats.org/drawingml/2006/main" w="9525" cmpd="sng">
          <a:noFill/>
        </a:ln>
        <a:effectLst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ysClr val="windowText" lastClr="000000"/>
              </a:solidFill>
              <a:latin typeface="Calibri"/>
            </a:defRPr>
          </a:lvl1pPr>
          <a:lvl2pPr marL="457200" indent="0">
            <a:defRPr sz="1100">
              <a:solidFill>
                <a:sysClr val="windowText" lastClr="000000"/>
              </a:solidFill>
              <a:latin typeface="Calibri"/>
            </a:defRPr>
          </a:lvl2pPr>
          <a:lvl3pPr marL="914400" indent="0">
            <a:defRPr sz="1100">
              <a:solidFill>
                <a:sysClr val="windowText" lastClr="000000"/>
              </a:solidFill>
              <a:latin typeface="Calibri"/>
            </a:defRPr>
          </a:lvl3pPr>
          <a:lvl4pPr marL="1371600" indent="0">
            <a:defRPr sz="1100">
              <a:solidFill>
                <a:sysClr val="windowText" lastClr="000000"/>
              </a:solidFill>
              <a:latin typeface="Calibri"/>
            </a:defRPr>
          </a:lvl4pPr>
          <a:lvl5pPr marL="1828800" indent="0">
            <a:defRPr sz="1100">
              <a:solidFill>
                <a:sysClr val="windowText" lastClr="000000"/>
              </a:solidFill>
              <a:latin typeface="Calibri"/>
            </a:defRPr>
          </a:lvl5pPr>
          <a:lvl6pPr marL="2286000" indent="0">
            <a:defRPr sz="1100">
              <a:solidFill>
                <a:sysClr val="windowText" lastClr="000000"/>
              </a:solidFill>
              <a:latin typeface="Calibri"/>
            </a:defRPr>
          </a:lvl6pPr>
          <a:lvl7pPr marL="2743200" indent="0">
            <a:defRPr sz="1100">
              <a:solidFill>
                <a:sysClr val="windowText" lastClr="000000"/>
              </a:solidFill>
              <a:latin typeface="Calibri"/>
            </a:defRPr>
          </a:lvl7pPr>
          <a:lvl8pPr marL="3200400" indent="0">
            <a:defRPr sz="1100">
              <a:solidFill>
                <a:sysClr val="windowText" lastClr="000000"/>
              </a:solidFill>
              <a:latin typeface="Calibri"/>
            </a:defRPr>
          </a:lvl8pPr>
          <a:lvl9pPr marL="3657600" indent="0">
            <a:defRPr sz="1100">
              <a:solidFill>
                <a:sysClr val="windowText" lastClr="000000"/>
              </a:solidFill>
              <a:latin typeface="Calibri"/>
            </a:defRPr>
          </a:lvl9pPr>
        </a:lstStyle>
        <a:p xmlns:a="http://schemas.openxmlformats.org/drawingml/2006/main">
          <a:pPr algn="ctr"/>
          <a:r>
            <a:rPr lang="en-GB" sz="1100"/>
            <a:t>FWD Li</a:t>
          </a:r>
          <a:r>
            <a:rPr lang="en-GB" sz="1100" baseline="0"/>
            <a:t>mit</a:t>
          </a:r>
          <a:endParaRPr lang="en-GB" sz="1100"/>
        </a:p>
      </cdr:txBody>
    </cdr:sp>
  </cdr:relSizeAnchor>
  <cdr:relSizeAnchor xmlns:cdr="http://schemas.openxmlformats.org/drawingml/2006/chartDrawing">
    <cdr:from>
      <cdr:x>0.09747</cdr:x>
      <cdr:y>0.57896</cdr:y>
    </cdr:from>
    <cdr:to>
      <cdr:x>0.16364</cdr:x>
      <cdr:y>0.68799</cdr:y>
    </cdr:to>
    <cdr:sp macro="" textlink="">
      <cdr:nvSpPr>
        <cdr:cNvPr id="22" name="TextBox 4">
          <a:extLst xmlns:a="http://schemas.openxmlformats.org/drawingml/2006/main">
            <a:ext uri="{FF2B5EF4-FFF2-40B4-BE49-F238E27FC236}">
              <a16:creationId xmlns:a16="http://schemas.microsoft.com/office/drawing/2014/main" id="{6D2E1E0B-771B-48B2-A22E-0875EDFC3CF3}"/>
            </a:ext>
          </a:extLst>
        </cdr:cNvPr>
        <cdr:cNvSpPr txBox="1"/>
      </cdr:nvSpPr>
      <cdr:spPr>
        <a:xfrm xmlns:a="http://schemas.openxmlformats.org/drawingml/2006/main">
          <a:off x="830035" y="3252107"/>
          <a:ext cx="563507" cy="612494"/>
        </a:xfrm>
        <a:prstGeom xmlns:a="http://schemas.openxmlformats.org/drawingml/2006/main" prst="rect">
          <a:avLst/>
        </a:prstGeom>
        <a:noFill xmlns:a="http://schemas.openxmlformats.org/drawingml/2006/main"/>
        <a:ln xmlns:a="http://schemas.openxmlformats.org/drawingml/2006/main" w="9525" cmpd="sng">
          <a:noFill/>
        </a:ln>
        <a:effectLst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ysClr val="windowText" lastClr="000000"/>
              </a:solidFill>
              <a:latin typeface="Calibri"/>
            </a:defRPr>
          </a:lvl1pPr>
          <a:lvl2pPr marL="457200" indent="0">
            <a:defRPr sz="1100">
              <a:solidFill>
                <a:sysClr val="windowText" lastClr="000000"/>
              </a:solidFill>
              <a:latin typeface="Calibri"/>
            </a:defRPr>
          </a:lvl2pPr>
          <a:lvl3pPr marL="914400" indent="0">
            <a:defRPr sz="1100">
              <a:solidFill>
                <a:sysClr val="windowText" lastClr="000000"/>
              </a:solidFill>
              <a:latin typeface="Calibri"/>
            </a:defRPr>
          </a:lvl3pPr>
          <a:lvl4pPr marL="1371600" indent="0">
            <a:defRPr sz="1100">
              <a:solidFill>
                <a:sysClr val="windowText" lastClr="000000"/>
              </a:solidFill>
              <a:latin typeface="Calibri"/>
            </a:defRPr>
          </a:lvl4pPr>
          <a:lvl5pPr marL="1828800" indent="0">
            <a:defRPr sz="1100">
              <a:solidFill>
                <a:sysClr val="windowText" lastClr="000000"/>
              </a:solidFill>
              <a:latin typeface="Calibri"/>
            </a:defRPr>
          </a:lvl5pPr>
          <a:lvl6pPr marL="2286000" indent="0">
            <a:defRPr sz="1100">
              <a:solidFill>
                <a:sysClr val="windowText" lastClr="000000"/>
              </a:solidFill>
              <a:latin typeface="Calibri"/>
            </a:defRPr>
          </a:lvl6pPr>
          <a:lvl7pPr marL="2743200" indent="0">
            <a:defRPr sz="1100">
              <a:solidFill>
                <a:sysClr val="windowText" lastClr="000000"/>
              </a:solidFill>
              <a:latin typeface="Calibri"/>
            </a:defRPr>
          </a:lvl7pPr>
          <a:lvl8pPr marL="3200400" indent="0">
            <a:defRPr sz="1100">
              <a:solidFill>
                <a:sysClr val="windowText" lastClr="000000"/>
              </a:solidFill>
              <a:latin typeface="Calibri"/>
            </a:defRPr>
          </a:lvl8pPr>
          <a:lvl9pPr marL="3657600" indent="0">
            <a:defRPr sz="1100">
              <a:solidFill>
                <a:sysClr val="windowText" lastClr="000000"/>
              </a:solidFill>
              <a:latin typeface="Calibri"/>
            </a:defRPr>
          </a:lvl9pPr>
        </a:lstStyle>
        <a:p xmlns:a="http://schemas.openxmlformats.org/drawingml/2006/main">
          <a:pPr algn="ctr"/>
          <a:r>
            <a:rPr lang="en-GB" sz="1100"/>
            <a:t>FWD Li</a:t>
          </a:r>
          <a:r>
            <a:rPr lang="en-GB" sz="1100" baseline="0"/>
            <a:t>mit</a:t>
          </a:r>
          <a:endParaRPr lang="en-GB" sz="1100"/>
        </a:p>
      </cdr:txBody>
    </cdr:sp>
  </cdr:relSizeAnchor>
  <cdr:relSizeAnchor xmlns:cdr="http://schemas.openxmlformats.org/drawingml/2006/chartDrawing">
    <cdr:from>
      <cdr:x>0.09747</cdr:x>
      <cdr:y>0.57896</cdr:y>
    </cdr:from>
    <cdr:to>
      <cdr:x>0.16364</cdr:x>
      <cdr:y>0.68799</cdr:y>
    </cdr:to>
    <cdr:sp macro="" textlink="">
      <cdr:nvSpPr>
        <cdr:cNvPr id="25" name="TextBox 4">
          <a:extLst xmlns:a="http://schemas.openxmlformats.org/drawingml/2006/main">
            <a:ext uri="{FF2B5EF4-FFF2-40B4-BE49-F238E27FC236}">
              <a16:creationId xmlns:a16="http://schemas.microsoft.com/office/drawing/2014/main" id="{208D492B-058E-44F7-9200-FCF9FC0E1F80}"/>
            </a:ext>
          </a:extLst>
        </cdr:cNvPr>
        <cdr:cNvSpPr txBox="1"/>
      </cdr:nvSpPr>
      <cdr:spPr>
        <a:xfrm xmlns:a="http://schemas.openxmlformats.org/drawingml/2006/main">
          <a:off x="830035" y="3252107"/>
          <a:ext cx="563507" cy="612494"/>
        </a:xfrm>
        <a:prstGeom xmlns:a="http://schemas.openxmlformats.org/drawingml/2006/main" prst="rect">
          <a:avLst/>
        </a:prstGeom>
        <a:noFill xmlns:a="http://schemas.openxmlformats.org/drawingml/2006/main"/>
        <a:ln xmlns:a="http://schemas.openxmlformats.org/drawingml/2006/main" w="9525" cmpd="sng">
          <a:noFill/>
        </a:ln>
        <a:effectLst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ysClr val="windowText" lastClr="000000"/>
              </a:solidFill>
              <a:latin typeface="Calibri"/>
            </a:defRPr>
          </a:lvl1pPr>
          <a:lvl2pPr marL="457200" indent="0">
            <a:defRPr sz="1100">
              <a:solidFill>
                <a:sysClr val="windowText" lastClr="000000"/>
              </a:solidFill>
              <a:latin typeface="Calibri"/>
            </a:defRPr>
          </a:lvl2pPr>
          <a:lvl3pPr marL="914400" indent="0">
            <a:defRPr sz="1100">
              <a:solidFill>
                <a:sysClr val="windowText" lastClr="000000"/>
              </a:solidFill>
              <a:latin typeface="Calibri"/>
            </a:defRPr>
          </a:lvl3pPr>
          <a:lvl4pPr marL="1371600" indent="0">
            <a:defRPr sz="1100">
              <a:solidFill>
                <a:sysClr val="windowText" lastClr="000000"/>
              </a:solidFill>
              <a:latin typeface="Calibri"/>
            </a:defRPr>
          </a:lvl4pPr>
          <a:lvl5pPr marL="1828800" indent="0">
            <a:defRPr sz="1100">
              <a:solidFill>
                <a:sysClr val="windowText" lastClr="000000"/>
              </a:solidFill>
              <a:latin typeface="Calibri"/>
            </a:defRPr>
          </a:lvl5pPr>
          <a:lvl6pPr marL="2286000" indent="0">
            <a:defRPr sz="1100">
              <a:solidFill>
                <a:sysClr val="windowText" lastClr="000000"/>
              </a:solidFill>
              <a:latin typeface="Calibri"/>
            </a:defRPr>
          </a:lvl6pPr>
          <a:lvl7pPr marL="2743200" indent="0">
            <a:defRPr sz="1100">
              <a:solidFill>
                <a:sysClr val="windowText" lastClr="000000"/>
              </a:solidFill>
              <a:latin typeface="Calibri"/>
            </a:defRPr>
          </a:lvl7pPr>
          <a:lvl8pPr marL="3200400" indent="0">
            <a:defRPr sz="1100">
              <a:solidFill>
                <a:sysClr val="windowText" lastClr="000000"/>
              </a:solidFill>
              <a:latin typeface="Calibri"/>
            </a:defRPr>
          </a:lvl8pPr>
          <a:lvl9pPr marL="3657600" indent="0">
            <a:defRPr sz="1100">
              <a:solidFill>
                <a:sysClr val="windowText" lastClr="000000"/>
              </a:solidFill>
              <a:latin typeface="Calibri"/>
            </a:defRPr>
          </a:lvl9pPr>
        </a:lstStyle>
        <a:p xmlns:a="http://schemas.openxmlformats.org/drawingml/2006/main">
          <a:pPr algn="ctr"/>
          <a:r>
            <a:rPr lang="en-GB" sz="1100"/>
            <a:t>FWD Li</a:t>
          </a:r>
          <a:r>
            <a:rPr lang="en-GB" sz="1100" baseline="0"/>
            <a:t>mit</a:t>
          </a:r>
          <a:endParaRPr lang="en-GB" sz="1100"/>
        </a:p>
      </cdr:txBody>
    </cdr:sp>
  </cdr:relSizeAnchor>
  <cdr:relSizeAnchor xmlns:cdr="http://schemas.openxmlformats.org/drawingml/2006/chartDrawing">
    <cdr:from>
      <cdr:x>0.69268</cdr:x>
      <cdr:y>0.57992</cdr:y>
    </cdr:from>
    <cdr:to>
      <cdr:x>0.75885</cdr:x>
      <cdr:y>0.68896</cdr:y>
    </cdr:to>
    <cdr:sp macro="" textlink="">
      <cdr:nvSpPr>
        <cdr:cNvPr id="27" name="TextBox 4">
          <a:extLst xmlns:a="http://schemas.openxmlformats.org/drawingml/2006/main">
            <a:ext uri="{FF2B5EF4-FFF2-40B4-BE49-F238E27FC236}">
              <a16:creationId xmlns:a16="http://schemas.microsoft.com/office/drawing/2014/main" id="{3F162ED2-67E6-481D-B46B-339643935DB6}"/>
            </a:ext>
          </a:extLst>
        </cdr:cNvPr>
        <cdr:cNvSpPr txBox="1"/>
      </cdr:nvSpPr>
      <cdr:spPr>
        <a:xfrm xmlns:a="http://schemas.openxmlformats.org/drawingml/2006/main">
          <a:off x="7587811" y="3257534"/>
          <a:ext cx="724843" cy="612500"/>
        </a:xfrm>
        <a:prstGeom xmlns:a="http://schemas.openxmlformats.org/drawingml/2006/main" prst="rect">
          <a:avLst/>
        </a:prstGeom>
        <a:noFill xmlns:a="http://schemas.openxmlformats.org/drawingml/2006/main"/>
        <a:ln xmlns:a="http://schemas.openxmlformats.org/drawingml/2006/main" w="9525" cmpd="sng">
          <a:noFill/>
        </a:ln>
        <a:effectLst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ysClr val="windowText" lastClr="000000"/>
              </a:solidFill>
              <a:latin typeface="Calibri"/>
            </a:defRPr>
          </a:lvl1pPr>
          <a:lvl2pPr marL="457200" indent="0">
            <a:defRPr sz="1100">
              <a:solidFill>
                <a:sysClr val="windowText" lastClr="000000"/>
              </a:solidFill>
              <a:latin typeface="Calibri"/>
            </a:defRPr>
          </a:lvl2pPr>
          <a:lvl3pPr marL="914400" indent="0">
            <a:defRPr sz="1100">
              <a:solidFill>
                <a:sysClr val="windowText" lastClr="000000"/>
              </a:solidFill>
              <a:latin typeface="Calibri"/>
            </a:defRPr>
          </a:lvl3pPr>
          <a:lvl4pPr marL="1371600" indent="0">
            <a:defRPr sz="1100">
              <a:solidFill>
                <a:sysClr val="windowText" lastClr="000000"/>
              </a:solidFill>
              <a:latin typeface="Calibri"/>
            </a:defRPr>
          </a:lvl4pPr>
          <a:lvl5pPr marL="1828800" indent="0">
            <a:defRPr sz="1100">
              <a:solidFill>
                <a:sysClr val="windowText" lastClr="000000"/>
              </a:solidFill>
              <a:latin typeface="Calibri"/>
            </a:defRPr>
          </a:lvl5pPr>
          <a:lvl6pPr marL="2286000" indent="0">
            <a:defRPr sz="1100">
              <a:solidFill>
                <a:sysClr val="windowText" lastClr="000000"/>
              </a:solidFill>
              <a:latin typeface="Calibri"/>
            </a:defRPr>
          </a:lvl6pPr>
          <a:lvl7pPr marL="2743200" indent="0">
            <a:defRPr sz="1100">
              <a:solidFill>
                <a:sysClr val="windowText" lastClr="000000"/>
              </a:solidFill>
              <a:latin typeface="Calibri"/>
            </a:defRPr>
          </a:lvl7pPr>
          <a:lvl8pPr marL="3200400" indent="0">
            <a:defRPr sz="1100">
              <a:solidFill>
                <a:sysClr val="windowText" lastClr="000000"/>
              </a:solidFill>
              <a:latin typeface="Calibri"/>
            </a:defRPr>
          </a:lvl8pPr>
          <a:lvl9pPr marL="3657600" indent="0">
            <a:defRPr sz="1100">
              <a:solidFill>
                <a:sysClr val="windowText" lastClr="000000"/>
              </a:solidFill>
              <a:latin typeface="Calibri"/>
            </a:defRPr>
          </a:lvl9pPr>
        </a:lstStyle>
        <a:p xmlns:a="http://schemas.openxmlformats.org/drawingml/2006/main">
          <a:pPr algn="ctr"/>
          <a:r>
            <a:rPr lang="en-GB" sz="1100" b="1"/>
            <a:t>Aft </a:t>
          </a:r>
          <a:r>
            <a:rPr lang="en-GB" sz="1100" b="1" baseline="0"/>
            <a:t> Limit</a:t>
          </a:r>
          <a:endParaRPr lang="en-GB" sz="1100" b="1"/>
        </a:p>
      </cdr:txBody>
    </cdr:sp>
  </cdr:relSizeAnchor>
  <cdr:relSizeAnchor xmlns:cdr="http://schemas.openxmlformats.org/drawingml/2006/chartDrawing">
    <cdr:from>
      <cdr:x>0.09747</cdr:x>
      <cdr:y>0.57896</cdr:y>
    </cdr:from>
    <cdr:to>
      <cdr:x>0.16364</cdr:x>
      <cdr:y>0.68799</cdr:y>
    </cdr:to>
    <cdr:sp macro="" textlink="">
      <cdr:nvSpPr>
        <cdr:cNvPr id="28" name="TextBox 4">
          <a:extLst xmlns:a="http://schemas.openxmlformats.org/drawingml/2006/main">
            <a:ext uri="{FF2B5EF4-FFF2-40B4-BE49-F238E27FC236}">
              <a16:creationId xmlns:a16="http://schemas.microsoft.com/office/drawing/2014/main" id="{67C69880-C729-4929-ABFB-81FBB31D916D}"/>
            </a:ext>
          </a:extLst>
        </cdr:cNvPr>
        <cdr:cNvSpPr txBox="1"/>
      </cdr:nvSpPr>
      <cdr:spPr>
        <a:xfrm xmlns:a="http://schemas.openxmlformats.org/drawingml/2006/main">
          <a:off x="830035" y="3252107"/>
          <a:ext cx="563507" cy="612494"/>
        </a:xfrm>
        <a:prstGeom xmlns:a="http://schemas.openxmlformats.org/drawingml/2006/main" prst="rect">
          <a:avLst/>
        </a:prstGeom>
        <a:noFill xmlns:a="http://schemas.openxmlformats.org/drawingml/2006/main"/>
        <a:ln xmlns:a="http://schemas.openxmlformats.org/drawingml/2006/main" w="9525" cmpd="sng">
          <a:noFill/>
        </a:ln>
        <a:effectLst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ysClr val="windowText" lastClr="000000"/>
              </a:solidFill>
              <a:latin typeface="Calibri"/>
            </a:defRPr>
          </a:lvl1pPr>
          <a:lvl2pPr marL="457200" indent="0">
            <a:defRPr sz="1100">
              <a:solidFill>
                <a:sysClr val="windowText" lastClr="000000"/>
              </a:solidFill>
              <a:latin typeface="Calibri"/>
            </a:defRPr>
          </a:lvl2pPr>
          <a:lvl3pPr marL="914400" indent="0">
            <a:defRPr sz="1100">
              <a:solidFill>
                <a:sysClr val="windowText" lastClr="000000"/>
              </a:solidFill>
              <a:latin typeface="Calibri"/>
            </a:defRPr>
          </a:lvl3pPr>
          <a:lvl4pPr marL="1371600" indent="0">
            <a:defRPr sz="1100">
              <a:solidFill>
                <a:sysClr val="windowText" lastClr="000000"/>
              </a:solidFill>
              <a:latin typeface="Calibri"/>
            </a:defRPr>
          </a:lvl4pPr>
          <a:lvl5pPr marL="1828800" indent="0">
            <a:defRPr sz="1100">
              <a:solidFill>
                <a:sysClr val="windowText" lastClr="000000"/>
              </a:solidFill>
              <a:latin typeface="Calibri"/>
            </a:defRPr>
          </a:lvl5pPr>
          <a:lvl6pPr marL="2286000" indent="0">
            <a:defRPr sz="1100">
              <a:solidFill>
                <a:sysClr val="windowText" lastClr="000000"/>
              </a:solidFill>
              <a:latin typeface="Calibri"/>
            </a:defRPr>
          </a:lvl6pPr>
          <a:lvl7pPr marL="2743200" indent="0">
            <a:defRPr sz="1100">
              <a:solidFill>
                <a:sysClr val="windowText" lastClr="000000"/>
              </a:solidFill>
              <a:latin typeface="Calibri"/>
            </a:defRPr>
          </a:lvl7pPr>
          <a:lvl8pPr marL="3200400" indent="0">
            <a:defRPr sz="1100">
              <a:solidFill>
                <a:sysClr val="windowText" lastClr="000000"/>
              </a:solidFill>
              <a:latin typeface="Calibri"/>
            </a:defRPr>
          </a:lvl8pPr>
          <a:lvl9pPr marL="3657600" indent="0">
            <a:defRPr sz="1100">
              <a:solidFill>
                <a:sysClr val="windowText" lastClr="000000"/>
              </a:solidFill>
              <a:latin typeface="Calibri"/>
            </a:defRPr>
          </a:lvl9pPr>
        </a:lstStyle>
        <a:p xmlns:a="http://schemas.openxmlformats.org/drawingml/2006/main">
          <a:pPr algn="ctr"/>
          <a:r>
            <a:rPr lang="en-GB" sz="1100"/>
            <a:t>FWD Li</a:t>
          </a:r>
          <a:r>
            <a:rPr lang="en-GB" sz="1100" baseline="0"/>
            <a:t>mit</a:t>
          </a:r>
          <a:endParaRPr lang="en-GB" sz="1100"/>
        </a:p>
      </cdr:txBody>
    </cdr:sp>
  </cdr:relSizeAnchor>
</c:userShapes>
</file>

<file path=xl/drawings/drawing8.xml><?xml version="1.0" encoding="utf-8"?>
<xdr:wsDr xmlns:xdr="http://schemas.openxmlformats.org/drawingml/2006/spreadsheetDrawing" xmlns:a="http://schemas.openxmlformats.org/drawingml/2006/main">
  <xdr:twoCellAnchor>
    <xdr:from>
      <xdr:col>1</xdr:col>
      <xdr:colOff>0</xdr:colOff>
      <xdr:row>3</xdr:row>
      <xdr:rowOff>0</xdr:rowOff>
    </xdr:from>
    <xdr:to>
      <xdr:col>18</xdr:col>
      <xdr:colOff>591600</xdr:colOff>
      <xdr:row>32</xdr:row>
      <xdr:rowOff>92700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c:userShapes xmlns:c="http://schemas.openxmlformats.org/drawingml/2006/chart">
  <cdr:relSizeAnchor xmlns:cdr="http://schemas.openxmlformats.org/drawingml/2006/chartDrawing">
    <cdr:from>
      <cdr:x>0.70052</cdr:x>
      <cdr:y>0.63955</cdr:y>
    </cdr:from>
    <cdr:to>
      <cdr:x>0.94499</cdr:x>
      <cdr:y>0.81154</cdr:y>
    </cdr:to>
    <cdr:sp macro="" textlink="">
      <cdr:nvSpPr>
        <cdr:cNvPr id="2" name="TextBox 1">
          <a:extLst xmlns:a="http://schemas.openxmlformats.org/drawingml/2006/main">
            <a:ext uri="{FF2B5EF4-FFF2-40B4-BE49-F238E27FC236}">
              <a16:creationId xmlns:a16="http://schemas.microsoft.com/office/drawing/2014/main" id="{19224295-294C-4193-8D89-1417A70DA524}"/>
            </a:ext>
          </a:extLst>
        </cdr:cNvPr>
        <cdr:cNvSpPr txBox="1"/>
      </cdr:nvSpPr>
      <cdr:spPr>
        <a:xfrm xmlns:a="http://schemas.openxmlformats.org/drawingml/2006/main">
          <a:off x="5965543" y="3592460"/>
          <a:ext cx="2081893" cy="96610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b="0"/>
        </a:p>
      </cdr:txBody>
    </cdr:sp>
  </cdr:relSizeAnchor>
  <cdr:relSizeAnchor xmlns:cdr="http://schemas.openxmlformats.org/drawingml/2006/chartDrawing">
    <cdr:from>
      <cdr:x>0.70052</cdr:x>
      <cdr:y>0.63955</cdr:y>
    </cdr:from>
    <cdr:to>
      <cdr:x>0.94499</cdr:x>
      <cdr:y>0.81154</cdr:y>
    </cdr:to>
    <cdr:sp macro="" textlink="">
      <cdr:nvSpPr>
        <cdr:cNvPr id="5" name="TextBox 1">
          <a:extLst xmlns:a="http://schemas.openxmlformats.org/drawingml/2006/main">
            <a:ext uri="{FF2B5EF4-FFF2-40B4-BE49-F238E27FC236}">
              <a16:creationId xmlns:a16="http://schemas.microsoft.com/office/drawing/2014/main" id="{63E646F9-2CC1-4F9D-BFA6-744447633215}"/>
            </a:ext>
          </a:extLst>
        </cdr:cNvPr>
        <cdr:cNvSpPr txBox="1"/>
      </cdr:nvSpPr>
      <cdr:spPr>
        <a:xfrm xmlns:a="http://schemas.openxmlformats.org/drawingml/2006/main">
          <a:off x="5965543" y="3592460"/>
          <a:ext cx="2081893" cy="96610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b="0"/>
        </a:p>
      </cdr:txBody>
    </cdr:sp>
  </cdr:relSizeAnchor>
  <cdr:relSizeAnchor xmlns:cdr="http://schemas.openxmlformats.org/drawingml/2006/chartDrawing">
    <cdr:from>
      <cdr:x>0.47169</cdr:x>
      <cdr:y>0.26477</cdr:y>
    </cdr:from>
    <cdr:to>
      <cdr:x>0.62029</cdr:x>
      <cdr:y>0.29868</cdr:y>
    </cdr:to>
    <cdr:sp macro="" textlink="">
      <cdr:nvSpPr>
        <cdr:cNvPr id="6" name="TextBox 4">
          <a:extLst xmlns:a="http://schemas.openxmlformats.org/drawingml/2006/main">
            <a:ext uri="{FF2B5EF4-FFF2-40B4-BE49-F238E27FC236}">
              <a16:creationId xmlns:a16="http://schemas.microsoft.com/office/drawing/2014/main" id="{350EB6F2-E8FE-4C45-8D9E-8645BAC0323C}"/>
            </a:ext>
          </a:extLst>
        </cdr:cNvPr>
        <cdr:cNvSpPr txBox="1"/>
      </cdr:nvSpPr>
      <cdr:spPr>
        <a:xfrm xmlns:a="http://schemas.openxmlformats.org/drawingml/2006/main">
          <a:off x="5167270" y="1487266"/>
          <a:ext cx="1627883" cy="190479"/>
        </a:xfrm>
        <a:prstGeom xmlns:a="http://schemas.openxmlformats.org/drawingml/2006/main" prst="rect">
          <a:avLst/>
        </a:prstGeom>
        <a:noFill xmlns:a="http://schemas.openxmlformats.org/drawingml/2006/main"/>
        <a:ln xmlns:a="http://schemas.openxmlformats.org/drawingml/2006/main" w="9525" cmpd="sng">
          <a:noFill/>
        </a:ln>
        <a:effectLst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ysClr val="windowText" lastClr="000000"/>
              </a:solidFill>
              <a:latin typeface="Calibri"/>
            </a:defRPr>
          </a:lvl1pPr>
          <a:lvl2pPr marL="457200" indent="0">
            <a:defRPr sz="1100">
              <a:solidFill>
                <a:sysClr val="windowText" lastClr="000000"/>
              </a:solidFill>
              <a:latin typeface="Calibri"/>
            </a:defRPr>
          </a:lvl2pPr>
          <a:lvl3pPr marL="914400" indent="0">
            <a:defRPr sz="1100">
              <a:solidFill>
                <a:sysClr val="windowText" lastClr="000000"/>
              </a:solidFill>
              <a:latin typeface="Calibri"/>
            </a:defRPr>
          </a:lvl3pPr>
          <a:lvl4pPr marL="1371600" indent="0">
            <a:defRPr sz="1100">
              <a:solidFill>
                <a:sysClr val="windowText" lastClr="000000"/>
              </a:solidFill>
              <a:latin typeface="Calibri"/>
            </a:defRPr>
          </a:lvl4pPr>
          <a:lvl5pPr marL="1828800" indent="0">
            <a:defRPr sz="1100">
              <a:solidFill>
                <a:sysClr val="windowText" lastClr="000000"/>
              </a:solidFill>
              <a:latin typeface="Calibri"/>
            </a:defRPr>
          </a:lvl5pPr>
          <a:lvl6pPr marL="2286000" indent="0">
            <a:defRPr sz="1100">
              <a:solidFill>
                <a:sysClr val="windowText" lastClr="000000"/>
              </a:solidFill>
              <a:latin typeface="Calibri"/>
            </a:defRPr>
          </a:lvl6pPr>
          <a:lvl7pPr marL="2743200" indent="0">
            <a:defRPr sz="1100">
              <a:solidFill>
                <a:sysClr val="windowText" lastClr="000000"/>
              </a:solidFill>
              <a:latin typeface="Calibri"/>
            </a:defRPr>
          </a:lvl7pPr>
          <a:lvl8pPr marL="3200400" indent="0">
            <a:defRPr sz="1100">
              <a:solidFill>
                <a:sysClr val="windowText" lastClr="000000"/>
              </a:solidFill>
              <a:latin typeface="Calibri"/>
            </a:defRPr>
          </a:lvl8pPr>
          <a:lvl9pPr marL="3657600" indent="0">
            <a:defRPr sz="1100">
              <a:solidFill>
                <a:sysClr val="windowText" lastClr="000000"/>
              </a:solidFill>
              <a:latin typeface="Calibri"/>
            </a:defRPr>
          </a:lvl9pPr>
        </a:lstStyle>
        <a:p xmlns:a="http://schemas.openxmlformats.org/drawingml/2006/main">
          <a:pPr algn="ctr"/>
          <a:r>
            <a:rPr lang="en-GB" sz="1100" b="1"/>
            <a:t>Normal Category</a:t>
          </a:r>
        </a:p>
      </cdr:txBody>
    </cdr:sp>
  </cdr:relSizeAnchor>
  <cdr:relSizeAnchor xmlns:cdr="http://schemas.openxmlformats.org/drawingml/2006/chartDrawing">
    <cdr:from>
      <cdr:x>0.73555</cdr:x>
      <cdr:y>0.5867</cdr:y>
    </cdr:from>
    <cdr:to>
      <cdr:x>0.80172</cdr:x>
      <cdr:y>0.69574</cdr:y>
    </cdr:to>
    <cdr:sp macro="" textlink="">
      <cdr:nvSpPr>
        <cdr:cNvPr id="8" name="TextBox 4">
          <a:extLst xmlns:a="http://schemas.openxmlformats.org/drawingml/2006/main">
            <a:ext uri="{FF2B5EF4-FFF2-40B4-BE49-F238E27FC236}">
              <a16:creationId xmlns:a16="http://schemas.microsoft.com/office/drawing/2014/main" id="{D7539127-D89D-4DFB-AECD-FF12924EBE15}"/>
            </a:ext>
          </a:extLst>
        </cdr:cNvPr>
        <cdr:cNvSpPr txBox="1"/>
      </cdr:nvSpPr>
      <cdr:spPr>
        <a:xfrm xmlns:a="http://schemas.openxmlformats.org/drawingml/2006/main">
          <a:off x="8057769" y="3295627"/>
          <a:ext cx="724879" cy="612499"/>
        </a:xfrm>
        <a:prstGeom xmlns:a="http://schemas.openxmlformats.org/drawingml/2006/main" prst="rect">
          <a:avLst/>
        </a:prstGeom>
        <a:noFill xmlns:a="http://schemas.openxmlformats.org/drawingml/2006/main"/>
        <a:ln xmlns:a="http://schemas.openxmlformats.org/drawingml/2006/main" w="9525" cmpd="sng">
          <a:noFill/>
        </a:ln>
        <a:effectLst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ysClr val="windowText" lastClr="000000"/>
              </a:solidFill>
              <a:latin typeface="Calibri"/>
            </a:defRPr>
          </a:lvl1pPr>
          <a:lvl2pPr marL="457200" indent="0">
            <a:defRPr sz="1100">
              <a:solidFill>
                <a:sysClr val="windowText" lastClr="000000"/>
              </a:solidFill>
              <a:latin typeface="Calibri"/>
            </a:defRPr>
          </a:lvl2pPr>
          <a:lvl3pPr marL="914400" indent="0">
            <a:defRPr sz="1100">
              <a:solidFill>
                <a:sysClr val="windowText" lastClr="000000"/>
              </a:solidFill>
              <a:latin typeface="Calibri"/>
            </a:defRPr>
          </a:lvl3pPr>
          <a:lvl4pPr marL="1371600" indent="0">
            <a:defRPr sz="1100">
              <a:solidFill>
                <a:sysClr val="windowText" lastClr="000000"/>
              </a:solidFill>
              <a:latin typeface="Calibri"/>
            </a:defRPr>
          </a:lvl4pPr>
          <a:lvl5pPr marL="1828800" indent="0">
            <a:defRPr sz="1100">
              <a:solidFill>
                <a:sysClr val="windowText" lastClr="000000"/>
              </a:solidFill>
              <a:latin typeface="Calibri"/>
            </a:defRPr>
          </a:lvl5pPr>
          <a:lvl6pPr marL="2286000" indent="0">
            <a:defRPr sz="1100">
              <a:solidFill>
                <a:sysClr val="windowText" lastClr="000000"/>
              </a:solidFill>
              <a:latin typeface="Calibri"/>
            </a:defRPr>
          </a:lvl6pPr>
          <a:lvl7pPr marL="2743200" indent="0">
            <a:defRPr sz="1100">
              <a:solidFill>
                <a:sysClr val="windowText" lastClr="000000"/>
              </a:solidFill>
              <a:latin typeface="Calibri"/>
            </a:defRPr>
          </a:lvl7pPr>
          <a:lvl8pPr marL="3200400" indent="0">
            <a:defRPr sz="1100">
              <a:solidFill>
                <a:sysClr val="windowText" lastClr="000000"/>
              </a:solidFill>
              <a:latin typeface="Calibri"/>
            </a:defRPr>
          </a:lvl8pPr>
          <a:lvl9pPr marL="3657600" indent="0">
            <a:defRPr sz="1100">
              <a:solidFill>
                <a:sysClr val="windowText" lastClr="000000"/>
              </a:solidFill>
              <a:latin typeface="Calibri"/>
            </a:defRPr>
          </a:lvl9pPr>
        </a:lstStyle>
        <a:p xmlns:a="http://schemas.openxmlformats.org/drawingml/2006/main">
          <a:pPr algn="ctr"/>
          <a:r>
            <a:rPr lang="en-GB" sz="1100" b="1"/>
            <a:t>Aft </a:t>
          </a:r>
          <a:r>
            <a:rPr lang="en-GB" sz="1100" b="1" baseline="0"/>
            <a:t> Limit</a:t>
          </a:r>
          <a:endParaRPr lang="en-GB" sz="1100" b="1"/>
        </a:p>
      </cdr:txBody>
    </cdr:sp>
  </cdr:relSizeAnchor>
  <cdr:relSizeAnchor xmlns:cdr="http://schemas.openxmlformats.org/drawingml/2006/chartDrawing">
    <cdr:from>
      <cdr:x>0.15229</cdr:x>
      <cdr:y>0.49248</cdr:y>
    </cdr:from>
    <cdr:to>
      <cdr:x>0.21846</cdr:x>
      <cdr:y>0.60151</cdr:y>
    </cdr:to>
    <cdr:sp macro="" textlink="">
      <cdr:nvSpPr>
        <cdr:cNvPr id="9" name="TextBox 4">
          <a:extLst xmlns:a="http://schemas.openxmlformats.org/drawingml/2006/main">
            <a:ext uri="{FF2B5EF4-FFF2-40B4-BE49-F238E27FC236}">
              <a16:creationId xmlns:a16="http://schemas.microsoft.com/office/drawing/2014/main" id="{2395577D-B81C-4DF5-8A88-86A330EB7D4E}"/>
            </a:ext>
          </a:extLst>
        </cdr:cNvPr>
        <cdr:cNvSpPr txBox="1"/>
      </cdr:nvSpPr>
      <cdr:spPr>
        <a:xfrm xmlns:a="http://schemas.openxmlformats.org/drawingml/2006/main">
          <a:off x="1668350" y="2766343"/>
          <a:ext cx="724879" cy="612443"/>
        </a:xfrm>
        <a:prstGeom xmlns:a="http://schemas.openxmlformats.org/drawingml/2006/main" prst="rect">
          <a:avLst/>
        </a:prstGeom>
        <a:noFill xmlns:a="http://schemas.openxmlformats.org/drawingml/2006/main"/>
        <a:ln xmlns:a="http://schemas.openxmlformats.org/drawingml/2006/main" w="9525" cmpd="sng">
          <a:noFill/>
        </a:ln>
        <a:effectLst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ysClr val="windowText" lastClr="000000"/>
              </a:solidFill>
              <a:latin typeface="Calibri"/>
            </a:defRPr>
          </a:lvl1pPr>
          <a:lvl2pPr marL="457200" indent="0">
            <a:defRPr sz="1100">
              <a:solidFill>
                <a:sysClr val="windowText" lastClr="000000"/>
              </a:solidFill>
              <a:latin typeface="Calibri"/>
            </a:defRPr>
          </a:lvl2pPr>
          <a:lvl3pPr marL="914400" indent="0">
            <a:defRPr sz="1100">
              <a:solidFill>
                <a:sysClr val="windowText" lastClr="000000"/>
              </a:solidFill>
              <a:latin typeface="Calibri"/>
            </a:defRPr>
          </a:lvl3pPr>
          <a:lvl4pPr marL="1371600" indent="0">
            <a:defRPr sz="1100">
              <a:solidFill>
                <a:sysClr val="windowText" lastClr="000000"/>
              </a:solidFill>
              <a:latin typeface="Calibri"/>
            </a:defRPr>
          </a:lvl4pPr>
          <a:lvl5pPr marL="1828800" indent="0">
            <a:defRPr sz="1100">
              <a:solidFill>
                <a:sysClr val="windowText" lastClr="000000"/>
              </a:solidFill>
              <a:latin typeface="Calibri"/>
            </a:defRPr>
          </a:lvl5pPr>
          <a:lvl6pPr marL="2286000" indent="0">
            <a:defRPr sz="1100">
              <a:solidFill>
                <a:sysClr val="windowText" lastClr="000000"/>
              </a:solidFill>
              <a:latin typeface="Calibri"/>
            </a:defRPr>
          </a:lvl6pPr>
          <a:lvl7pPr marL="2743200" indent="0">
            <a:defRPr sz="1100">
              <a:solidFill>
                <a:sysClr val="windowText" lastClr="000000"/>
              </a:solidFill>
              <a:latin typeface="Calibri"/>
            </a:defRPr>
          </a:lvl7pPr>
          <a:lvl8pPr marL="3200400" indent="0">
            <a:defRPr sz="1100">
              <a:solidFill>
                <a:sysClr val="windowText" lastClr="000000"/>
              </a:solidFill>
              <a:latin typeface="Calibri"/>
            </a:defRPr>
          </a:lvl8pPr>
          <a:lvl9pPr marL="3657600" indent="0">
            <a:defRPr sz="1100">
              <a:solidFill>
                <a:sysClr val="windowText" lastClr="000000"/>
              </a:solidFill>
              <a:latin typeface="Calibri"/>
            </a:defRPr>
          </a:lvl9pPr>
        </a:lstStyle>
        <a:p xmlns:a="http://schemas.openxmlformats.org/drawingml/2006/main">
          <a:pPr algn="ctr"/>
          <a:r>
            <a:rPr lang="en-GB" sz="1100" b="1"/>
            <a:t>FWD Li</a:t>
          </a:r>
          <a:r>
            <a:rPr lang="en-GB" sz="1100" b="1" baseline="0"/>
            <a:t>mit</a:t>
          </a:r>
          <a:endParaRPr lang="en-GB" sz="1100" b="1"/>
        </a:p>
      </cdr:txBody>
    </cdr:sp>
  </cdr:relSizeAnchor>
  <cdr:relSizeAnchor xmlns:cdr="http://schemas.openxmlformats.org/drawingml/2006/chartDrawing">
    <cdr:from>
      <cdr:x>0.80862</cdr:x>
      <cdr:y>0.65114</cdr:y>
    </cdr:from>
    <cdr:to>
      <cdr:x>0.98596</cdr:x>
      <cdr:y>0.82313</cdr:y>
    </cdr:to>
    <cdr:sp macro="" textlink="">
      <cdr:nvSpPr>
        <cdr:cNvPr id="7" name="TextBox 1">
          <a:extLst xmlns:a="http://schemas.openxmlformats.org/drawingml/2006/main">
            <a:ext uri="{FF2B5EF4-FFF2-40B4-BE49-F238E27FC236}">
              <a16:creationId xmlns:a16="http://schemas.microsoft.com/office/drawing/2014/main" id="{DEDA1019-B2FE-48D9-85C3-C97A74052564}"/>
            </a:ext>
          </a:extLst>
        </cdr:cNvPr>
        <cdr:cNvSpPr txBox="1"/>
      </cdr:nvSpPr>
      <cdr:spPr>
        <a:xfrm xmlns:a="http://schemas.openxmlformats.org/drawingml/2006/main">
          <a:off x="8858250" y="3657600"/>
          <a:ext cx="1942737" cy="96610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r>
            <a:rPr lang="en-GB" sz="1100" b="1"/>
            <a:t>NOTE:</a:t>
          </a:r>
        </a:p>
        <a:p xmlns:a="http://schemas.openxmlformats.org/drawingml/2006/main">
          <a:r>
            <a:rPr lang="en-GB" sz="1100" b="0"/>
            <a:t>The PA28R is only handled in the Normal category. Please see POH/FM for</a:t>
          </a:r>
          <a:r>
            <a:rPr lang="en-GB" sz="1100" b="0" baseline="0"/>
            <a:t> handling conditions.</a:t>
          </a:r>
          <a:endParaRPr lang="en-GB" sz="1100" b="0"/>
        </a:p>
      </cdr:txBody>
    </cdr:sp>
  </cdr:relSizeAnchor>
</c:userShapes>
</file>

<file path=xl/drawings/drawing10.xml><?xml version="1.0" encoding="utf-8"?>
<xdr:wsDr xmlns:xdr="http://schemas.openxmlformats.org/drawingml/2006/spreadsheetDrawing" xmlns:a="http://schemas.openxmlformats.org/drawingml/2006/main">
  <xdr:twoCellAnchor>
    <xdr:from>
      <xdr:col>1</xdr:col>
      <xdr:colOff>0</xdr:colOff>
      <xdr:row>3</xdr:row>
      <xdr:rowOff>0</xdr:rowOff>
    </xdr:from>
    <xdr:to>
      <xdr:col>18</xdr:col>
      <xdr:colOff>591600</xdr:colOff>
      <xdr:row>32</xdr:row>
      <xdr:rowOff>92700</xdr:rowOff>
    </xdr:to>
    <xdr:graphicFrame macro="">
      <xdr:nvGraphicFramePr>
        <xdr:cNvPr id="3" name="Chart 2">
          <a:extLst>
            <a:ext uri="{FF2B5EF4-FFF2-40B4-BE49-F238E27FC236}">
              <a16:creationId xmlns:a16="http://schemas.microsoft.com/office/drawing/2014/main" id="{00000000-0008-0000-09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c:userShapes xmlns:c="http://schemas.openxmlformats.org/drawingml/2006/chart">
  <cdr:relSizeAnchor xmlns:cdr="http://schemas.openxmlformats.org/drawingml/2006/chartDrawing">
    <cdr:from>
      <cdr:x>0.70052</cdr:x>
      <cdr:y>0.63955</cdr:y>
    </cdr:from>
    <cdr:to>
      <cdr:x>0.94499</cdr:x>
      <cdr:y>0.81154</cdr:y>
    </cdr:to>
    <cdr:sp macro="" textlink="">
      <cdr:nvSpPr>
        <cdr:cNvPr id="2" name="TextBox 1">
          <a:extLst xmlns:a="http://schemas.openxmlformats.org/drawingml/2006/main">
            <a:ext uri="{FF2B5EF4-FFF2-40B4-BE49-F238E27FC236}">
              <a16:creationId xmlns:a16="http://schemas.microsoft.com/office/drawing/2014/main" id="{C19C4D1A-CFB3-48C1-A201-D009A6711E41}"/>
            </a:ext>
          </a:extLst>
        </cdr:cNvPr>
        <cdr:cNvSpPr txBox="1"/>
      </cdr:nvSpPr>
      <cdr:spPr>
        <a:xfrm xmlns:a="http://schemas.openxmlformats.org/drawingml/2006/main">
          <a:off x="5965543" y="3592460"/>
          <a:ext cx="2081893" cy="96610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b="0"/>
        </a:p>
      </cdr:txBody>
    </cdr:sp>
  </cdr:relSizeAnchor>
  <cdr:relSizeAnchor xmlns:cdr="http://schemas.openxmlformats.org/drawingml/2006/chartDrawing">
    <cdr:from>
      <cdr:x>0.70052</cdr:x>
      <cdr:y>0.63955</cdr:y>
    </cdr:from>
    <cdr:to>
      <cdr:x>0.94499</cdr:x>
      <cdr:y>0.81154</cdr:y>
    </cdr:to>
    <cdr:sp macro="" textlink="">
      <cdr:nvSpPr>
        <cdr:cNvPr id="5" name="TextBox 1">
          <a:extLst xmlns:a="http://schemas.openxmlformats.org/drawingml/2006/main">
            <a:ext uri="{FF2B5EF4-FFF2-40B4-BE49-F238E27FC236}">
              <a16:creationId xmlns:a16="http://schemas.microsoft.com/office/drawing/2014/main" id="{FD04F02E-FCEF-40A5-8A17-AD3D5ED9379E}"/>
            </a:ext>
          </a:extLst>
        </cdr:cNvPr>
        <cdr:cNvSpPr txBox="1"/>
      </cdr:nvSpPr>
      <cdr:spPr>
        <a:xfrm xmlns:a="http://schemas.openxmlformats.org/drawingml/2006/main">
          <a:off x="5965543" y="3592460"/>
          <a:ext cx="2081893" cy="96610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b="0"/>
        </a:p>
      </cdr:txBody>
    </cdr:sp>
  </cdr:relSizeAnchor>
  <cdr:relSizeAnchor xmlns:cdr="http://schemas.openxmlformats.org/drawingml/2006/chartDrawing">
    <cdr:from>
      <cdr:x>0.47169</cdr:x>
      <cdr:y>0.26477</cdr:y>
    </cdr:from>
    <cdr:to>
      <cdr:x>0.62029</cdr:x>
      <cdr:y>0.29868</cdr:y>
    </cdr:to>
    <cdr:sp macro="" textlink="">
      <cdr:nvSpPr>
        <cdr:cNvPr id="6" name="TextBox 4">
          <a:extLst xmlns:a="http://schemas.openxmlformats.org/drawingml/2006/main">
            <a:ext uri="{FF2B5EF4-FFF2-40B4-BE49-F238E27FC236}">
              <a16:creationId xmlns:a16="http://schemas.microsoft.com/office/drawing/2014/main" id="{C08586E9-E9EF-45AC-AC12-C11D3F3FCFBF}"/>
            </a:ext>
          </a:extLst>
        </cdr:cNvPr>
        <cdr:cNvSpPr txBox="1"/>
      </cdr:nvSpPr>
      <cdr:spPr>
        <a:xfrm xmlns:a="http://schemas.openxmlformats.org/drawingml/2006/main">
          <a:off x="5167270" y="1487266"/>
          <a:ext cx="1627883" cy="190479"/>
        </a:xfrm>
        <a:prstGeom xmlns:a="http://schemas.openxmlformats.org/drawingml/2006/main" prst="rect">
          <a:avLst/>
        </a:prstGeom>
        <a:noFill xmlns:a="http://schemas.openxmlformats.org/drawingml/2006/main"/>
        <a:ln xmlns:a="http://schemas.openxmlformats.org/drawingml/2006/main" w="9525" cmpd="sng">
          <a:noFill/>
        </a:ln>
        <a:effectLst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ysClr val="windowText" lastClr="000000"/>
              </a:solidFill>
              <a:latin typeface="Calibri"/>
            </a:defRPr>
          </a:lvl1pPr>
          <a:lvl2pPr marL="457200" indent="0">
            <a:defRPr sz="1100">
              <a:solidFill>
                <a:sysClr val="windowText" lastClr="000000"/>
              </a:solidFill>
              <a:latin typeface="Calibri"/>
            </a:defRPr>
          </a:lvl2pPr>
          <a:lvl3pPr marL="914400" indent="0">
            <a:defRPr sz="1100">
              <a:solidFill>
                <a:sysClr val="windowText" lastClr="000000"/>
              </a:solidFill>
              <a:latin typeface="Calibri"/>
            </a:defRPr>
          </a:lvl3pPr>
          <a:lvl4pPr marL="1371600" indent="0">
            <a:defRPr sz="1100">
              <a:solidFill>
                <a:sysClr val="windowText" lastClr="000000"/>
              </a:solidFill>
              <a:latin typeface="Calibri"/>
            </a:defRPr>
          </a:lvl4pPr>
          <a:lvl5pPr marL="1828800" indent="0">
            <a:defRPr sz="1100">
              <a:solidFill>
                <a:sysClr val="windowText" lastClr="000000"/>
              </a:solidFill>
              <a:latin typeface="Calibri"/>
            </a:defRPr>
          </a:lvl5pPr>
          <a:lvl6pPr marL="2286000" indent="0">
            <a:defRPr sz="1100">
              <a:solidFill>
                <a:sysClr val="windowText" lastClr="000000"/>
              </a:solidFill>
              <a:latin typeface="Calibri"/>
            </a:defRPr>
          </a:lvl6pPr>
          <a:lvl7pPr marL="2743200" indent="0">
            <a:defRPr sz="1100">
              <a:solidFill>
                <a:sysClr val="windowText" lastClr="000000"/>
              </a:solidFill>
              <a:latin typeface="Calibri"/>
            </a:defRPr>
          </a:lvl7pPr>
          <a:lvl8pPr marL="3200400" indent="0">
            <a:defRPr sz="1100">
              <a:solidFill>
                <a:sysClr val="windowText" lastClr="000000"/>
              </a:solidFill>
              <a:latin typeface="Calibri"/>
            </a:defRPr>
          </a:lvl8pPr>
          <a:lvl9pPr marL="3657600" indent="0">
            <a:defRPr sz="1100">
              <a:solidFill>
                <a:sysClr val="windowText" lastClr="000000"/>
              </a:solidFill>
              <a:latin typeface="Calibri"/>
            </a:defRPr>
          </a:lvl9pPr>
        </a:lstStyle>
        <a:p xmlns:a="http://schemas.openxmlformats.org/drawingml/2006/main">
          <a:pPr algn="ctr"/>
          <a:r>
            <a:rPr lang="en-GB" sz="1100" b="1"/>
            <a:t>Normal Category</a:t>
          </a:r>
        </a:p>
      </cdr:txBody>
    </cdr:sp>
  </cdr:relSizeAnchor>
  <cdr:relSizeAnchor xmlns:cdr="http://schemas.openxmlformats.org/drawingml/2006/chartDrawing">
    <cdr:from>
      <cdr:x>0.6799</cdr:x>
      <cdr:y>0.57992</cdr:y>
    </cdr:from>
    <cdr:to>
      <cdr:x>0.74607</cdr:x>
      <cdr:y>0.68896</cdr:y>
    </cdr:to>
    <cdr:sp macro="" textlink="">
      <cdr:nvSpPr>
        <cdr:cNvPr id="8" name="TextBox 4">
          <a:extLst xmlns:a="http://schemas.openxmlformats.org/drawingml/2006/main">
            <a:ext uri="{FF2B5EF4-FFF2-40B4-BE49-F238E27FC236}">
              <a16:creationId xmlns:a16="http://schemas.microsoft.com/office/drawing/2014/main" id="{E5BCE794-D67A-4C9E-B9DA-09B178D0B77C}"/>
            </a:ext>
          </a:extLst>
        </cdr:cNvPr>
        <cdr:cNvSpPr txBox="1"/>
      </cdr:nvSpPr>
      <cdr:spPr>
        <a:xfrm xmlns:a="http://schemas.openxmlformats.org/drawingml/2006/main">
          <a:off x="7448213" y="3257527"/>
          <a:ext cx="724879" cy="612499"/>
        </a:xfrm>
        <a:prstGeom xmlns:a="http://schemas.openxmlformats.org/drawingml/2006/main" prst="rect">
          <a:avLst/>
        </a:prstGeom>
        <a:noFill xmlns:a="http://schemas.openxmlformats.org/drawingml/2006/main"/>
        <a:ln xmlns:a="http://schemas.openxmlformats.org/drawingml/2006/main" w="9525" cmpd="sng">
          <a:noFill/>
        </a:ln>
        <a:effectLst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ysClr val="windowText" lastClr="000000"/>
              </a:solidFill>
              <a:latin typeface="Calibri"/>
            </a:defRPr>
          </a:lvl1pPr>
          <a:lvl2pPr marL="457200" indent="0">
            <a:defRPr sz="1100">
              <a:solidFill>
                <a:sysClr val="windowText" lastClr="000000"/>
              </a:solidFill>
              <a:latin typeface="Calibri"/>
            </a:defRPr>
          </a:lvl2pPr>
          <a:lvl3pPr marL="914400" indent="0">
            <a:defRPr sz="1100">
              <a:solidFill>
                <a:sysClr val="windowText" lastClr="000000"/>
              </a:solidFill>
              <a:latin typeface="Calibri"/>
            </a:defRPr>
          </a:lvl3pPr>
          <a:lvl4pPr marL="1371600" indent="0">
            <a:defRPr sz="1100">
              <a:solidFill>
                <a:sysClr val="windowText" lastClr="000000"/>
              </a:solidFill>
              <a:latin typeface="Calibri"/>
            </a:defRPr>
          </a:lvl4pPr>
          <a:lvl5pPr marL="1828800" indent="0">
            <a:defRPr sz="1100">
              <a:solidFill>
                <a:sysClr val="windowText" lastClr="000000"/>
              </a:solidFill>
              <a:latin typeface="Calibri"/>
            </a:defRPr>
          </a:lvl5pPr>
          <a:lvl6pPr marL="2286000" indent="0">
            <a:defRPr sz="1100">
              <a:solidFill>
                <a:sysClr val="windowText" lastClr="000000"/>
              </a:solidFill>
              <a:latin typeface="Calibri"/>
            </a:defRPr>
          </a:lvl6pPr>
          <a:lvl7pPr marL="2743200" indent="0">
            <a:defRPr sz="1100">
              <a:solidFill>
                <a:sysClr val="windowText" lastClr="000000"/>
              </a:solidFill>
              <a:latin typeface="Calibri"/>
            </a:defRPr>
          </a:lvl7pPr>
          <a:lvl8pPr marL="3200400" indent="0">
            <a:defRPr sz="1100">
              <a:solidFill>
                <a:sysClr val="windowText" lastClr="000000"/>
              </a:solidFill>
              <a:latin typeface="Calibri"/>
            </a:defRPr>
          </a:lvl8pPr>
          <a:lvl9pPr marL="3657600" indent="0">
            <a:defRPr sz="1100">
              <a:solidFill>
                <a:sysClr val="windowText" lastClr="000000"/>
              </a:solidFill>
              <a:latin typeface="Calibri"/>
            </a:defRPr>
          </a:lvl9pPr>
        </a:lstStyle>
        <a:p xmlns:a="http://schemas.openxmlformats.org/drawingml/2006/main">
          <a:pPr algn="ctr"/>
          <a:r>
            <a:rPr lang="en-GB" sz="1100" b="1"/>
            <a:t>Aft </a:t>
          </a:r>
          <a:r>
            <a:rPr lang="en-GB" sz="1100" b="1" baseline="0"/>
            <a:t> Limit</a:t>
          </a:r>
          <a:endParaRPr lang="en-GB" sz="1100" b="1"/>
        </a:p>
      </cdr:txBody>
    </cdr:sp>
  </cdr:relSizeAnchor>
  <cdr:relSizeAnchor xmlns:cdr="http://schemas.openxmlformats.org/drawingml/2006/chartDrawing">
    <cdr:from>
      <cdr:x>0.17838</cdr:x>
      <cdr:y>0.57387</cdr:y>
    </cdr:from>
    <cdr:to>
      <cdr:x>0.24455</cdr:x>
      <cdr:y>0.6829</cdr:y>
    </cdr:to>
    <cdr:sp macro="" textlink="">
      <cdr:nvSpPr>
        <cdr:cNvPr id="9" name="TextBox 4">
          <a:extLst xmlns:a="http://schemas.openxmlformats.org/drawingml/2006/main">
            <a:ext uri="{FF2B5EF4-FFF2-40B4-BE49-F238E27FC236}">
              <a16:creationId xmlns:a16="http://schemas.microsoft.com/office/drawing/2014/main" id="{6F1BFAD9-E2AF-4821-904B-00FEB18F136F}"/>
            </a:ext>
          </a:extLst>
        </cdr:cNvPr>
        <cdr:cNvSpPr txBox="1"/>
      </cdr:nvSpPr>
      <cdr:spPr>
        <a:xfrm xmlns:a="http://schemas.openxmlformats.org/drawingml/2006/main">
          <a:off x="1954100" y="3223543"/>
          <a:ext cx="724879" cy="612443"/>
        </a:xfrm>
        <a:prstGeom xmlns:a="http://schemas.openxmlformats.org/drawingml/2006/main" prst="rect">
          <a:avLst/>
        </a:prstGeom>
        <a:noFill xmlns:a="http://schemas.openxmlformats.org/drawingml/2006/main"/>
        <a:ln xmlns:a="http://schemas.openxmlformats.org/drawingml/2006/main" w="9525" cmpd="sng">
          <a:noFill/>
        </a:ln>
        <a:effectLst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ysClr val="windowText" lastClr="000000"/>
              </a:solidFill>
              <a:latin typeface="Calibri"/>
            </a:defRPr>
          </a:lvl1pPr>
          <a:lvl2pPr marL="457200" indent="0">
            <a:defRPr sz="1100">
              <a:solidFill>
                <a:sysClr val="windowText" lastClr="000000"/>
              </a:solidFill>
              <a:latin typeface="Calibri"/>
            </a:defRPr>
          </a:lvl2pPr>
          <a:lvl3pPr marL="914400" indent="0">
            <a:defRPr sz="1100">
              <a:solidFill>
                <a:sysClr val="windowText" lastClr="000000"/>
              </a:solidFill>
              <a:latin typeface="Calibri"/>
            </a:defRPr>
          </a:lvl3pPr>
          <a:lvl4pPr marL="1371600" indent="0">
            <a:defRPr sz="1100">
              <a:solidFill>
                <a:sysClr val="windowText" lastClr="000000"/>
              </a:solidFill>
              <a:latin typeface="Calibri"/>
            </a:defRPr>
          </a:lvl4pPr>
          <a:lvl5pPr marL="1828800" indent="0">
            <a:defRPr sz="1100">
              <a:solidFill>
                <a:sysClr val="windowText" lastClr="000000"/>
              </a:solidFill>
              <a:latin typeface="Calibri"/>
            </a:defRPr>
          </a:lvl5pPr>
          <a:lvl6pPr marL="2286000" indent="0">
            <a:defRPr sz="1100">
              <a:solidFill>
                <a:sysClr val="windowText" lastClr="000000"/>
              </a:solidFill>
              <a:latin typeface="Calibri"/>
            </a:defRPr>
          </a:lvl6pPr>
          <a:lvl7pPr marL="2743200" indent="0">
            <a:defRPr sz="1100">
              <a:solidFill>
                <a:sysClr val="windowText" lastClr="000000"/>
              </a:solidFill>
              <a:latin typeface="Calibri"/>
            </a:defRPr>
          </a:lvl7pPr>
          <a:lvl8pPr marL="3200400" indent="0">
            <a:defRPr sz="1100">
              <a:solidFill>
                <a:sysClr val="windowText" lastClr="000000"/>
              </a:solidFill>
              <a:latin typeface="Calibri"/>
            </a:defRPr>
          </a:lvl8pPr>
          <a:lvl9pPr marL="3657600" indent="0">
            <a:defRPr sz="1100">
              <a:solidFill>
                <a:sysClr val="windowText" lastClr="000000"/>
              </a:solidFill>
              <a:latin typeface="Calibri"/>
            </a:defRPr>
          </a:lvl9pPr>
        </a:lstStyle>
        <a:p xmlns:a="http://schemas.openxmlformats.org/drawingml/2006/main">
          <a:pPr algn="ctr"/>
          <a:r>
            <a:rPr lang="en-GB" sz="1100" b="1"/>
            <a:t>FWD Li</a:t>
          </a:r>
          <a:r>
            <a:rPr lang="en-GB" sz="1100" b="1" baseline="0"/>
            <a:t>mit</a:t>
          </a:r>
          <a:endParaRPr lang="en-GB" sz="1100" b="1"/>
        </a:p>
      </cdr:txBody>
    </cdr:sp>
  </cdr:relSizeAnchor>
  <cdr:relSizeAnchor xmlns:cdr="http://schemas.openxmlformats.org/drawingml/2006/chartDrawing">
    <cdr:from>
      <cdr:x>0.80862</cdr:x>
      <cdr:y>0.65114</cdr:y>
    </cdr:from>
    <cdr:to>
      <cdr:x>0.98596</cdr:x>
      <cdr:y>0.82313</cdr:y>
    </cdr:to>
    <cdr:sp macro="" textlink="">
      <cdr:nvSpPr>
        <cdr:cNvPr id="7" name="TextBox 1">
          <a:extLst xmlns:a="http://schemas.openxmlformats.org/drawingml/2006/main">
            <a:ext uri="{FF2B5EF4-FFF2-40B4-BE49-F238E27FC236}">
              <a16:creationId xmlns:a16="http://schemas.microsoft.com/office/drawing/2014/main" id="{4AB8A2E9-88CC-4A54-AF7D-325E5D0622C4}"/>
            </a:ext>
          </a:extLst>
        </cdr:cNvPr>
        <cdr:cNvSpPr txBox="1"/>
      </cdr:nvSpPr>
      <cdr:spPr>
        <a:xfrm xmlns:a="http://schemas.openxmlformats.org/drawingml/2006/main">
          <a:off x="8858250" y="3657600"/>
          <a:ext cx="1942737" cy="96610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r>
            <a:rPr lang="en-GB" sz="1100" b="1"/>
            <a:t>NOTE:</a:t>
          </a:r>
        </a:p>
        <a:p xmlns:a="http://schemas.openxmlformats.org/drawingml/2006/main">
          <a:r>
            <a:rPr lang="en-GB" sz="1100" b="0"/>
            <a:t>The PA28R is only handled in the Normal category. Please see POH/FM for</a:t>
          </a:r>
          <a:r>
            <a:rPr lang="en-GB" sz="1100" b="0" baseline="0"/>
            <a:t> handling conditions.</a:t>
          </a:r>
          <a:endParaRPr lang="en-GB" sz="1100" b="0"/>
        </a:p>
      </cdr:txBody>
    </cdr:sp>
  </cdr:relSizeAnchor>
</c:userShapes>
</file>

<file path=xl/drawings/drawing12.xml><?xml version="1.0" encoding="utf-8"?>
<xdr:wsDr xmlns:xdr="http://schemas.openxmlformats.org/drawingml/2006/spreadsheetDrawing" xmlns:a="http://schemas.openxmlformats.org/drawingml/2006/main">
  <xdr:twoCellAnchor editAs="oneCell">
    <xdr:from>
      <xdr:col>1</xdr:col>
      <xdr:colOff>66675</xdr:colOff>
      <xdr:row>1</xdr:row>
      <xdr:rowOff>66675</xdr:rowOff>
    </xdr:from>
    <xdr:to>
      <xdr:col>10</xdr:col>
      <xdr:colOff>295275</xdr:colOff>
      <xdr:row>20</xdr:row>
      <xdr:rowOff>28575</xdr:rowOff>
    </xdr:to>
    <xdr:pic>
      <xdr:nvPicPr>
        <xdr:cNvPr id="2" name="Picture 1" descr="http://www.streamline-ops.com/img/image/AVGAS%20600.jpg">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76275" y="257175"/>
          <a:ext cx="5715000" cy="3581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228600</xdr:colOff>
      <xdr:row>19</xdr:row>
      <xdr:rowOff>106680</xdr:rowOff>
    </xdr:to>
    <xdr:pic>
      <xdr:nvPicPr>
        <xdr:cNvPr id="2" name="Picture 1" descr="http://www.streamline-ops.com/img/image/JET%20A1%20AVTUR%20600.jpg">
          <a:extLst>
            <a:ext uri="{FF2B5EF4-FFF2-40B4-BE49-F238E27FC236}">
              <a16:creationId xmlns:a16="http://schemas.microsoft.com/office/drawing/2014/main" id="{00000000-0008-0000-0C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5715000" cy="3581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2:P28"/>
  <sheetViews>
    <sheetView showGridLines="0" workbookViewId="0">
      <selection activeCell="D26" sqref="D26"/>
    </sheetView>
  </sheetViews>
  <sheetFormatPr defaultRowHeight="15" x14ac:dyDescent="0.25"/>
  <cols>
    <col min="1" max="1" width="4.28515625" bestFit="1" customWidth="1"/>
    <col min="2" max="2" width="136.7109375" bestFit="1" customWidth="1"/>
  </cols>
  <sheetData>
    <row r="2" spans="1:16" ht="20.25" x14ac:dyDescent="0.3">
      <c r="B2" s="8" t="s">
        <v>170</v>
      </c>
    </row>
    <row r="3" spans="1:16" x14ac:dyDescent="0.25">
      <c r="A3" s="12"/>
      <c r="B3" s="12" t="s">
        <v>198</v>
      </c>
      <c r="C3" s="11"/>
      <c r="D3" s="11"/>
      <c r="E3" s="11"/>
      <c r="F3" s="11"/>
      <c r="G3" s="11"/>
      <c r="H3" s="11"/>
      <c r="I3" s="11"/>
      <c r="J3" s="11"/>
      <c r="K3" s="11"/>
      <c r="L3" s="11"/>
      <c r="M3" s="11"/>
      <c r="N3" s="11"/>
      <c r="O3" s="11"/>
      <c r="P3" s="11"/>
    </row>
    <row r="4" spans="1:16" s="9" customFormat="1" x14ac:dyDescent="0.25"/>
    <row r="5" spans="1:16" x14ac:dyDescent="0.25">
      <c r="A5" t="s">
        <v>171</v>
      </c>
    </row>
    <row r="6" spans="1:16" s="9" customFormat="1" x14ac:dyDescent="0.25">
      <c r="B6" s="9" t="s">
        <v>225</v>
      </c>
      <c r="I6"/>
    </row>
    <row r="7" spans="1:16" s="9" customFormat="1" x14ac:dyDescent="0.25">
      <c r="B7" s="9" t="s">
        <v>226</v>
      </c>
    </row>
    <row r="8" spans="1:16" s="9" customFormat="1" x14ac:dyDescent="0.25">
      <c r="B8" s="9" t="s">
        <v>227</v>
      </c>
    </row>
    <row r="9" spans="1:16" s="9" customFormat="1" x14ac:dyDescent="0.25">
      <c r="B9" s="9" t="s">
        <v>228</v>
      </c>
    </row>
    <row r="10" spans="1:16" s="9" customFormat="1" x14ac:dyDescent="0.25">
      <c r="A10" s="9" t="s">
        <v>172</v>
      </c>
    </row>
    <row r="11" spans="1:16" x14ac:dyDescent="0.25">
      <c r="B11" s="9" t="s">
        <v>229</v>
      </c>
    </row>
    <row r="12" spans="1:16" x14ac:dyDescent="0.25">
      <c r="B12" s="9" t="s">
        <v>230</v>
      </c>
    </row>
    <row r="14" spans="1:16" x14ac:dyDescent="0.25">
      <c r="A14" s="12"/>
      <c r="B14" s="12" t="s">
        <v>174</v>
      </c>
      <c r="C14" s="11"/>
      <c r="D14" s="11"/>
      <c r="E14" s="11"/>
      <c r="F14" s="11"/>
      <c r="G14" s="11"/>
      <c r="H14" s="11"/>
      <c r="I14" s="11"/>
      <c r="J14" s="11"/>
      <c r="K14" s="11"/>
      <c r="L14" s="11"/>
      <c r="M14" s="11"/>
      <c r="N14" s="11"/>
      <c r="O14" s="11"/>
      <c r="P14" s="11"/>
    </row>
    <row r="16" spans="1:16" x14ac:dyDescent="0.25">
      <c r="B16" s="15" t="s">
        <v>185</v>
      </c>
    </row>
    <row r="17" spans="2:2" x14ac:dyDescent="0.25">
      <c r="B17" s="15" t="s">
        <v>175</v>
      </c>
    </row>
    <row r="18" spans="2:2" x14ac:dyDescent="0.25">
      <c r="B18" s="15" t="s">
        <v>176</v>
      </c>
    </row>
    <row r="19" spans="2:2" ht="30" x14ac:dyDescent="0.25">
      <c r="B19" s="15" t="s">
        <v>308</v>
      </c>
    </row>
    <row r="20" spans="2:2" ht="45" x14ac:dyDescent="0.25">
      <c r="B20" s="15" t="s">
        <v>242</v>
      </c>
    </row>
    <row r="21" spans="2:2" s="9" customFormat="1" x14ac:dyDescent="0.25">
      <c r="B21" s="15" t="s">
        <v>178</v>
      </c>
    </row>
    <row r="22" spans="2:2" s="9" customFormat="1" x14ac:dyDescent="0.25">
      <c r="B22" s="15" t="s">
        <v>210</v>
      </c>
    </row>
    <row r="23" spans="2:2" s="9" customFormat="1" ht="30" x14ac:dyDescent="0.25">
      <c r="B23" s="15" t="s">
        <v>311</v>
      </c>
    </row>
    <row r="24" spans="2:2" s="9" customFormat="1" x14ac:dyDescent="0.25">
      <c r="B24" s="15" t="s">
        <v>309</v>
      </c>
    </row>
    <row r="25" spans="2:2" s="9" customFormat="1" x14ac:dyDescent="0.25">
      <c r="B25" s="15" t="s">
        <v>310</v>
      </c>
    </row>
    <row r="27" spans="2:2" x14ac:dyDescent="0.25">
      <c r="B27" s="25" t="s">
        <v>179</v>
      </c>
    </row>
    <row r="28" spans="2:2" x14ac:dyDescent="0.25">
      <c r="B28" s="25" t="s">
        <v>177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2:P56"/>
  <sheetViews>
    <sheetView tabSelected="1" topLeftCell="A16" workbookViewId="0">
      <selection activeCell="G37" sqref="G37"/>
    </sheetView>
  </sheetViews>
  <sheetFormatPr defaultRowHeight="15" x14ac:dyDescent="0.25"/>
  <cols>
    <col min="1" max="1" width="4" style="49" customWidth="1"/>
    <col min="2" max="2" width="51.7109375" style="49" bestFit="1" customWidth="1"/>
    <col min="3" max="3" width="20" style="49" bestFit="1" customWidth="1"/>
    <col min="4" max="4" width="14.28515625" style="49" customWidth="1"/>
    <col min="5" max="16384" width="9.140625" style="49"/>
  </cols>
  <sheetData>
    <row r="2" spans="1:16" ht="20.25" x14ac:dyDescent="0.3">
      <c r="A2" s="48"/>
      <c r="B2" s="48" t="s">
        <v>11</v>
      </c>
      <c r="D2" s="48"/>
    </row>
    <row r="3" spans="1:16" x14ac:dyDescent="0.25">
      <c r="A3" s="50"/>
      <c r="B3" s="51"/>
      <c r="C3" s="51"/>
      <c r="D3" s="51"/>
      <c r="E3" s="51"/>
      <c r="F3" s="51"/>
      <c r="G3" s="51"/>
      <c r="H3" s="51"/>
      <c r="I3" s="51"/>
      <c r="J3" s="51"/>
      <c r="K3" s="51"/>
      <c r="L3" s="51"/>
      <c r="M3" s="51"/>
      <c r="N3" s="51"/>
      <c r="O3" s="51"/>
      <c r="P3" s="51"/>
    </row>
    <row r="5" spans="1:16" x14ac:dyDescent="0.25">
      <c r="B5" s="49" t="s">
        <v>75</v>
      </c>
      <c r="C5" s="52"/>
    </row>
    <row r="6" spans="1:16" x14ac:dyDescent="0.25">
      <c r="B6" s="49" t="s">
        <v>74</v>
      </c>
      <c r="C6" s="53"/>
    </row>
    <row r="7" spans="1:16" x14ac:dyDescent="0.25">
      <c r="B7" s="49" t="s">
        <v>89</v>
      </c>
      <c r="C7" s="54"/>
    </row>
    <row r="8" spans="1:16" x14ac:dyDescent="0.25">
      <c r="B8" s="55"/>
    </row>
    <row r="9" spans="1:16" x14ac:dyDescent="0.25">
      <c r="A9" s="50"/>
      <c r="B9" s="51" t="s">
        <v>76</v>
      </c>
      <c r="C9" s="51"/>
      <c r="D9" s="51"/>
      <c r="E9" s="51"/>
      <c r="F9" s="51"/>
      <c r="G9" s="51"/>
      <c r="H9" s="51"/>
      <c r="I9" s="51"/>
      <c r="J9" s="51"/>
      <c r="K9" s="51"/>
      <c r="L9" s="51"/>
      <c r="M9" s="51"/>
      <c r="N9" s="51"/>
      <c r="O9" s="51"/>
      <c r="P9" s="51"/>
    </row>
    <row r="11" spans="1:16" x14ac:dyDescent="0.25">
      <c r="B11" s="49" t="s">
        <v>79</v>
      </c>
      <c r="C11" s="56">
        <v>0</v>
      </c>
    </row>
    <row r="12" spans="1:16" x14ac:dyDescent="0.25">
      <c r="B12" s="57" t="s">
        <v>80</v>
      </c>
      <c r="C12" s="56">
        <v>0</v>
      </c>
      <c r="E12" s="58"/>
    </row>
    <row r="13" spans="1:16" x14ac:dyDescent="0.25">
      <c r="B13" s="57" t="s">
        <v>122</v>
      </c>
      <c r="C13" s="56">
        <v>0</v>
      </c>
    </row>
    <row r="14" spans="1:16" x14ac:dyDescent="0.25">
      <c r="B14" s="57" t="s">
        <v>122</v>
      </c>
      <c r="C14" s="56">
        <v>0</v>
      </c>
    </row>
    <row r="15" spans="1:16" x14ac:dyDescent="0.25">
      <c r="B15" s="57" t="s">
        <v>88</v>
      </c>
      <c r="C15" s="56">
        <v>0</v>
      </c>
    </row>
    <row r="17" spans="1:16" x14ac:dyDescent="0.25">
      <c r="A17" s="50"/>
      <c r="B17" s="51" t="s">
        <v>81</v>
      </c>
      <c r="C17" s="51"/>
      <c r="D17" s="51"/>
      <c r="E17" s="51"/>
      <c r="F17" s="51"/>
      <c r="G17" s="51"/>
      <c r="H17" s="51"/>
      <c r="I17" s="51"/>
      <c r="J17" s="51"/>
      <c r="K17" s="51"/>
      <c r="L17" s="51"/>
      <c r="M17" s="51"/>
      <c r="N17" s="51"/>
      <c r="O17" s="51"/>
      <c r="P17" s="51"/>
    </row>
    <row r="19" spans="1:16" x14ac:dyDescent="0.25">
      <c r="B19" s="49" t="s">
        <v>83</v>
      </c>
      <c r="C19" s="59" t="s">
        <v>90</v>
      </c>
    </row>
    <row r="20" spans="1:16" x14ac:dyDescent="0.25">
      <c r="B20" s="49" t="s">
        <v>82</v>
      </c>
      <c r="C20" s="60">
        <f>IF(C19="","NULL",IF(C19='Aircraft Schedule Info'!K7,'Aircraft Schedule Info'!L7,'Aircraft Schedule Info'!L8))</f>
        <v>0.72</v>
      </c>
    </row>
    <row r="21" spans="1:16" x14ac:dyDescent="0.25">
      <c r="B21" s="57" t="s">
        <v>85</v>
      </c>
      <c r="C21" s="56">
        <v>5</v>
      </c>
    </row>
    <row r="22" spans="1:16" x14ac:dyDescent="0.25">
      <c r="B22" s="57"/>
    </row>
    <row r="23" spans="1:16" x14ac:dyDescent="0.25">
      <c r="A23" s="50"/>
      <c r="B23" s="51" t="s">
        <v>126</v>
      </c>
      <c r="C23" s="51"/>
      <c r="D23" s="51"/>
      <c r="E23" s="51"/>
      <c r="F23" s="51"/>
      <c r="G23" s="51"/>
      <c r="H23" s="51"/>
      <c r="I23" s="51"/>
      <c r="J23" s="51"/>
      <c r="K23" s="51"/>
      <c r="L23" s="51"/>
      <c r="M23" s="51"/>
      <c r="N23" s="51"/>
      <c r="O23" s="51"/>
      <c r="P23" s="51"/>
    </row>
    <row r="25" spans="1:16" x14ac:dyDescent="0.25">
      <c r="B25" s="57" t="s">
        <v>302</v>
      </c>
      <c r="C25" s="59"/>
    </row>
    <row r="26" spans="1:16" x14ac:dyDescent="0.25">
      <c r="B26" s="57" t="s">
        <v>303</v>
      </c>
      <c r="C26" s="59"/>
    </row>
    <row r="27" spans="1:16" x14ac:dyDescent="0.25">
      <c r="B27" s="57"/>
    </row>
    <row r="28" spans="1:16" x14ac:dyDescent="0.25">
      <c r="B28" s="57" t="s">
        <v>304</v>
      </c>
      <c r="C28" s="59"/>
    </row>
    <row r="29" spans="1:16" x14ac:dyDescent="0.25">
      <c r="B29" s="57" t="s">
        <v>305</v>
      </c>
      <c r="C29" s="59"/>
    </row>
    <row r="31" spans="1:16" x14ac:dyDescent="0.25">
      <c r="B31" s="57" t="s">
        <v>144</v>
      </c>
      <c r="C31" s="54"/>
    </row>
    <row r="32" spans="1:16" x14ac:dyDescent="0.25">
      <c r="B32" s="57" t="s">
        <v>145</v>
      </c>
      <c r="C32" s="54"/>
    </row>
    <row r="33" spans="2:4" x14ac:dyDescent="0.25">
      <c r="B33" s="57" t="s">
        <v>306</v>
      </c>
      <c r="C33" s="61">
        <f>D33/3.2808</f>
        <v>0</v>
      </c>
      <c r="D33" s="62"/>
    </row>
    <row r="34" spans="2:4" x14ac:dyDescent="0.25">
      <c r="B34" s="57" t="s">
        <v>307</v>
      </c>
      <c r="C34" s="61">
        <f>D34/3.2808</f>
        <v>0</v>
      </c>
      <c r="D34" s="62"/>
    </row>
    <row r="36" spans="2:4" x14ac:dyDescent="0.25">
      <c r="B36" s="63" t="s">
        <v>127</v>
      </c>
      <c r="C36" s="63" t="s">
        <v>137</v>
      </c>
      <c r="D36" s="63" t="s">
        <v>166</v>
      </c>
    </row>
    <row r="37" spans="2:4" x14ac:dyDescent="0.25">
      <c r="B37" s="49" t="s">
        <v>128</v>
      </c>
      <c r="C37" s="54" t="s">
        <v>164</v>
      </c>
      <c r="D37" s="64"/>
    </row>
    <row r="38" spans="2:4" x14ac:dyDescent="0.25">
      <c r="B38" s="49" t="s">
        <v>129</v>
      </c>
      <c r="C38" s="54" t="s">
        <v>164</v>
      </c>
      <c r="D38" s="64"/>
    </row>
    <row r="39" spans="2:4" x14ac:dyDescent="0.25">
      <c r="B39" s="49" t="s">
        <v>130</v>
      </c>
      <c r="C39" s="54" t="s">
        <v>164</v>
      </c>
      <c r="D39" s="64"/>
    </row>
    <row r="40" spans="2:4" x14ac:dyDescent="0.25">
      <c r="B40" s="49" t="s">
        <v>131</v>
      </c>
      <c r="C40" s="54" t="s">
        <v>164</v>
      </c>
      <c r="D40" s="64"/>
    </row>
    <row r="41" spans="2:4" x14ac:dyDescent="0.25">
      <c r="B41" s="49" t="s">
        <v>132</v>
      </c>
      <c r="C41" s="54" t="s">
        <v>164</v>
      </c>
      <c r="D41" s="64"/>
    </row>
    <row r="42" spans="2:4" x14ac:dyDescent="0.25">
      <c r="B42" s="49" t="s">
        <v>182</v>
      </c>
      <c r="C42" s="54" t="s">
        <v>164</v>
      </c>
      <c r="D42" s="64"/>
    </row>
    <row r="43" spans="2:4" x14ac:dyDescent="0.25">
      <c r="B43" s="49" t="s">
        <v>133</v>
      </c>
      <c r="C43" s="54" t="s">
        <v>164</v>
      </c>
      <c r="D43" s="64"/>
    </row>
    <row r="44" spans="2:4" x14ac:dyDescent="0.25">
      <c r="B44" s="49" t="s">
        <v>134</v>
      </c>
      <c r="C44" s="54" t="s">
        <v>164</v>
      </c>
      <c r="D44" s="64"/>
    </row>
    <row r="45" spans="2:4" x14ac:dyDescent="0.25">
      <c r="B45" s="49" t="s">
        <v>135</v>
      </c>
      <c r="C45" s="54" t="s">
        <v>164</v>
      </c>
      <c r="D45" s="64"/>
    </row>
    <row r="47" spans="2:4" x14ac:dyDescent="0.25">
      <c r="B47" s="63" t="s">
        <v>136</v>
      </c>
    </row>
    <row r="48" spans="2:4" x14ac:dyDescent="0.25">
      <c r="B48" s="49" t="s">
        <v>138</v>
      </c>
      <c r="C48" s="54" t="s">
        <v>164</v>
      </c>
      <c r="D48" s="64"/>
    </row>
    <row r="49" spans="2:4" x14ac:dyDescent="0.25">
      <c r="B49" s="49" t="s">
        <v>139</v>
      </c>
      <c r="C49" s="54" t="s">
        <v>164</v>
      </c>
      <c r="D49" s="64"/>
    </row>
    <row r="50" spans="2:4" x14ac:dyDescent="0.25">
      <c r="B50" s="49" t="s">
        <v>140</v>
      </c>
      <c r="C50" s="54" t="s">
        <v>164</v>
      </c>
      <c r="D50" s="64"/>
    </row>
    <row r="51" spans="2:4" x14ac:dyDescent="0.25">
      <c r="B51" s="49" t="s">
        <v>141</v>
      </c>
      <c r="C51" s="54" t="s">
        <v>164</v>
      </c>
      <c r="D51" s="64"/>
    </row>
    <row r="52" spans="2:4" x14ac:dyDescent="0.25">
      <c r="B52" s="49" t="s">
        <v>165</v>
      </c>
      <c r="C52" s="54" t="s">
        <v>164</v>
      </c>
      <c r="D52" s="64"/>
    </row>
    <row r="53" spans="2:4" x14ac:dyDescent="0.25">
      <c r="B53" s="49" t="s">
        <v>183</v>
      </c>
      <c r="C53" s="54" t="s">
        <v>164</v>
      </c>
      <c r="D53" s="64"/>
    </row>
    <row r="54" spans="2:4" x14ac:dyDescent="0.25">
      <c r="B54" s="49" t="s">
        <v>142</v>
      </c>
      <c r="C54" s="54" t="s">
        <v>164</v>
      </c>
      <c r="D54" s="64"/>
    </row>
    <row r="55" spans="2:4" x14ac:dyDescent="0.25">
      <c r="B55" s="49" t="s">
        <v>143</v>
      </c>
      <c r="C55" s="54" t="s">
        <v>164</v>
      </c>
      <c r="D55" s="64"/>
    </row>
    <row r="56" spans="2:4" x14ac:dyDescent="0.25">
      <c r="B56" s="49" t="s">
        <v>135</v>
      </c>
      <c r="C56" s="54" t="s">
        <v>164</v>
      </c>
      <c r="D56" s="64"/>
    </row>
  </sheetData>
  <dataConsolidate/>
  <conditionalFormatting sqref="C37:C45 C48:C56">
    <cfRule type="cellIs" dxfId="25" priority="15" operator="equal">
      <formula>"YES"</formula>
    </cfRule>
    <cfRule type="cellIs" dxfId="24" priority="16" operator="equal">
      <formula>"NO"</formula>
    </cfRule>
  </conditionalFormatting>
  <conditionalFormatting sqref="D37:D45">
    <cfRule type="cellIs" dxfId="23" priority="11" operator="equal">
      <formula>"YES"</formula>
    </cfRule>
    <cfRule type="cellIs" dxfId="22" priority="12" operator="equal">
      <formula>"NO"</formula>
    </cfRule>
  </conditionalFormatting>
  <conditionalFormatting sqref="D48:D56">
    <cfRule type="cellIs" dxfId="21" priority="9" operator="equal">
      <formula>"YES"</formula>
    </cfRule>
    <cfRule type="cellIs" dxfId="20" priority="10" operator="equal">
      <formula>"NO"</formula>
    </cfRule>
  </conditionalFormatting>
  <conditionalFormatting sqref="C33:C34">
    <cfRule type="cellIs" dxfId="19" priority="7" operator="equal">
      <formula>"YES"</formula>
    </cfRule>
    <cfRule type="cellIs" dxfId="18" priority="8" operator="equal">
      <formula>"NO"</formula>
    </cfRule>
  </conditionalFormatting>
  <conditionalFormatting sqref="C25:C26">
    <cfRule type="cellIs" dxfId="17" priority="5" operator="equal">
      <formula>"YES"</formula>
    </cfRule>
    <cfRule type="cellIs" dxfId="16" priority="6" operator="equal">
      <formula>"NO"</formula>
    </cfRule>
  </conditionalFormatting>
  <conditionalFormatting sqref="C28:C29">
    <cfRule type="cellIs" dxfId="15" priority="3" operator="equal">
      <formula>"YES"</formula>
    </cfRule>
    <cfRule type="cellIs" dxfId="14" priority="4" operator="equal">
      <formula>"NO"</formula>
    </cfRule>
  </conditionalFormatting>
  <conditionalFormatting sqref="D33:D34">
    <cfRule type="cellIs" dxfId="13" priority="1" operator="equal">
      <formula>"YES"</formula>
    </cfRule>
    <cfRule type="cellIs" dxfId="12" priority="2" operator="equal">
      <formula>"NO"</formula>
    </cfRule>
  </conditionalFormatting>
  <dataValidations count="4">
    <dataValidation type="list" allowBlank="1" showInputMessage="1" showErrorMessage="1" sqref="C7">
      <formula1>Aircraft_Call_Sign</formula1>
    </dataValidation>
    <dataValidation type="list" allowBlank="1" showInputMessage="1" showErrorMessage="1" sqref="C6">
      <formula1>Aircraft_Types</formula1>
    </dataValidation>
    <dataValidation type="list" allowBlank="1" showInputMessage="1" showErrorMessage="1" sqref="C31:C32">
      <formula1>Airfields</formula1>
    </dataValidation>
    <dataValidation type="list" showInputMessage="1" showErrorMessage="1" sqref="C19">
      <formula1>Fuel_Type</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AB70"/>
  <sheetViews>
    <sheetView topLeftCell="A4" zoomScaleNormal="100" workbookViewId="0">
      <selection activeCell="G45" sqref="G45"/>
    </sheetView>
  </sheetViews>
  <sheetFormatPr defaultRowHeight="15" x14ac:dyDescent="0.25"/>
  <cols>
    <col min="2" max="2" width="24.7109375" bestFit="1" customWidth="1"/>
    <col min="3" max="3" width="10.28515625" bestFit="1" customWidth="1"/>
    <col min="4" max="4" width="18.5703125" bestFit="1" customWidth="1"/>
    <col min="5" max="5" width="15.7109375" bestFit="1" customWidth="1"/>
    <col min="6" max="6" width="13.7109375" bestFit="1" customWidth="1"/>
    <col min="11" max="11" width="11.7109375" style="9" bestFit="1" customWidth="1"/>
    <col min="12" max="12" width="14.28515625" style="9" bestFit="1" customWidth="1"/>
    <col min="14" max="14" width="13.140625" customWidth="1"/>
    <col min="15" max="16" width="11.42578125" bestFit="1" customWidth="1"/>
    <col min="17" max="17" width="27.42578125" bestFit="1" customWidth="1"/>
  </cols>
  <sheetData>
    <row r="1" spans="1:17" s="9" customFormat="1" x14ac:dyDescent="0.25"/>
    <row r="2" spans="1:17" s="9" customFormat="1" x14ac:dyDescent="0.25">
      <c r="A2" s="12" t="s">
        <v>100</v>
      </c>
      <c r="B2" s="11"/>
      <c r="C2" s="11"/>
      <c r="D2" s="11"/>
      <c r="E2" s="11"/>
      <c r="F2" s="11"/>
      <c r="G2" s="11"/>
      <c r="H2" s="11"/>
      <c r="I2" s="11"/>
      <c r="J2" s="11"/>
      <c r="K2" s="11"/>
      <c r="L2" s="11"/>
      <c r="M2" s="11"/>
      <c r="N2" s="11"/>
      <c r="O2" s="11"/>
      <c r="P2" s="11"/>
      <c r="Q2" s="11"/>
    </row>
    <row r="3" spans="1:17" s="9" customFormat="1" x14ac:dyDescent="0.25"/>
    <row r="4" spans="1:17" x14ac:dyDescent="0.25">
      <c r="B4" s="7" t="s">
        <v>72</v>
      </c>
      <c r="D4" s="7" t="s">
        <v>71</v>
      </c>
      <c r="E4" s="7" t="s">
        <v>73</v>
      </c>
      <c r="F4" s="7" t="s">
        <v>73</v>
      </c>
      <c r="G4" s="7" t="s">
        <v>73</v>
      </c>
      <c r="H4" s="7" t="s">
        <v>73</v>
      </c>
      <c r="I4" s="7" t="s">
        <v>73</v>
      </c>
    </row>
    <row r="5" spans="1:17" s="7" customFormat="1" x14ac:dyDescent="0.25">
      <c r="K5" s="9"/>
      <c r="L5" s="9"/>
    </row>
    <row r="6" spans="1:17" x14ac:dyDescent="0.25">
      <c r="B6" s="6" t="s">
        <v>12</v>
      </c>
      <c r="C6" s="6" t="s">
        <v>13</v>
      </c>
      <c r="D6" s="6" t="s">
        <v>6</v>
      </c>
      <c r="E6" s="6" t="s">
        <v>14</v>
      </c>
      <c r="F6" s="6" t="s">
        <v>15</v>
      </c>
      <c r="G6" s="6" t="s">
        <v>16</v>
      </c>
      <c r="H6" s="6" t="s">
        <v>17</v>
      </c>
      <c r="I6" s="6" t="s">
        <v>18</v>
      </c>
      <c r="K6" s="6" t="s">
        <v>204</v>
      </c>
      <c r="L6" s="6" t="s">
        <v>205</v>
      </c>
      <c r="N6" s="6" t="s">
        <v>84</v>
      </c>
      <c r="O6" s="6" t="s">
        <v>110</v>
      </c>
      <c r="P6" s="6" t="s">
        <v>120</v>
      </c>
      <c r="Q6" s="6" t="s">
        <v>124</v>
      </c>
    </row>
    <row r="7" spans="1:17" x14ac:dyDescent="0.25">
      <c r="B7" s="41" t="s">
        <v>19</v>
      </c>
      <c r="C7" s="39" t="s">
        <v>36</v>
      </c>
      <c r="D7" s="23">
        <v>1195</v>
      </c>
      <c r="E7" s="23">
        <v>30.1</v>
      </c>
      <c r="F7" s="23">
        <v>39</v>
      </c>
      <c r="G7" s="23">
        <v>0</v>
      </c>
      <c r="H7" s="23">
        <v>42</v>
      </c>
      <c r="I7" s="23">
        <v>64</v>
      </c>
      <c r="K7" s="23" t="s">
        <v>90</v>
      </c>
      <c r="L7" s="14">
        <v>0.72</v>
      </c>
      <c r="N7" s="32" t="str">
        <f t="array" ref="N7">IFERROR(INDEX($C$7:$C$35,MATCH(SUM(COUNTIF(N$6:N6,$C$7:$C$35)),COUNTIF($C$7:$C$35,"&lt;"&amp;$C$7:$C$35),0)),"")</f>
        <v>C152</v>
      </c>
      <c r="O7" s="23">
        <v>1670</v>
      </c>
      <c r="P7" s="23">
        <v>0</v>
      </c>
      <c r="Q7" s="23">
        <v>93</v>
      </c>
    </row>
    <row r="8" spans="1:17" x14ac:dyDescent="0.25">
      <c r="B8" s="41" t="s">
        <v>20</v>
      </c>
      <c r="C8" s="39" t="s">
        <v>36</v>
      </c>
      <c r="D8" s="23">
        <v>1185</v>
      </c>
      <c r="E8" s="23">
        <v>30.5</v>
      </c>
      <c r="F8" s="23">
        <v>39</v>
      </c>
      <c r="G8" s="23">
        <v>0</v>
      </c>
      <c r="H8" s="23">
        <v>42</v>
      </c>
      <c r="I8" s="23">
        <v>64</v>
      </c>
      <c r="K8" s="23" t="s">
        <v>206</v>
      </c>
      <c r="L8" s="14">
        <v>0.8</v>
      </c>
      <c r="N8" s="32" t="str">
        <f t="array" ref="N8">IFERROR(INDEX($C$7:$C$35,MATCH(SUM(COUNTIF(N$6:N7,$C$7:$C$35)),COUNTIF($C$7:$C$35,"&lt;"&amp;$C$7:$C$35),0)),"")</f>
        <v>C172M</v>
      </c>
      <c r="O8" s="23">
        <v>2300</v>
      </c>
      <c r="P8" s="23">
        <v>0</v>
      </c>
      <c r="Q8" s="23">
        <v>148.19999999999999</v>
      </c>
    </row>
    <row r="9" spans="1:17" x14ac:dyDescent="0.25">
      <c r="B9" s="41" t="s">
        <v>21</v>
      </c>
      <c r="C9" s="39" t="s">
        <v>36</v>
      </c>
      <c r="D9" s="23">
        <v>1184</v>
      </c>
      <c r="E9" s="23">
        <v>30.4</v>
      </c>
      <c r="F9" s="23">
        <v>39</v>
      </c>
      <c r="G9" s="23">
        <v>0</v>
      </c>
      <c r="H9" s="23">
        <v>42</v>
      </c>
      <c r="I9" s="23">
        <v>64</v>
      </c>
      <c r="N9" s="32" t="str">
        <f t="array" ref="N9">IFERROR(INDEX($C$7:$C$35,MATCH(SUM(COUNTIF(N$6:N8,$C$7:$C$35)),COUNTIF($C$7:$C$35,"&lt;"&amp;$C$7:$C$35),0)),"")</f>
        <v>PA28</v>
      </c>
      <c r="O9" s="23">
        <v>2325</v>
      </c>
      <c r="P9" s="23">
        <v>136</v>
      </c>
      <c r="Q9" s="23">
        <v>182.4</v>
      </c>
    </row>
    <row r="10" spans="1:17" x14ac:dyDescent="0.25">
      <c r="B10" s="41" t="s">
        <v>22</v>
      </c>
      <c r="C10" s="39" t="s">
        <v>36</v>
      </c>
      <c r="D10" s="23">
        <v>1211</v>
      </c>
      <c r="E10" s="23">
        <v>30.4</v>
      </c>
      <c r="F10" s="23">
        <v>39</v>
      </c>
      <c r="G10" s="23">
        <v>0</v>
      </c>
      <c r="H10" s="23">
        <v>42</v>
      </c>
      <c r="I10" s="23">
        <v>64</v>
      </c>
      <c r="K10" s="6" t="s">
        <v>207</v>
      </c>
      <c r="L10" s="14">
        <v>1.58</v>
      </c>
      <c r="N10" s="32" t="str">
        <f t="array" ref="N10">IFERROR(INDEX($C$7:$C$35,MATCH(SUM(COUNTIF(N$6:N9,$C$7:$C$35)),COUNTIF($C$7:$C$35,"&lt;"&amp;$C$7:$C$35),0)),"")</f>
        <v>PA28R-200</v>
      </c>
      <c r="O10" s="23">
        <v>2650</v>
      </c>
      <c r="P10" s="23">
        <v>136</v>
      </c>
      <c r="Q10" s="23">
        <v>182.4</v>
      </c>
    </row>
    <row r="11" spans="1:17" x14ac:dyDescent="0.25">
      <c r="B11" s="41" t="s">
        <v>23</v>
      </c>
      <c r="C11" s="39" t="s">
        <v>36</v>
      </c>
      <c r="D11" s="23">
        <v>1188</v>
      </c>
      <c r="E11" s="23">
        <v>30.9</v>
      </c>
      <c r="F11" s="23">
        <v>39</v>
      </c>
      <c r="G11" s="23">
        <v>0</v>
      </c>
      <c r="H11" s="23">
        <v>42</v>
      </c>
      <c r="I11" s="23">
        <v>64</v>
      </c>
      <c r="K11" s="23" t="s">
        <v>93</v>
      </c>
      <c r="L11" s="14">
        <v>3.8</v>
      </c>
      <c r="N11" s="32" t="str">
        <f t="array" ref="N11">IFERROR(INDEX($C$7:$C$35,MATCH(SUM(COUNTIF(N$6:N10,$C$7:$C$35)),COUNTIF($C$7:$C$35,"&lt;"&amp;$C$7:$C$35),0)),"")</f>
        <v>PA28R-201</v>
      </c>
      <c r="O11" s="23">
        <v>2750</v>
      </c>
      <c r="P11" s="23">
        <v>191</v>
      </c>
      <c r="Q11" s="23">
        <v>273.60000000000002</v>
      </c>
    </row>
    <row r="12" spans="1:17" x14ac:dyDescent="0.25">
      <c r="B12" s="41" t="s">
        <v>24</v>
      </c>
      <c r="C12" s="39" t="s">
        <v>36</v>
      </c>
      <c r="D12" s="23">
        <v>1189</v>
      </c>
      <c r="E12" s="23">
        <v>29.9</v>
      </c>
      <c r="F12" s="23">
        <v>39</v>
      </c>
      <c r="G12" s="23">
        <v>0</v>
      </c>
      <c r="H12" s="23">
        <v>42</v>
      </c>
      <c r="I12" s="23">
        <v>64</v>
      </c>
      <c r="K12" s="23" t="s">
        <v>94</v>
      </c>
      <c r="L12" s="14">
        <f>50/79</f>
        <v>0.63291139240506333</v>
      </c>
      <c r="N12" s="9"/>
    </row>
    <row r="13" spans="1:17" x14ac:dyDescent="0.25">
      <c r="B13" s="41" t="s">
        <v>25</v>
      </c>
      <c r="C13" s="39" t="s">
        <v>36</v>
      </c>
      <c r="D13" s="23">
        <v>1200.4000000000001</v>
      </c>
      <c r="E13" s="23">
        <v>32.4</v>
      </c>
      <c r="F13" s="23">
        <v>39</v>
      </c>
      <c r="G13" s="23">
        <v>0</v>
      </c>
      <c r="H13" s="23">
        <v>42</v>
      </c>
      <c r="I13" s="23">
        <v>64</v>
      </c>
      <c r="K13" s="23" t="s">
        <v>95</v>
      </c>
      <c r="L13" s="14">
        <f>100/72</f>
        <v>1.3888888888888888</v>
      </c>
      <c r="N13" s="9"/>
    </row>
    <row r="14" spans="1:17" x14ac:dyDescent="0.25">
      <c r="B14" s="41" t="s">
        <v>26</v>
      </c>
      <c r="C14" s="39" t="s">
        <v>36</v>
      </c>
      <c r="D14" s="23">
        <v>1169</v>
      </c>
      <c r="E14" s="23">
        <v>30.1</v>
      </c>
      <c r="F14" s="23">
        <v>39</v>
      </c>
      <c r="G14" s="23">
        <v>0</v>
      </c>
      <c r="H14" s="23">
        <v>42</v>
      </c>
      <c r="I14" s="23">
        <v>64</v>
      </c>
      <c r="N14" s="9"/>
    </row>
    <row r="15" spans="1:17" x14ac:dyDescent="0.25">
      <c r="B15" s="41" t="s">
        <v>27</v>
      </c>
      <c r="C15" s="39" t="s">
        <v>36</v>
      </c>
      <c r="D15" s="23">
        <v>1184</v>
      </c>
      <c r="E15" s="23">
        <v>30.1</v>
      </c>
      <c r="F15" s="23">
        <v>39</v>
      </c>
      <c r="G15" s="23">
        <v>0</v>
      </c>
      <c r="H15" s="23">
        <v>42</v>
      </c>
      <c r="I15" s="23">
        <v>64</v>
      </c>
      <c r="K15" s="6" t="s">
        <v>208</v>
      </c>
      <c r="L15" s="14">
        <v>1.76</v>
      </c>
      <c r="N15" s="9"/>
    </row>
    <row r="16" spans="1:17" x14ac:dyDescent="0.25">
      <c r="B16" s="41" t="s">
        <v>28</v>
      </c>
      <c r="C16" s="39" t="s">
        <v>36</v>
      </c>
      <c r="D16" s="23">
        <v>1159</v>
      </c>
      <c r="E16" s="23">
        <v>30.1</v>
      </c>
      <c r="F16" s="23">
        <v>39</v>
      </c>
      <c r="G16" s="23">
        <v>0</v>
      </c>
      <c r="H16" s="23">
        <v>42</v>
      </c>
      <c r="I16" s="23">
        <v>64</v>
      </c>
      <c r="K16" s="23" t="s">
        <v>93</v>
      </c>
      <c r="L16" s="14">
        <v>3.8</v>
      </c>
      <c r="N16" s="9"/>
    </row>
    <row r="17" spans="2:16" x14ac:dyDescent="0.25">
      <c r="B17" s="41" t="s">
        <v>29</v>
      </c>
      <c r="C17" s="39" t="s">
        <v>36</v>
      </c>
      <c r="D17" s="23">
        <v>1169</v>
      </c>
      <c r="E17" s="23">
        <v>30.4</v>
      </c>
      <c r="F17" s="23">
        <v>39</v>
      </c>
      <c r="G17" s="23">
        <v>0</v>
      </c>
      <c r="H17" s="23">
        <v>42</v>
      </c>
      <c r="I17" s="23">
        <v>64</v>
      </c>
      <c r="K17" s="23" t="s">
        <v>94</v>
      </c>
      <c r="L17" s="14">
        <f>100/176</f>
        <v>0.56818181818181823</v>
      </c>
      <c r="N17" s="9"/>
      <c r="P17" s="9"/>
    </row>
    <row r="18" spans="2:16" x14ac:dyDescent="0.25">
      <c r="B18" s="41" t="s">
        <v>30</v>
      </c>
      <c r="C18" s="39" t="s">
        <v>36</v>
      </c>
      <c r="D18" s="23">
        <v>1174</v>
      </c>
      <c r="E18" s="23">
        <v>30.4</v>
      </c>
      <c r="F18" s="23">
        <v>39</v>
      </c>
      <c r="G18" s="23">
        <v>0</v>
      </c>
      <c r="H18" s="23">
        <v>42</v>
      </c>
      <c r="I18" s="23">
        <v>64</v>
      </c>
      <c r="K18" s="23" t="s">
        <v>95</v>
      </c>
      <c r="L18" s="14">
        <f>100/80</f>
        <v>1.25</v>
      </c>
      <c r="N18" s="9"/>
    </row>
    <row r="19" spans="2:16" x14ac:dyDescent="0.25">
      <c r="B19" s="41" t="s">
        <v>31</v>
      </c>
      <c r="C19" s="39" t="s">
        <v>36</v>
      </c>
      <c r="D19" s="23">
        <v>1185</v>
      </c>
      <c r="E19" s="23">
        <v>30.9</v>
      </c>
      <c r="F19" s="23">
        <v>39</v>
      </c>
      <c r="G19" s="23">
        <v>0</v>
      </c>
      <c r="H19" s="23">
        <v>42</v>
      </c>
      <c r="I19" s="23">
        <v>64</v>
      </c>
      <c r="N19" s="9"/>
    </row>
    <row r="20" spans="2:16" x14ac:dyDescent="0.25">
      <c r="B20" s="41" t="s">
        <v>32</v>
      </c>
      <c r="C20" s="39" t="s">
        <v>36</v>
      </c>
      <c r="D20" s="23">
        <v>1187</v>
      </c>
      <c r="E20" s="23">
        <v>30</v>
      </c>
      <c r="F20" s="23">
        <v>39</v>
      </c>
      <c r="G20" s="23">
        <v>0</v>
      </c>
      <c r="H20" s="23">
        <v>42</v>
      </c>
      <c r="I20" s="23">
        <v>64</v>
      </c>
      <c r="N20" s="9"/>
    </row>
    <row r="21" spans="2:16" x14ac:dyDescent="0.25">
      <c r="B21" s="41" t="s">
        <v>33</v>
      </c>
      <c r="C21" s="39" t="s">
        <v>36</v>
      </c>
      <c r="D21" s="23">
        <v>1197</v>
      </c>
      <c r="E21" s="23">
        <v>30.7</v>
      </c>
      <c r="F21" s="23">
        <v>39</v>
      </c>
      <c r="G21" s="23">
        <v>0</v>
      </c>
      <c r="H21" s="23">
        <v>42</v>
      </c>
      <c r="I21" s="23">
        <v>64</v>
      </c>
      <c r="N21" s="9"/>
    </row>
    <row r="22" spans="2:16" x14ac:dyDescent="0.25">
      <c r="B22" s="41" t="s">
        <v>34</v>
      </c>
      <c r="C22" s="39" t="s">
        <v>36</v>
      </c>
      <c r="D22" s="23">
        <v>1226</v>
      </c>
      <c r="E22" s="23">
        <v>29.4</v>
      </c>
      <c r="F22" s="23">
        <v>39</v>
      </c>
      <c r="G22" s="23">
        <v>0</v>
      </c>
      <c r="H22" s="23">
        <v>42</v>
      </c>
      <c r="I22" s="23">
        <v>64</v>
      </c>
      <c r="N22" s="9"/>
    </row>
    <row r="23" spans="2:16" x14ac:dyDescent="0.25">
      <c r="B23" s="41" t="s">
        <v>35</v>
      </c>
      <c r="C23" s="39" t="s">
        <v>36</v>
      </c>
      <c r="D23" s="23">
        <v>1191</v>
      </c>
      <c r="E23" s="23">
        <v>30.1</v>
      </c>
      <c r="F23" s="23">
        <v>39</v>
      </c>
      <c r="G23" s="23">
        <v>0</v>
      </c>
      <c r="H23" s="23">
        <v>42</v>
      </c>
      <c r="I23" s="23">
        <v>64</v>
      </c>
      <c r="N23" s="9"/>
    </row>
    <row r="24" spans="2:16" x14ac:dyDescent="0.25">
      <c r="B24" s="41" t="s">
        <v>37</v>
      </c>
      <c r="C24" s="39" t="s">
        <v>119</v>
      </c>
      <c r="D24" s="23">
        <v>1505</v>
      </c>
      <c r="E24" s="23">
        <v>39</v>
      </c>
      <c r="F24" s="23">
        <v>37</v>
      </c>
      <c r="G24" s="23">
        <v>73</v>
      </c>
      <c r="H24" s="23">
        <v>48.2</v>
      </c>
      <c r="I24" s="23">
        <v>95</v>
      </c>
      <c r="N24" s="9"/>
    </row>
    <row r="25" spans="2:16" x14ac:dyDescent="0.25">
      <c r="B25" s="41" t="s">
        <v>38</v>
      </c>
      <c r="C25" s="39" t="s">
        <v>49</v>
      </c>
      <c r="D25" s="23">
        <v>1530</v>
      </c>
      <c r="E25" s="23">
        <v>83.6</v>
      </c>
      <c r="F25" s="23">
        <v>80.5</v>
      </c>
      <c r="G25" s="23">
        <v>118.1</v>
      </c>
      <c r="H25" s="23">
        <v>95</v>
      </c>
      <c r="I25" s="23">
        <v>142.80000000000001</v>
      </c>
      <c r="N25" s="9"/>
    </row>
    <row r="26" spans="2:16" x14ac:dyDescent="0.25">
      <c r="B26" s="41" t="s">
        <v>39</v>
      </c>
      <c r="C26" s="39" t="s">
        <v>49</v>
      </c>
      <c r="D26" s="23">
        <v>1487</v>
      </c>
      <c r="E26" s="23">
        <v>86.9</v>
      </c>
      <c r="F26" s="23">
        <v>80.5</v>
      </c>
      <c r="G26" s="23">
        <v>118.1</v>
      </c>
      <c r="H26" s="23">
        <v>95</v>
      </c>
      <c r="I26" s="23">
        <v>142.80000000000001</v>
      </c>
      <c r="N26" s="9"/>
    </row>
    <row r="27" spans="2:16" x14ac:dyDescent="0.25">
      <c r="B27" s="41" t="s">
        <v>40</v>
      </c>
      <c r="C27" s="39" t="s">
        <v>49</v>
      </c>
      <c r="D27" s="23">
        <v>1513</v>
      </c>
      <c r="E27" s="23">
        <v>84.5</v>
      </c>
      <c r="F27" s="23">
        <v>80.5</v>
      </c>
      <c r="G27" s="23">
        <v>118.1</v>
      </c>
      <c r="H27" s="23">
        <v>95</v>
      </c>
      <c r="I27" s="23">
        <v>142.80000000000001</v>
      </c>
      <c r="N27" s="9"/>
    </row>
    <row r="28" spans="2:16" x14ac:dyDescent="0.25">
      <c r="B28" s="41" t="s">
        <v>41</v>
      </c>
      <c r="C28" s="39" t="s">
        <v>49</v>
      </c>
      <c r="D28" s="23">
        <v>1467</v>
      </c>
      <c r="E28" s="23">
        <v>85.5</v>
      </c>
      <c r="F28" s="23">
        <v>80.5</v>
      </c>
      <c r="G28" s="23">
        <v>118.1</v>
      </c>
      <c r="H28" s="23">
        <v>95</v>
      </c>
      <c r="I28" s="23">
        <v>142.80000000000001</v>
      </c>
      <c r="N28" s="9"/>
    </row>
    <row r="29" spans="2:16" x14ac:dyDescent="0.25">
      <c r="B29" s="41" t="s">
        <v>42</v>
      </c>
      <c r="C29" s="39" t="s">
        <v>49</v>
      </c>
      <c r="D29" s="23">
        <v>1556</v>
      </c>
      <c r="E29" s="23">
        <v>85.5</v>
      </c>
      <c r="F29" s="23">
        <v>80.5</v>
      </c>
      <c r="G29" s="23">
        <v>118.1</v>
      </c>
      <c r="H29" s="23">
        <v>95</v>
      </c>
      <c r="I29" s="23">
        <v>142.80000000000001</v>
      </c>
      <c r="N29" s="9"/>
    </row>
    <row r="30" spans="2:16" x14ac:dyDescent="0.25">
      <c r="B30" s="41" t="s">
        <v>43</v>
      </c>
      <c r="C30" s="39" t="s">
        <v>49</v>
      </c>
      <c r="D30" s="23">
        <v>1423</v>
      </c>
      <c r="E30" s="23">
        <v>83.6</v>
      </c>
      <c r="F30" s="23">
        <v>80.5</v>
      </c>
      <c r="G30" s="23">
        <v>118.1</v>
      </c>
      <c r="H30" s="23">
        <v>95</v>
      </c>
      <c r="I30" s="23">
        <v>142.80000000000001</v>
      </c>
      <c r="N30" s="9"/>
    </row>
    <row r="31" spans="2:16" x14ac:dyDescent="0.25">
      <c r="B31" s="41" t="s">
        <v>44</v>
      </c>
      <c r="C31" s="39" t="s">
        <v>49</v>
      </c>
      <c r="D31" s="23">
        <v>1458</v>
      </c>
      <c r="E31" s="23">
        <v>86.2</v>
      </c>
      <c r="F31" s="23">
        <v>80.5</v>
      </c>
      <c r="G31" s="23">
        <v>118.1</v>
      </c>
      <c r="H31" s="23">
        <v>95</v>
      </c>
      <c r="I31" s="23">
        <v>142.80000000000001</v>
      </c>
      <c r="N31" s="9"/>
    </row>
    <row r="32" spans="2:16" x14ac:dyDescent="0.25">
      <c r="B32" s="41" t="s">
        <v>45</v>
      </c>
      <c r="C32" s="39" t="s">
        <v>49</v>
      </c>
      <c r="D32" s="23">
        <v>1576</v>
      </c>
      <c r="E32" s="23">
        <v>86.6</v>
      </c>
      <c r="F32" s="23">
        <v>80.5</v>
      </c>
      <c r="G32" s="23">
        <v>118.1</v>
      </c>
      <c r="H32" s="23">
        <v>95</v>
      </c>
      <c r="I32" s="23">
        <v>142.80000000000001</v>
      </c>
      <c r="N32" s="9"/>
    </row>
    <row r="33" spans="1:28" x14ac:dyDescent="0.25">
      <c r="B33" s="41" t="s">
        <v>46</v>
      </c>
      <c r="C33" s="39" t="s">
        <v>231</v>
      </c>
      <c r="D33" s="23">
        <v>1627</v>
      </c>
      <c r="E33" s="23">
        <v>84.9</v>
      </c>
      <c r="F33" s="23">
        <v>80.5</v>
      </c>
      <c r="G33" s="23">
        <v>118.1</v>
      </c>
      <c r="H33" s="23">
        <v>95</v>
      </c>
      <c r="I33" s="23">
        <v>142.80000000000001</v>
      </c>
      <c r="N33" s="9"/>
    </row>
    <row r="34" spans="1:28" x14ac:dyDescent="0.25">
      <c r="B34" s="41" t="s">
        <v>47</v>
      </c>
      <c r="C34" s="39" t="s">
        <v>232</v>
      </c>
      <c r="D34" s="23">
        <v>1858</v>
      </c>
      <c r="E34" s="23">
        <v>86.9</v>
      </c>
      <c r="F34" s="23">
        <v>80.5</v>
      </c>
      <c r="G34" s="23">
        <v>118.1</v>
      </c>
      <c r="H34" s="23">
        <v>95</v>
      </c>
      <c r="I34" s="23">
        <v>142.80000000000001</v>
      </c>
      <c r="N34" s="9"/>
    </row>
    <row r="35" spans="1:28" x14ac:dyDescent="0.25">
      <c r="B35" s="41" t="s">
        <v>48</v>
      </c>
      <c r="C35" s="39" t="s">
        <v>232</v>
      </c>
      <c r="D35" s="23">
        <v>1823</v>
      </c>
      <c r="E35" s="23">
        <v>84.9</v>
      </c>
      <c r="F35" s="23">
        <v>80.5</v>
      </c>
      <c r="G35" s="23">
        <v>118.1</v>
      </c>
      <c r="H35" s="23">
        <v>95</v>
      </c>
      <c r="I35" s="23">
        <v>142.80000000000001</v>
      </c>
      <c r="J35" s="9" t="s">
        <v>121</v>
      </c>
      <c r="N35" s="9"/>
    </row>
    <row r="37" spans="1:28" s="9" customFormat="1" x14ac:dyDescent="0.25">
      <c r="A37" s="12" t="s">
        <v>99</v>
      </c>
      <c r="B37" s="11"/>
      <c r="C37" s="11"/>
      <c r="D37" s="11"/>
      <c r="E37" s="11"/>
      <c r="F37" s="11"/>
      <c r="G37" s="11"/>
      <c r="H37" s="11"/>
      <c r="I37" s="11"/>
      <c r="J37" s="11"/>
      <c r="K37" s="11"/>
      <c r="L37" s="11"/>
      <c r="M37" s="11"/>
      <c r="N37" s="11"/>
      <c r="O37" s="11"/>
      <c r="P37" s="11"/>
      <c r="Q37" s="11"/>
    </row>
    <row r="38" spans="1:28" s="9" customFormat="1" x14ac:dyDescent="0.25"/>
    <row r="39" spans="1:28" x14ac:dyDescent="0.25">
      <c r="A39" s="9"/>
      <c r="B39" s="9"/>
      <c r="C39" s="9"/>
      <c r="D39" s="9"/>
      <c r="E39" s="9"/>
      <c r="F39" s="9"/>
      <c r="G39" s="9"/>
      <c r="H39" s="9"/>
      <c r="Q39" s="9"/>
      <c r="R39" s="9"/>
      <c r="S39" s="9"/>
      <c r="T39" s="9"/>
      <c r="U39" s="9"/>
      <c r="V39" s="9"/>
      <c r="W39" s="9"/>
      <c r="X39" s="9"/>
      <c r="Y39" s="9"/>
      <c r="Z39" s="9"/>
      <c r="AA39" s="9"/>
    </row>
    <row r="40" spans="1:28" x14ac:dyDescent="0.25">
      <c r="A40" s="9"/>
      <c r="B40" s="6" t="s">
        <v>98</v>
      </c>
      <c r="C40" s="67" t="s">
        <v>36</v>
      </c>
      <c r="D40" s="68"/>
      <c r="E40" s="67" t="s">
        <v>50</v>
      </c>
      <c r="F40" s="68"/>
      <c r="G40" s="67" t="s">
        <v>49</v>
      </c>
      <c r="H40" s="68"/>
      <c r="I40" s="67" t="s">
        <v>231</v>
      </c>
      <c r="J40" s="68"/>
      <c r="K40" s="67" t="s">
        <v>232</v>
      </c>
      <c r="L40" s="68"/>
      <c r="M40" s="9"/>
      <c r="N40" s="9"/>
      <c r="Q40" s="16"/>
      <c r="R40" s="15"/>
      <c r="S40" s="9"/>
      <c r="T40" s="16"/>
      <c r="U40" s="15"/>
      <c r="V40" s="15"/>
      <c r="W40" s="9"/>
      <c r="X40" s="16"/>
      <c r="Y40" s="15"/>
      <c r="Z40" s="9"/>
      <c r="AA40" s="16"/>
      <c r="AB40" s="15"/>
    </row>
    <row r="41" spans="1:28" s="9" customFormat="1" x14ac:dyDescent="0.25">
      <c r="B41" s="6" t="s">
        <v>107</v>
      </c>
      <c r="C41" s="17" t="s">
        <v>101</v>
      </c>
      <c r="D41" s="17" t="s">
        <v>102</v>
      </c>
      <c r="E41" s="17" t="s">
        <v>101</v>
      </c>
      <c r="F41" s="17" t="s">
        <v>102</v>
      </c>
      <c r="G41" s="17" t="s">
        <v>101</v>
      </c>
      <c r="H41" s="17" t="s">
        <v>102</v>
      </c>
      <c r="I41" s="17" t="s">
        <v>101</v>
      </c>
      <c r="J41" s="17" t="s">
        <v>102</v>
      </c>
      <c r="K41" s="17" t="s">
        <v>101</v>
      </c>
      <c r="L41" s="17" t="s">
        <v>102</v>
      </c>
      <c r="Q41" s="16"/>
      <c r="R41" s="15"/>
      <c r="T41" s="16"/>
      <c r="U41" s="15"/>
      <c r="V41" s="15"/>
      <c r="X41" s="16"/>
      <c r="Y41" s="15"/>
      <c r="AA41" s="16"/>
      <c r="AB41" s="15"/>
    </row>
    <row r="42" spans="1:28" x14ac:dyDescent="0.25">
      <c r="A42" s="9"/>
      <c r="B42" s="65" t="s">
        <v>103</v>
      </c>
      <c r="C42" s="24">
        <v>31</v>
      </c>
      <c r="D42" s="24">
        <v>1000</v>
      </c>
      <c r="E42" s="24">
        <v>35</v>
      </c>
      <c r="F42" s="24">
        <v>1400</v>
      </c>
      <c r="G42" s="24">
        <v>83</v>
      </c>
      <c r="H42" s="24">
        <v>1200</v>
      </c>
      <c r="I42" s="24">
        <v>80</v>
      </c>
      <c r="J42" s="24">
        <v>1400</v>
      </c>
      <c r="K42" s="24">
        <v>82</v>
      </c>
      <c r="L42" s="24">
        <v>1400</v>
      </c>
      <c r="M42" s="9"/>
      <c r="N42" s="9"/>
      <c r="O42" s="9"/>
      <c r="P42" s="9"/>
      <c r="Q42" s="15"/>
      <c r="R42" s="15"/>
      <c r="S42" s="9"/>
      <c r="T42" s="15"/>
      <c r="U42" s="15"/>
      <c r="V42" s="15"/>
      <c r="W42" s="9"/>
      <c r="X42" s="15"/>
      <c r="Y42" s="15"/>
      <c r="Z42" s="9"/>
      <c r="AA42" s="15"/>
      <c r="AB42" s="15"/>
    </row>
    <row r="43" spans="1:28" s="9" customFormat="1" ht="30" customHeight="1" x14ac:dyDescent="0.25">
      <c r="B43" s="66"/>
      <c r="C43" s="24">
        <v>31</v>
      </c>
      <c r="D43" s="24">
        <v>1450</v>
      </c>
      <c r="E43" s="24">
        <v>35</v>
      </c>
      <c r="F43" s="24">
        <v>1950</v>
      </c>
      <c r="G43" s="24">
        <v>83</v>
      </c>
      <c r="H43" s="24">
        <v>1950</v>
      </c>
      <c r="I43" s="24">
        <v>80</v>
      </c>
      <c r="J43" s="24">
        <v>1800</v>
      </c>
      <c r="K43" s="24">
        <v>82</v>
      </c>
      <c r="L43" s="24">
        <v>2375</v>
      </c>
      <c r="Q43" s="15"/>
      <c r="R43" s="15"/>
      <c r="T43" s="15"/>
      <c r="U43" s="15"/>
      <c r="V43" s="15"/>
      <c r="X43" s="15"/>
      <c r="Y43" s="15"/>
      <c r="AA43" s="15"/>
      <c r="AB43" s="15"/>
    </row>
    <row r="44" spans="1:28" x14ac:dyDescent="0.25">
      <c r="A44" s="9"/>
      <c r="B44" s="65" t="s">
        <v>104</v>
      </c>
      <c r="C44" s="24">
        <v>31</v>
      </c>
      <c r="D44" s="24">
        <v>1450</v>
      </c>
      <c r="E44" s="24">
        <v>35</v>
      </c>
      <c r="F44" s="24">
        <v>1950</v>
      </c>
      <c r="G44" s="24">
        <v>83</v>
      </c>
      <c r="H44" s="24">
        <v>1950</v>
      </c>
      <c r="I44" s="24">
        <v>80</v>
      </c>
      <c r="J44" s="24">
        <v>1800</v>
      </c>
      <c r="K44" s="24">
        <v>82</v>
      </c>
      <c r="L44" s="24">
        <v>2375</v>
      </c>
      <c r="M44" s="9"/>
      <c r="N44" s="9"/>
      <c r="O44" s="9"/>
      <c r="P44" s="9"/>
      <c r="Q44" s="15"/>
      <c r="R44" s="15"/>
      <c r="S44" s="9"/>
      <c r="T44" s="15"/>
      <c r="U44" s="15"/>
      <c r="V44" s="15"/>
      <c r="W44" s="9"/>
      <c r="X44" s="15"/>
      <c r="Y44" s="15"/>
      <c r="Z44" s="9"/>
      <c r="AA44" s="15"/>
      <c r="AB44" s="15"/>
    </row>
    <row r="45" spans="1:28" s="9" customFormat="1" x14ac:dyDescent="0.25">
      <c r="B45" s="66"/>
      <c r="C45" s="24">
        <v>32.6</v>
      </c>
      <c r="D45" s="24">
        <v>1670</v>
      </c>
      <c r="E45" s="24">
        <v>38.5</v>
      </c>
      <c r="F45" s="24">
        <v>2300</v>
      </c>
      <c r="G45" s="24">
        <v>87</v>
      </c>
      <c r="H45" s="24">
        <v>2325</v>
      </c>
      <c r="I45" s="24">
        <v>82</v>
      </c>
      <c r="J45" s="24">
        <v>2300</v>
      </c>
      <c r="K45" s="24">
        <v>88.8</v>
      </c>
      <c r="L45" s="24">
        <v>2750</v>
      </c>
      <c r="Q45" s="15"/>
      <c r="R45" s="15"/>
      <c r="T45" s="15"/>
      <c r="U45" s="15"/>
      <c r="V45" s="15"/>
      <c r="X45" s="15"/>
      <c r="Y45" s="15"/>
      <c r="AA45" s="15"/>
      <c r="AB45" s="15"/>
    </row>
    <row r="46" spans="1:28" x14ac:dyDescent="0.25">
      <c r="A46" s="9"/>
      <c r="B46" s="65" t="s">
        <v>105</v>
      </c>
      <c r="C46" s="24">
        <v>32.6</v>
      </c>
      <c r="D46" s="24">
        <v>1670</v>
      </c>
      <c r="E46" s="24">
        <v>38.5</v>
      </c>
      <c r="F46" s="24">
        <v>2300</v>
      </c>
      <c r="G46" s="24">
        <v>87</v>
      </c>
      <c r="H46" s="24">
        <v>2325</v>
      </c>
      <c r="I46" s="24">
        <v>82</v>
      </c>
      <c r="J46" s="24">
        <v>2300</v>
      </c>
      <c r="K46" s="24">
        <v>88.8</v>
      </c>
      <c r="L46" s="24">
        <v>2750</v>
      </c>
      <c r="M46" s="9"/>
      <c r="N46" s="9"/>
      <c r="O46" s="9"/>
      <c r="P46" s="9"/>
      <c r="Q46" s="15"/>
      <c r="R46" s="15"/>
      <c r="S46" s="9"/>
      <c r="T46" s="15"/>
      <c r="U46" s="15"/>
      <c r="V46" s="15"/>
      <c r="W46" s="9"/>
      <c r="X46" s="15"/>
      <c r="Y46" s="15"/>
      <c r="Z46" s="9"/>
      <c r="AA46" s="15"/>
      <c r="AB46" s="15"/>
    </row>
    <row r="47" spans="1:28" s="9" customFormat="1" x14ac:dyDescent="0.25">
      <c r="B47" s="66"/>
      <c r="C47" s="24">
        <v>36.5</v>
      </c>
      <c r="D47" s="24">
        <v>1670</v>
      </c>
      <c r="E47" s="24">
        <v>47.3</v>
      </c>
      <c r="F47" s="24">
        <v>2300</v>
      </c>
      <c r="G47" s="24">
        <v>93</v>
      </c>
      <c r="H47" s="24">
        <v>2325</v>
      </c>
      <c r="I47" s="24">
        <v>87.3</v>
      </c>
      <c r="J47" s="24">
        <v>2650</v>
      </c>
      <c r="K47" s="24">
        <v>91.4</v>
      </c>
      <c r="L47" s="24">
        <v>2750</v>
      </c>
      <c r="Q47" s="15"/>
      <c r="R47" s="15"/>
      <c r="T47" s="15"/>
      <c r="U47" s="15"/>
      <c r="V47" s="15"/>
      <c r="X47" s="15"/>
      <c r="Y47" s="15"/>
      <c r="AA47" s="15"/>
      <c r="AB47" s="15"/>
    </row>
    <row r="48" spans="1:28" s="9" customFormat="1" x14ac:dyDescent="0.25">
      <c r="B48" s="65" t="s">
        <v>106</v>
      </c>
      <c r="C48" s="24">
        <v>36.5</v>
      </c>
      <c r="D48" s="24">
        <v>1670</v>
      </c>
      <c r="E48" s="24">
        <v>47.3</v>
      </c>
      <c r="F48" s="24">
        <v>2300</v>
      </c>
      <c r="G48" s="24">
        <v>93</v>
      </c>
      <c r="H48" s="24">
        <v>2325</v>
      </c>
      <c r="I48" s="24">
        <v>87.3</v>
      </c>
      <c r="J48" s="24">
        <v>2650</v>
      </c>
      <c r="K48" s="24">
        <v>91.4</v>
      </c>
      <c r="L48" s="24">
        <v>2750</v>
      </c>
      <c r="Q48" s="15"/>
      <c r="R48" s="15"/>
      <c r="T48" s="15"/>
      <c r="U48" s="15"/>
      <c r="V48" s="15"/>
      <c r="X48" s="15"/>
      <c r="Y48" s="15"/>
      <c r="AA48" s="15"/>
      <c r="AB48" s="15"/>
    </row>
    <row r="49" spans="1:28" x14ac:dyDescent="0.25">
      <c r="A49" s="9"/>
      <c r="B49" s="66"/>
      <c r="C49" s="24">
        <v>36.5</v>
      </c>
      <c r="D49" s="24">
        <v>1000</v>
      </c>
      <c r="E49" s="24">
        <v>47.3</v>
      </c>
      <c r="F49" s="24">
        <v>1400</v>
      </c>
      <c r="G49" s="24">
        <v>93</v>
      </c>
      <c r="H49" s="24">
        <v>1200</v>
      </c>
      <c r="I49" s="24">
        <v>93</v>
      </c>
      <c r="J49" s="24">
        <v>2650</v>
      </c>
      <c r="K49" s="24">
        <v>91.4</v>
      </c>
      <c r="L49" s="24">
        <v>1400</v>
      </c>
      <c r="M49" s="9"/>
      <c r="N49" s="9"/>
      <c r="Q49" s="15"/>
      <c r="R49" s="15"/>
      <c r="S49" s="9"/>
      <c r="T49" s="15"/>
      <c r="U49" s="15"/>
      <c r="V49" s="15"/>
      <c r="W49" s="9"/>
      <c r="X49" s="15"/>
      <c r="Y49" s="15"/>
      <c r="Z49" s="9"/>
      <c r="AA49" s="15"/>
      <c r="AB49" s="15"/>
    </row>
    <row r="50" spans="1:28" s="9" customFormat="1" x14ac:dyDescent="0.25">
      <c r="B50" s="65" t="s">
        <v>233</v>
      </c>
      <c r="C50" s="24">
        <v>0</v>
      </c>
      <c r="D50" s="24">
        <v>0</v>
      </c>
      <c r="E50" s="24">
        <v>0</v>
      </c>
      <c r="F50" s="24">
        <v>0</v>
      </c>
      <c r="G50" s="24">
        <v>0</v>
      </c>
      <c r="H50" s="24">
        <v>0</v>
      </c>
      <c r="I50" s="24">
        <v>93</v>
      </c>
      <c r="J50" s="24">
        <v>2650</v>
      </c>
      <c r="K50" s="24">
        <v>0</v>
      </c>
      <c r="L50" s="24">
        <v>0</v>
      </c>
      <c r="Q50" s="15"/>
      <c r="R50" s="15"/>
      <c r="T50" s="15"/>
      <c r="U50" s="15"/>
      <c r="V50" s="15"/>
      <c r="X50" s="15"/>
      <c r="Y50" s="15"/>
      <c r="AA50" s="15"/>
      <c r="AB50" s="15"/>
    </row>
    <row r="51" spans="1:28" s="9" customFormat="1" x14ac:dyDescent="0.25">
      <c r="B51" s="66"/>
      <c r="C51" s="24">
        <v>0</v>
      </c>
      <c r="D51" s="24">
        <v>0</v>
      </c>
      <c r="E51" s="24">
        <v>0</v>
      </c>
      <c r="F51" s="24">
        <v>0</v>
      </c>
      <c r="G51" s="24">
        <v>0</v>
      </c>
      <c r="H51" s="24">
        <v>0</v>
      </c>
      <c r="I51" s="24">
        <v>93</v>
      </c>
      <c r="J51" s="24">
        <v>1400</v>
      </c>
      <c r="K51" s="24">
        <v>0</v>
      </c>
      <c r="L51" s="24">
        <v>0</v>
      </c>
      <c r="Q51" s="15"/>
      <c r="R51" s="15"/>
      <c r="T51" s="15"/>
      <c r="U51" s="15"/>
      <c r="V51" s="15"/>
      <c r="X51" s="15"/>
      <c r="Y51" s="15"/>
      <c r="AA51" s="15"/>
      <c r="AB51" s="15"/>
    </row>
    <row r="52" spans="1:28" x14ac:dyDescent="0.25">
      <c r="A52" s="9"/>
      <c r="B52" s="65" t="s">
        <v>108</v>
      </c>
      <c r="C52" s="24">
        <v>0</v>
      </c>
      <c r="D52" s="24">
        <v>0</v>
      </c>
      <c r="E52" s="24">
        <v>35.5</v>
      </c>
      <c r="F52" s="24">
        <v>2000</v>
      </c>
      <c r="G52" s="24">
        <v>83.8</v>
      </c>
      <c r="H52" s="24">
        <v>2000</v>
      </c>
      <c r="I52" s="24">
        <v>0</v>
      </c>
      <c r="J52" s="24">
        <v>0</v>
      </c>
      <c r="K52" s="24">
        <v>0</v>
      </c>
      <c r="L52" s="24">
        <v>0</v>
      </c>
      <c r="Q52" s="15"/>
      <c r="R52" s="15"/>
      <c r="S52" s="9"/>
      <c r="T52" s="15"/>
      <c r="U52" s="15"/>
      <c r="V52" s="15"/>
      <c r="W52" s="9"/>
      <c r="X52" s="15"/>
      <c r="Y52" s="15"/>
      <c r="Z52" s="9"/>
      <c r="AA52" s="15"/>
      <c r="AB52" s="15"/>
    </row>
    <row r="53" spans="1:28" ht="38.25" customHeight="1" x14ac:dyDescent="0.25">
      <c r="A53" s="9"/>
      <c r="B53" s="66"/>
      <c r="C53" s="24">
        <v>0</v>
      </c>
      <c r="D53" s="24">
        <v>0</v>
      </c>
      <c r="E53" s="24">
        <v>40.5</v>
      </c>
      <c r="F53" s="24">
        <v>2000</v>
      </c>
      <c r="G53" s="24">
        <v>93</v>
      </c>
      <c r="H53" s="24">
        <v>2000</v>
      </c>
      <c r="I53" s="24">
        <v>0</v>
      </c>
      <c r="J53" s="24">
        <v>0</v>
      </c>
      <c r="K53" s="24">
        <v>0</v>
      </c>
      <c r="L53" s="24">
        <v>0</v>
      </c>
      <c r="Q53" s="15"/>
      <c r="R53" s="15"/>
      <c r="S53" s="9"/>
      <c r="T53" s="15"/>
      <c r="U53" s="15"/>
      <c r="V53" s="15"/>
      <c r="W53" s="9"/>
      <c r="X53" s="15"/>
      <c r="Y53" s="15"/>
      <c r="Z53" s="9"/>
      <c r="AA53" s="15"/>
      <c r="AB53" s="15"/>
    </row>
    <row r="54" spans="1:28" x14ac:dyDescent="0.25">
      <c r="A54" s="9"/>
      <c r="B54" s="65" t="s">
        <v>109</v>
      </c>
      <c r="C54" s="24">
        <v>0</v>
      </c>
      <c r="D54" s="24">
        <v>0</v>
      </c>
      <c r="E54" s="24">
        <v>40.5</v>
      </c>
      <c r="F54" s="24">
        <v>2000</v>
      </c>
      <c r="G54" s="24">
        <v>0</v>
      </c>
      <c r="H54" s="24">
        <v>0</v>
      </c>
      <c r="I54" s="24">
        <v>0</v>
      </c>
      <c r="J54" s="24">
        <v>0</v>
      </c>
      <c r="K54" s="24">
        <v>0</v>
      </c>
      <c r="L54" s="24">
        <v>0</v>
      </c>
    </row>
    <row r="55" spans="1:28" ht="45.75" customHeight="1" x14ac:dyDescent="0.25">
      <c r="A55" s="9"/>
      <c r="B55" s="66"/>
      <c r="C55" s="24">
        <v>0</v>
      </c>
      <c r="D55" s="24">
        <v>0</v>
      </c>
      <c r="E55" s="24">
        <v>40.5</v>
      </c>
      <c r="F55" s="24">
        <v>1400</v>
      </c>
      <c r="G55" s="24">
        <v>0</v>
      </c>
      <c r="H55" s="24">
        <v>0</v>
      </c>
      <c r="I55" s="24">
        <v>0</v>
      </c>
      <c r="J55" s="24">
        <v>0</v>
      </c>
      <c r="K55" s="24">
        <v>0</v>
      </c>
      <c r="L55" s="24">
        <v>0</v>
      </c>
    </row>
    <row r="59" spans="1:28" x14ac:dyDescent="0.25">
      <c r="C59" s="9"/>
      <c r="D59" s="9"/>
      <c r="E59" s="9"/>
    </row>
    <row r="60" spans="1:28" x14ac:dyDescent="0.25">
      <c r="C60" s="9"/>
      <c r="D60" s="9"/>
      <c r="E60" s="9"/>
      <c r="F60" s="9"/>
    </row>
    <row r="61" spans="1:28" x14ac:dyDescent="0.25">
      <c r="C61" s="9"/>
      <c r="D61" s="9"/>
      <c r="E61" s="9"/>
      <c r="F61" s="9"/>
    </row>
    <row r="62" spans="1:28" x14ac:dyDescent="0.25">
      <c r="C62" s="9"/>
      <c r="D62" s="9"/>
      <c r="E62" s="9"/>
      <c r="F62" s="9"/>
    </row>
    <row r="63" spans="1:28" x14ac:dyDescent="0.25">
      <c r="C63" s="9"/>
      <c r="D63" s="9"/>
      <c r="E63" s="9"/>
      <c r="F63" s="9"/>
    </row>
    <row r="64" spans="1:28" x14ac:dyDescent="0.25">
      <c r="C64" s="9"/>
      <c r="D64" s="9"/>
      <c r="E64" s="9"/>
      <c r="F64" s="9"/>
    </row>
    <row r="65" spans="3:6" x14ac:dyDescent="0.25">
      <c r="C65" s="9"/>
      <c r="D65" s="9"/>
      <c r="E65" s="9"/>
      <c r="F65" s="9"/>
    </row>
    <row r="66" spans="3:6" x14ac:dyDescent="0.25">
      <c r="C66" s="9"/>
      <c r="D66" s="9"/>
      <c r="E66" s="9"/>
      <c r="F66" s="9"/>
    </row>
    <row r="67" spans="3:6" x14ac:dyDescent="0.25">
      <c r="C67" s="9"/>
      <c r="D67" s="9"/>
      <c r="E67" s="9"/>
      <c r="F67" s="9"/>
    </row>
    <row r="68" spans="3:6" x14ac:dyDescent="0.25">
      <c r="C68" s="9"/>
      <c r="D68" s="9"/>
      <c r="E68" s="9"/>
      <c r="F68" s="9"/>
    </row>
    <row r="69" spans="3:6" x14ac:dyDescent="0.25">
      <c r="C69" s="9"/>
      <c r="D69" s="9"/>
      <c r="E69" s="9"/>
      <c r="F69" s="9"/>
    </row>
    <row r="70" spans="3:6" x14ac:dyDescent="0.25">
      <c r="C70" s="9"/>
      <c r="D70" s="9"/>
      <c r="E70" s="9"/>
      <c r="F70" s="9"/>
    </row>
  </sheetData>
  <mergeCells count="12">
    <mergeCell ref="K40:L40"/>
    <mergeCell ref="B50:B51"/>
    <mergeCell ref="B46:B47"/>
    <mergeCell ref="B48:B49"/>
    <mergeCell ref="B52:B53"/>
    <mergeCell ref="B54:B55"/>
    <mergeCell ref="C40:D40"/>
    <mergeCell ref="E40:F40"/>
    <mergeCell ref="G40:H40"/>
    <mergeCell ref="I40:J40"/>
    <mergeCell ref="B42:B43"/>
    <mergeCell ref="B44:B45"/>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T160"/>
  <sheetViews>
    <sheetView zoomScaleNormal="100" workbookViewId="0">
      <selection activeCell="G161" sqref="G161"/>
    </sheetView>
  </sheetViews>
  <sheetFormatPr defaultRowHeight="15" x14ac:dyDescent="0.25"/>
  <cols>
    <col min="2" max="2" width="22.42578125" bestFit="1" customWidth="1"/>
    <col min="7" max="7" width="12.5703125" style="9" bestFit="1" customWidth="1"/>
    <col min="9" max="9" width="22.5703125" bestFit="1" customWidth="1"/>
    <col min="10" max="11" width="14" style="9" customWidth="1"/>
    <col min="13" max="13" width="19.42578125" bestFit="1" customWidth="1"/>
    <col min="14" max="14" width="14.42578125" bestFit="1" customWidth="1"/>
    <col min="15" max="15" width="11" bestFit="1" customWidth="1"/>
    <col min="17" max="17" width="32.28515625" bestFit="1" customWidth="1"/>
    <col min="18" max="18" width="19.85546875" bestFit="1" customWidth="1"/>
    <col min="19" max="19" width="19.28515625" bestFit="1" customWidth="1"/>
    <col min="20" max="20" width="20.140625" bestFit="1" customWidth="1"/>
  </cols>
  <sheetData>
    <row r="1" spans="1:20" s="9" customFormat="1" x14ac:dyDescent="0.25"/>
    <row r="2" spans="1:20" s="9" customFormat="1" x14ac:dyDescent="0.25">
      <c r="A2" s="12" t="s">
        <v>173</v>
      </c>
      <c r="B2" s="11"/>
      <c r="C2" s="11"/>
      <c r="D2" s="11"/>
      <c r="E2" s="11"/>
      <c r="F2" s="11"/>
      <c r="G2" s="11"/>
      <c r="H2" s="11"/>
      <c r="I2" s="11"/>
      <c r="J2" s="11"/>
      <c r="K2" s="11"/>
      <c r="L2" s="11"/>
      <c r="M2" s="11"/>
      <c r="N2" s="11"/>
      <c r="O2" s="11"/>
      <c r="P2" s="11"/>
      <c r="Q2" s="11"/>
      <c r="R2" s="11"/>
      <c r="S2" s="11"/>
      <c r="T2" s="11"/>
    </row>
    <row r="3" spans="1:20" s="9" customFormat="1" x14ac:dyDescent="0.25"/>
    <row r="4" spans="1:20" s="9" customFormat="1" x14ac:dyDescent="0.25">
      <c r="B4" s="10" t="s">
        <v>155</v>
      </c>
      <c r="M4" s="10" t="s">
        <v>156</v>
      </c>
      <c r="Q4" s="10" t="s">
        <v>298</v>
      </c>
    </row>
    <row r="5" spans="1:20" s="9" customFormat="1" x14ac:dyDescent="0.25"/>
    <row r="6" spans="1:20" x14ac:dyDescent="0.25">
      <c r="B6" s="6" t="s">
        <v>51</v>
      </c>
      <c r="C6" s="6" t="s">
        <v>52</v>
      </c>
      <c r="D6" s="6" t="s">
        <v>53</v>
      </c>
      <c r="E6" s="6" t="s">
        <v>54</v>
      </c>
      <c r="F6" s="6" t="s">
        <v>55</v>
      </c>
      <c r="G6" s="6" t="s">
        <v>293</v>
      </c>
      <c r="I6" s="6" t="s">
        <v>84</v>
      </c>
      <c r="J6" s="6" t="s">
        <v>195</v>
      </c>
      <c r="K6" s="6" t="s">
        <v>293</v>
      </c>
      <c r="M6" s="6" t="s">
        <v>157</v>
      </c>
      <c r="N6" s="6" t="s">
        <v>158</v>
      </c>
      <c r="O6" s="6" t="s">
        <v>159</v>
      </c>
      <c r="Q6" s="6" t="s">
        <v>157</v>
      </c>
      <c r="R6" s="6" t="s">
        <v>301</v>
      </c>
      <c r="S6" s="6" t="s">
        <v>299</v>
      </c>
      <c r="T6" s="6" t="s">
        <v>300</v>
      </c>
    </row>
    <row r="7" spans="1:20" x14ac:dyDescent="0.25">
      <c r="B7" s="31" t="s">
        <v>56</v>
      </c>
      <c r="C7" s="40" t="s">
        <v>57</v>
      </c>
      <c r="D7" s="38">
        <v>1100</v>
      </c>
      <c r="E7" s="38">
        <v>1150</v>
      </c>
      <c r="F7" s="38">
        <v>900</v>
      </c>
      <c r="G7" s="38">
        <v>185</v>
      </c>
      <c r="I7" s="32" t="str">
        <f t="array" ref="I7">IFERROR(INDEX($B$7:$B$327,MATCH(SUM(COUNTIF(I$6:I6,$B$7:$B$327)),COUNTIF($B$7:$B$327,"&lt;"&amp;$B$7:$B$327),0)),"")</f>
        <v>Abbeville</v>
      </c>
      <c r="J7" s="32">
        <f t="shared" ref="J7:J38" si="0">IF(I7="","",(COUNTIF($B$7:$B$327,I7)))</f>
        <v>6</v>
      </c>
      <c r="K7" s="32">
        <f>IFERROR(INDEX($G$7:$G$327,MATCH($I7,$B$7:$B$327,0)),"")</f>
        <v>220</v>
      </c>
      <c r="L7" s="9"/>
      <c r="M7" s="41" t="s">
        <v>0</v>
      </c>
      <c r="N7" s="14">
        <f>IF(Variables!D37=0,1.2,Variables!D37)</f>
        <v>1.2</v>
      </c>
      <c r="O7" s="14">
        <f>IF(Variables!D48=0,1.1,Variables!D48)</f>
        <v>1.1000000000000001</v>
      </c>
      <c r="Q7" s="41" t="s">
        <v>289</v>
      </c>
      <c r="R7" s="47">
        <v>1013.25</v>
      </c>
      <c r="S7" s="14" t="str">
        <f>IF(Variables!C25="", "",Variables!C25-ISA_Pressure)</f>
        <v/>
      </c>
      <c r="T7" s="14" t="str">
        <f>IF(Variables!C28="","",Variables!C28-ISA_Pressure)</f>
        <v/>
      </c>
    </row>
    <row r="8" spans="1:20" x14ac:dyDescent="0.25">
      <c r="B8" s="31" t="s">
        <v>56</v>
      </c>
      <c r="C8" s="40" t="s">
        <v>58</v>
      </c>
      <c r="D8" s="38">
        <v>900</v>
      </c>
      <c r="E8" s="38">
        <v>900</v>
      </c>
      <c r="F8" s="38">
        <v>900</v>
      </c>
      <c r="G8" s="38">
        <v>185</v>
      </c>
      <c r="H8" s="9"/>
      <c r="I8" s="32" t="str">
        <f t="array" ref="I8">IFERROR(INDEX($B$7:$B$327,MATCH(SUM(COUNTIF(I$6:I7,$B$7:$B$327)),COUNTIF($B$7:$B$327,"&lt;"&amp;$B$7:$B$327),0)),"")</f>
        <v>Alderney</v>
      </c>
      <c r="J8" s="32">
        <f t="shared" si="0"/>
        <v>6</v>
      </c>
      <c r="K8" s="32">
        <f t="shared" ref="K8:K138" si="1">IFERROR(INDEX($G$7:$G$327,MATCH($I8,$B$7:$B$327,0)),"")</f>
        <v>290</v>
      </c>
      <c r="L8" s="9"/>
      <c r="M8" s="41" t="s">
        <v>148</v>
      </c>
      <c r="N8" s="14">
        <f>IF(Variables!D38=0,1.1,Variables!D38)</f>
        <v>1.1000000000000001</v>
      </c>
      <c r="O8" s="14">
        <f>IF(Variables!D49=0,1.05,Variables!D49)</f>
        <v>1.05</v>
      </c>
      <c r="Q8" s="41" t="s">
        <v>291</v>
      </c>
      <c r="R8" s="47">
        <v>15</v>
      </c>
      <c r="S8" s="14" t="str">
        <f>IF(Variables!C26="","",Variables!C26-ISA_Temp)</f>
        <v/>
      </c>
      <c r="T8" s="14" t="str">
        <f>IF(Variables!C29="","",Variables!C29-ISA_Temp)</f>
        <v/>
      </c>
    </row>
    <row r="9" spans="1:20" s="7" customFormat="1" x14ac:dyDescent="0.25">
      <c r="B9" s="31" t="s">
        <v>56</v>
      </c>
      <c r="C9" s="40" t="s">
        <v>68</v>
      </c>
      <c r="D9" s="38">
        <v>900</v>
      </c>
      <c r="E9" s="38">
        <v>900</v>
      </c>
      <c r="F9" s="38">
        <v>900</v>
      </c>
      <c r="G9" s="38">
        <v>185</v>
      </c>
      <c r="I9" s="32" t="str">
        <f t="array" ref="I9">IFERROR(INDEX($B$7:$B$327,MATCH(SUM(COUNTIF(I$6:I8,$B$7:$B$327)),COUNTIF($B$7:$B$327,"&lt;"&amp;$B$7:$B$327),0)),"")</f>
        <v>Beccles</v>
      </c>
      <c r="J9" s="32">
        <f t="shared" si="0"/>
        <v>2</v>
      </c>
      <c r="K9" s="32">
        <f t="shared" si="1"/>
        <v>80</v>
      </c>
      <c r="L9" s="9"/>
      <c r="M9" s="41" t="s">
        <v>149</v>
      </c>
      <c r="N9" s="14">
        <f>IF(Variables!D39=0,1.1,Variables!D39)</f>
        <v>1.1000000000000001</v>
      </c>
      <c r="O9" s="14">
        <f>IF(Variables!D50=0,1.05,Variables!D50)</f>
        <v>1.05</v>
      </c>
      <c r="Q9" s="41" t="s">
        <v>292</v>
      </c>
      <c r="R9" s="47">
        <v>1.98</v>
      </c>
      <c r="S9" s="14"/>
      <c r="T9" s="14"/>
    </row>
    <row r="10" spans="1:20" x14ac:dyDescent="0.25">
      <c r="B10" s="31" t="s">
        <v>56</v>
      </c>
      <c r="C10" s="40" t="s">
        <v>59</v>
      </c>
      <c r="D10" s="38">
        <v>1127</v>
      </c>
      <c r="E10" s="38">
        <v>1150</v>
      </c>
      <c r="F10" s="38">
        <v>1077</v>
      </c>
      <c r="G10" s="38">
        <v>185</v>
      </c>
      <c r="I10" s="32" t="str">
        <f t="array" ref="I10">IFERROR(INDEX($B$7:$B$327,MATCH(SUM(COUNTIF(I$6:I9,$B$7:$B$327)),COUNTIF($B$7:$B$327,"&lt;"&amp;$B$7:$B$327),0)),"")</f>
        <v>Bembridge</v>
      </c>
      <c r="J10" s="32">
        <f t="shared" si="0"/>
        <v>2</v>
      </c>
      <c r="K10" s="32">
        <f t="shared" si="1"/>
        <v>53</v>
      </c>
      <c r="L10" s="9"/>
      <c r="M10" s="41" t="s">
        <v>150</v>
      </c>
      <c r="N10" s="14">
        <f>IF(Variables!D40=0,1.2,Variables!D40)</f>
        <v>1.2</v>
      </c>
      <c r="O10" s="14">
        <f>IF(Variables!D51=0,1.2,Variables!D51)</f>
        <v>1.2</v>
      </c>
      <c r="Q10" s="41" t="s">
        <v>290</v>
      </c>
      <c r="R10" s="47">
        <v>1.2250000000000001</v>
      </c>
      <c r="S10" s="14"/>
      <c r="T10" s="14"/>
    </row>
    <row r="11" spans="1:20" x14ac:dyDescent="0.25">
      <c r="B11" s="31" t="s">
        <v>56</v>
      </c>
      <c r="C11" s="40">
        <v>10</v>
      </c>
      <c r="D11" s="38">
        <v>698</v>
      </c>
      <c r="E11" s="38">
        <v>698</v>
      </c>
      <c r="F11" s="38">
        <v>698</v>
      </c>
      <c r="G11" s="38">
        <v>185</v>
      </c>
      <c r="I11" s="32" t="str">
        <f t="array" ref="I11">IFERROR(INDEX($B$7:$B$327,MATCH(SUM(COUNTIF(I$6:I10,$B$7:$B$327)),COUNTIF($B$7:$B$327,"&lt;"&amp;$B$7:$B$327),0)),"")</f>
        <v>Bodmin</v>
      </c>
      <c r="J11" s="32">
        <f t="shared" si="0"/>
        <v>4</v>
      </c>
      <c r="K11" s="32">
        <f t="shared" si="1"/>
        <v>650</v>
      </c>
      <c r="L11" s="9"/>
      <c r="M11" s="41" t="s">
        <v>151</v>
      </c>
      <c r="N11" s="14">
        <f>IF(Variables!D41=0,1.3,Variables!D41)</f>
        <v>1.3</v>
      </c>
      <c r="O11" s="14">
        <f>IF(Variables!D52=0,1.35,Variables!D52)</f>
        <v>1.35</v>
      </c>
      <c r="Q11" s="9"/>
      <c r="R11" s="9"/>
      <c r="S11" s="9"/>
    </row>
    <row r="12" spans="1:20" x14ac:dyDescent="0.25">
      <c r="B12" s="31" t="s">
        <v>56</v>
      </c>
      <c r="C12" s="40">
        <v>28</v>
      </c>
      <c r="D12" s="38">
        <v>715</v>
      </c>
      <c r="E12" s="38">
        <v>715</v>
      </c>
      <c r="F12" s="38">
        <v>500</v>
      </c>
      <c r="G12" s="38">
        <v>185</v>
      </c>
      <c r="I12" s="32" t="str">
        <f t="array" ref="I12">IFERROR(INDEX($B$7:$B$327,MATCH(SUM(COUNTIF(I$6:I11,$B$7:$B$327)),COUNTIF($B$7:$B$327,"&lt;"&amp;$B$7:$B$327),0)),"")</f>
        <v>Clacton</v>
      </c>
      <c r="J12" s="32">
        <f t="shared" si="0"/>
        <v>2</v>
      </c>
      <c r="K12" s="32">
        <f t="shared" si="1"/>
        <v>37</v>
      </c>
      <c r="L12" s="9"/>
      <c r="M12" s="41" t="s">
        <v>184</v>
      </c>
      <c r="N12" s="14">
        <f>IF(Variables!D42=0,1,Variables!D42)</f>
        <v>1</v>
      </c>
      <c r="O12" s="14">
        <f>IF(Variables!D53=0,1.15,Variables!D53)</f>
        <v>1.1499999999999999</v>
      </c>
      <c r="Q12" s="9"/>
      <c r="R12" s="9"/>
      <c r="S12" s="9"/>
    </row>
    <row r="13" spans="1:20" x14ac:dyDescent="0.25">
      <c r="B13" s="31" t="s">
        <v>60</v>
      </c>
      <c r="C13" s="40">
        <v>2</v>
      </c>
      <c r="D13" s="38">
        <v>960</v>
      </c>
      <c r="E13" s="38">
        <v>1036</v>
      </c>
      <c r="F13" s="38">
        <v>871</v>
      </c>
      <c r="G13" s="38">
        <v>7</v>
      </c>
      <c r="I13" s="32" t="str">
        <f t="array" ref="I13">IFERROR(INDEX($B$7:$B$327,MATCH(SUM(COUNTIF(I$6:I12,$B$7:$B$327)),COUNTIF($B$7:$B$327,"&lt;"&amp;$B$7:$B$327),0)),"")</f>
        <v>Compton Abbas</v>
      </c>
      <c r="J13" s="32">
        <f t="shared" si="0"/>
        <v>2</v>
      </c>
      <c r="K13" s="32">
        <f t="shared" si="1"/>
        <v>811</v>
      </c>
      <c r="L13" s="9"/>
      <c r="M13" s="41" t="s">
        <v>152</v>
      </c>
      <c r="N13" s="14">
        <f>IF(Variables!D43=0,1.1,Variables!D43)</f>
        <v>1.1000000000000001</v>
      </c>
      <c r="O13" s="14">
        <f>IF(Variables!D54=0,1.1,Variables!D54)</f>
        <v>1.1000000000000001</v>
      </c>
      <c r="Q13" s="9"/>
      <c r="R13" s="9"/>
      <c r="S13" s="9"/>
    </row>
    <row r="14" spans="1:20" x14ac:dyDescent="0.25">
      <c r="B14" s="31" t="s">
        <v>60</v>
      </c>
      <c r="C14" s="40">
        <v>20</v>
      </c>
      <c r="D14" s="38">
        <v>916</v>
      </c>
      <c r="E14" s="38">
        <v>976</v>
      </c>
      <c r="F14" s="38">
        <v>865</v>
      </c>
      <c r="G14" s="38">
        <v>7</v>
      </c>
      <c r="H14" s="9"/>
      <c r="I14" s="32" t="str">
        <f t="array" ref="I14">IFERROR(INDEX($B$7:$B$327,MATCH(SUM(COUNTIF(I$6:I13,$B$7:$B$327)),COUNTIF($B$7:$B$327,"&lt;"&amp;$B$7:$B$327),0)),"")</f>
        <v>Coventry</v>
      </c>
      <c r="J14" s="32">
        <f t="shared" si="0"/>
        <v>2</v>
      </c>
      <c r="K14" s="32">
        <f t="shared" si="1"/>
        <v>267</v>
      </c>
      <c r="L14" s="9"/>
      <c r="M14" s="41" t="s">
        <v>153</v>
      </c>
      <c r="N14" s="14">
        <f>IF(Variables!D44=0,1.2,Variables!D44)</f>
        <v>1.2</v>
      </c>
      <c r="O14" s="14">
        <f>IF(Variables!D55=0,1.2,Variables!D55)</f>
        <v>1.2</v>
      </c>
      <c r="Q14" s="9"/>
      <c r="R14" s="9"/>
      <c r="S14" s="9"/>
    </row>
    <row r="15" spans="1:20" x14ac:dyDescent="0.25">
      <c r="B15" s="31" t="s">
        <v>60</v>
      </c>
      <c r="C15" s="40">
        <v>7</v>
      </c>
      <c r="D15" s="38">
        <v>877</v>
      </c>
      <c r="E15" s="38">
        <v>877</v>
      </c>
      <c r="F15" s="38">
        <v>877</v>
      </c>
      <c r="G15" s="38">
        <v>7</v>
      </c>
      <c r="I15" s="32" t="str">
        <f t="array" ref="I15">IFERROR(INDEX($B$7:$B$327,MATCH(SUM(COUNTIF(I$6:I14,$B$7:$B$327)),COUNTIF($B$7:$B$327,"&lt;"&amp;$B$7:$B$327),0)),"")</f>
        <v>Dunkeswell</v>
      </c>
      <c r="J15" s="32">
        <f t="shared" si="0"/>
        <v>4</v>
      </c>
      <c r="K15" s="32">
        <f t="shared" si="1"/>
        <v>839</v>
      </c>
      <c r="L15" s="9"/>
      <c r="M15" s="41" t="s">
        <v>154</v>
      </c>
      <c r="N15" s="14">
        <f>IF(Variables!D45=0,1.25,Variables!D45)</f>
        <v>1.25</v>
      </c>
      <c r="O15" s="14">
        <f>IF(Variables!D56=0,1.25,Variables!D56)</f>
        <v>1.25</v>
      </c>
      <c r="Q15" s="9"/>
      <c r="R15" s="9"/>
      <c r="S15" s="9"/>
    </row>
    <row r="16" spans="1:20" x14ac:dyDescent="0.25">
      <c r="B16" s="31" t="s">
        <v>60</v>
      </c>
      <c r="C16" s="40">
        <v>25</v>
      </c>
      <c r="D16" s="38">
        <v>877</v>
      </c>
      <c r="E16" s="38">
        <v>877</v>
      </c>
      <c r="F16" s="38">
        <v>794</v>
      </c>
      <c r="G16" s="38">
        <v>7</v>
      </c>
      <c r="H16" s="29"/>
      <c r="I16" s="32" t="str">
        <f t="array" ref="I16">IFERROR(INDEX($B$7:$B$327,MATCH(SUM(COUNTIF(I$6:I15,$B$7:$B$327)),COUNTIF($B$7:$B$327,"&lt;"&amp;$B$7:$B$327),0)),"")</f>
        <v>Duxford</v>
      </c>
      <c r="J16" s="32">
        <f t="shared" si="0"/>
        <v>4</v>
      </c>
      <c r="K16" s="32">
        <f t="shared" si="1"/>
        <v>125</v>
      </c>
      <c r="L16" s="9"/>
      <c r="M16" s="41" t="s">
        <v>160</v>
      </c>
      <c r="N16" s="14">
        <v>1.25</v>
      </c>
      <c r="O16" s="14">
        <v>1.43</v>
      </c>
      <c r="Q16" s="9"/>
      <c r="R16" s="9"/>
      <c r="S16" s="9"/>
    </row>
    <row r="17" spans="2:19" x14ac:dyDescent="0.25">
      <c r="B17" s="31" t="s">
        <v>60</v>
      </c>
      <c r="C17" s="40">
        <v>13</v>
      </c>
      <c r="D17" s="38">
        <v>400</v>
      </c>
      <c r="E17" s="38">
        <v>400</v>
      </c>
      <c r="F17" s="38">
        <v>400</v>
      </c>
      <c r="G17" s="38">
        <v>7</v>
      </c>
      <c r="I17" s="32" t="str">
        <f t="array" ref="I17">IFERROR(INDEX($B$7:$B$327,MATCH(SUM(COUNTIF(I$6:I16,$B$7:$B$327)),COUNTIF($B$7:$B$327,"&lt;"&amp;$B$7:$B$327),0)),"")</f>
        <v>Eaglescott</v>
      </c>
      <c r="J17" s="32">
        <f t="shared" si="0"/>
        <v>3</v>
      </c>
      <c r="K17" s="32">
        <f t="shared" si="1"/>
        <v>655</v>
      </c>
      <c r="L17" s="9"/>
      <c r="Q17" s="9"/>
      <c r="R17" s="9"/>
      <c r="S17" s="9"/>
    </row>
    <row r="18" spans="2:19" x14ac:dyDescent="0.25">
      <c r="B18" s="31" t="s">
        <v>60</v>
      </c>
      <c r="C18" s="40">
        <v>31</v>
      </c>
      <c r="D18" s="38">
        <v>400</v>
      </c>
      <c r="E18" s="38">
        <v>400</v>
      </c>
      <c r="F18" s="38">
        <v>400</v>
      </c>
      <c r="G18" s="38">
        <v>7</v>
      </c>
      <c r="I18" s="32" t="str">
        <f t="array" ref="I18">IFERROR(INDEX($B$7:$B$327,MATCH(SUM(COUNTIF(I$6:I17,$B$7:$B$327)),COUNTIF($B$7:$B$327,"&lt;"&amp;$B$7:$B$327),0)),"")</f>
        <v>East Kirkby</v>
      </c>
      <c r="J18" s="32">
        <f t="shared" si="0"/>
        <v>2</v>
      </c>
      <c r="K18" s="32">
        <f t="shared" si="1"/>
        <v>50</v>
      </c>
      <c r="L18" s="9"/>
      <c r="M18" s="43"/>
      <c r="Q18" s="9"/>
      <c r="R18" s="9"/>
      <c r="S18" s="9"/>
    </row>
    <row r="19" spans="2:19" x14ac:dyDescent="0.25">
      <c r="B19" s="31" t="s">
        <v>61</v>
      </c>
      <c r="C19" s="40">
        <v>3</v>
      </c>
      <c r="D19" s="38">
        <v>1470</v>
      </c>
      <c r="E19" s="38">
        <v>1979</v>
      </c>
      <c r="F19" s="38">
        <v>1470</v>
      </c>
      <c r="G19" s="38">
        <v>13</v>
      </c>
      <c r="I19" s="32" t="str">
        <f t="array" ref="I19">IFERROR(INDEX($B$7:$B$327,MATCH(SUM(COUNTIF(I$6:I18,$B$7:$B$327)),COUNTIF($B$7:$B$327,"&lt;"&amp;$B$7:$B$327),0)),"")</f>
        <v>Fairoaks</v>
      </c>
      <c r="J19" s="32">
        <f t="shared" si="0"/>
        <v>2</v>
      </c>
      <c r="K19" s="32">
        <f t="shared" si="1"/>
        <v>80</v>
      </c>
      <c r="L19" s="9"/>
      <c r="Q19" s="9"/>
      <c r="R19" s="9"/>
      <c r="S19" s="9"/>
    </row>
    <row r="20" spans="2:19" x14ac:dyDescent="0.25">
      <c r="B20" s="31" t="s">
        <v>61</v>
      </c>
      <c r="C20" s="40">
        <v>21</v>
      </c>
      <c r="D20" s="38">
        <v>1505</v>
      </c>
      <c r="E20" s="38">
        <v>1681</v>
      </c>
      <c r="F20" s="38">
        <v>1470</v>
      </c>
      <c r="G20" s="38">
        <v>13</v>
      </c>
      <c r="I20" s="32" t="str">
        <f t="array" ref="I20">IFERROR(INDEX($B$7:$B$327,MATCH(SUM(COUNTIF(I$6:I19,$B$7:$B$327)),COUNTIF($B$7:$B$327,"&lt;"&amp;$B$7:$B$327),0)),"")</f>
        <v>Fenland</v>
      </c>
      <c r="J20" s="32">
        <f t="shared" si="0"/>
        <v>4</v>
      </c>
      <c r="K20" s="32">
        <f t="shared" si="1"/>
        <v>6</v>
      </c>
      <c r="L20" s="9"/>
      <c r="Q20" s="9"/>
      <c r="R20" s="9"/>
      <c r="S20" s="9"/>
    </row>
    <row r="21" spans="2:19" x14ac:dyDescent="0.25">
      <c r="B21" s="31" t="s">
        <v>62</v>
      </c>
      <c r="C21" s="40">
        <v>6</v>
      </c>
      <c r="D21" s="38">
        <v>1459</v>
      </c>
      <c r="E21" s="38">
        <v>1544</v>
      </c>
      <c r="F21" s="38">
        <v>1285</v>
      </c>
      <c r="G21" s="38">
        <v>55</v>
      </c>
      <c r="I21" s="32" t="str">
        <f t="array" ref="I21">IFERROR(INDEX($B$7:$B$327,MATCH(SUM(COUNTIF(I$6:I20,$B$7:$B$327)),COUNTIF($B$7:$B$327,"&lt;"&amp;$B$7:$B$327),0)),"")</f>
        <v>Goodwood/Chichester</v>
      </c>
      <c r="J21" s="32">
        <f t="shared" si="0"/>
        <v>6</v>
      </c>
      <c r="K21" s="32">
        <f t="shared" si="1"/>
        <v>109</v>
      </c>
      <c r="L21" s="9"/>
      <c r="Q21" s="9"/>
      <c r="R21" s="9"/>
      <c r="S21" s="9"/>
    </row>
    <row r="22" spans="2:19" x14ac:dyDescent="0.25">
      <c r="B22" s="31" t="s">
        <v>62</v>
      </c>
      <c r="C22" s="40">
        <v>24</v>
      </c>
      <c r="D22" s="38">
        <v>1531</v>
      </c>
      <c r="E22" s="38">
        <v>1591</v>
      </c>
      <c r="F22" s="38">
        <v>1399</v>
      </c>
      <c r="G22" s="38">
        <v>55</v>
      </c>
      <c r="I22" s="32" t="str">
        <f t="array" ref="I22">IFERROR(INDEX($B$7:$B$327,MATCH(SUM(COUNTIF(I$6:I21,$B$7:$B$327)),COUNTIF($B$7:$B$327,"&lt;"&amp;$B$7:$B$327),0)),"")</f>
        <v>Humberside</v>
      </c>
      <c r="J22" s="32">
        <f t="shared" si="0"/>
        <v>4</v>
      </c>
      <c r="K22" s="32">
        <f t="shared" si="1"/>
        <v>121</v>
      </c>
      <c r="L22" s="9"/>
      <c r="Q22" s="9"/>
      <c r="R22" s="9"/>
      <c r="S22" s="9"/>
    </row>
    <row r="23" spans="2:19" x14ac:dyDescent="0.25">
      <c r="B23" s="31" t="s">
        <v>63</v>
      </c>
      <c r="C23" s="40" t="s">
        <v>64</v>
      </c>
      <c r="D23" s="38">
        <v>827</v>
      </c>
      <c r="E23" s="38">
        <v>827</v>
      </c>
      <c r="F23" s="38">
        <v>827</v>
      </c>
      <c r="G23" s="38">
        <v>426</v>
      </c>
      <c r="I23" s="32" t="str">
        <f t="array" ref="I23">IFERROR(INDEX($B$7:$B$327,MATCH(SUM(COUNTIF(I$6:I22,$B$7:$B$327)),COUNTIF($B$7:$B$327,"&lt;"&amp;$B$7:$B$327),0)),"")</f>
        <v>Isle of White - Sandown</v>
      </c>
      <c r="J23" s="32">
        <f t="shared" si="0"/>
        <v>2</v>
      </c>
      <c r="K23" s="32">
        <f t="shared" si="1"/>
        <v>55</v>
      </c>
      <c r="Q23" s="9"/>
      <c r="R23" s="9"/>
      <c r="S23" s="9"/>
    </row>
    <row r="24" spans="2:19" x14ac:dyDescent="0.25">
      <c r="B24" s="31" t="s">
        <v>63</v>
      </c>
      <c r="C24" s="40" t="s">
        <v>65</v>
      </c>
      <c r="D24" s="38">
        <v>827</v>
      </c>
      <c r="E24" s="38">
        <v>827</v>
      </c>
      <c r="F24" s="38">
        <v>827</v>
      </c>
      <c r="G24" s="38">
        <v>426</v>
      </c>
      <c r="I24" s="32" t="str">
        <f t="array" ref="I24">IFERROR(INDEX($B$7:$B$327,MATCH(SUM(COUNTIF(I$6:I23,$B$7:$B$327)),COUNTIF($B$7:$B$327,"&lt;"&amp;$B$7:$B$327),0)),"")</f>
        <v>Kemble</v>
      </c>
      <c r="J24" s="32">
        <f t="shared" si="0"/>
        <v>4</v>
      </c>
      <c r="K24" s="32">
        <f t="shared" si="1"/>
        <v>436</v>
      </c>
      <c r="Q24" s="9"/>
      <c r="R24" s="9"/>
      <c r="S24" s="9"/>
    </row>
    <row r="25" spans="2:19" x14ac:dyDescent="0.25">
      <c r="B25" s="31" t="s">
        <v>63</v>
      </c>
      <c r="C25" s="40">
        <v>16</v>
      </c>
      <c r="D25" s="38">
        <v>773</v>
      </c>
      <c r="E25" s="38">
        <v>773</v>
      </c>
      <c r="F25" s="38">
        <v>808</v>
      </c>
      <c r="G25" s="38">
        <v>426</v>
      </c>
      <c r="I25" s="32" t="str">
        <f t="array" ref="I25">IFERROR(INDEX($B$7:$B$327,MATCH(SUM(COUNTIF(I$6:I24,$B$7:$B$327)),COUNTIF($B$7:$B$327,"&lt;"&amp;$B$7:$B$327),0)),"")</f>
        <v>Lands End</v>
      </c>
      <c r="J25" s="32">
        <f t="shared" si="0"/>
        <v>7</v>
      </c>
      <c r="K25" s="32">
        <f t="shared" si="1"/>
        <v>398</v>
      </c>
      <c r="Q25" s="9"/>
    </row>
    <row r="26" spans="2:19" x14ac:dyDescent="0.25">
      <c r="B26" s="31" t="s">
        <v>63</v>
      </c>
      <c r="C26" s="40">
        <v>34</v>
      </c>
      <c r="D26" s="38">
        <v>963</v>
      </c>
      <c r="E26" s="38">
        <v>963</v>
      </c>
      <c r="F26" s="38">
        <v>773</v>
      </c>
      <c r="G26" s="38">
        <v>426</v>
      </c>
      <c r="I26" s="32" t="str">
        <f t="array" ref="I26">IFERROR(INDEX($B$7:$B$327,MATCH(SUM(COUNTIF(I$6:I25,$B$7:$B$327)),COUNTIF($B$7:$B$327,"&lt;"&amp;$B$7:$B$327),0)),"")</f>
        <v>Le Touquet</v>
      </c>
      <c r="J26" s="32">
        <f t="shared" si="0"/>
        <v>2</v>
      </c>
      <c r="K26" s="32">
        <f t="shared" si="1"/>
        <v>21</v>
      </c>
    </row>
    <row r="27" spans="2:19" x14ac:dyDescent="0.25">
      <c r="B27" s="31" t="s">
        <v>63</v>
      </c>
      <c r="C27" s="40" t="s">
        <v>66</v>
      </c>
      <c r="D27" s="38">
        <v>690</v>
      </c>
      <c r="E27" s="38">
        <v>690</v>
      </c>
      <c r="F27" s="38">
        <v>690</v>
      </c>
      <c r="G27" s="38">
        <v>426</v>
      </c>
      <c r="I27" s="32" t="str">
        <f t="array" ref="I27">IFERROR(INDEX($B$7:$B$327,MATCH(SUM(COUNTIF(I$6:I26,$B$7:$B$327)),COUNTIF($B$7:$B$327,"&lt;"&amp;$B$7:$B$327),0)),"")</f>
        <v>Leicester</v>
      </c>
      <c r="J27" s="32">
        <f t="shared" si="0"/>
        <v>10</v>
      </c>
      <c r="K27" s="32">
        <f t="shared" si="1"/>
        <v>469</v>
      </c>
    </row>
    <row r="28" spans="2:19" x14ac:dyDescent="0.25">
      <c r="B28" s="31" t="s">
        <v>63</v>
      </c>
      <c r="C28" s="40" t="s">
        <v>67</v>
      </c>
      <c r="D28" s="38">
        <v>690</v>
      </c>
      <c r="E28" s="38">
        <v>690</v>
      </c>
      <c r="F28" s="38">
        <v>690</v>
      </c>
      <c r="G28" s="38">
        <v>426</v>
      </c>
      <c r="I28" s="32" t="str">
        <f t="array" ref="I28">IFERROR(INDEX($B$7:$B$327,MATCH(SUM(COUNTIF(I$6:I27,$B$7:$B$327)),COUNTIF($B$7:$B$327,"&lt;"&amp;$B$7:$B$327),0)),"")</f>
        <v>Lydd</v>
      </c>
      <c r="J28" s="32">
        <f t="shared" si="0"/>
        <v>2</v>
      </c>
      <c r="K28" s="32">
        <f t="shared" si="1"/>
        <v>13</v>
      </c>
      <c r="P28" s="9"/>
    </row>
    <row r="29" spans="2:19" x14ac:dyDescent="0.25">
      <c r="B29" s="31" t="s">
        <v>69</v>
      </c>
      <c r="C29" s="40">
        <v>9</v>
      </c>
      <c r="D29" s="38">
        <v>1841</v>
      </c>
      <c r="E29" s="38">
        <v>1993</v>
      </c>
      <c r="F29" s="38">
        <v>1841</v>
      </c>
      <c r="G29" s="38">
        <v>117</v>
      </c>
      <c r="I29" s="32" t="str">
        <f t="array" ref="I29">IFERROR(INDEX($B$7:$B$327,MATCH(SUM(COUNTIF(I$6:I28,$B$7:$B$327)),COUNTIF($B$7:$B$327,"&lt;"&amp;$B$7:$B$327),0)),"")</f>
        <v>Northampton/Sywell</v>
      </c>
      <c r="J29" s="32">
        <f t="shared" si="0"/>
        <v>4</v>
      </c>
      <c r="K29" s="32">
        <f t="shared" si="1"/>
        <v>424</v>
      </c>
      <c r="N29" s="9"/>
      <c r="O29" s="9"/>
      <c r="P29" s="9"/>
    </row>
    <row r="30" spans="2:19" x14ac:dyDescent="0.25">
      <c r="B30" s="31" t="s">
        <v>69</v>
      </c>
      <c r="C30" s="40">
        <v>27</v>
      </c>
      <c r="D30" s="38">
        <v>1841</v>
      </c>
      <c r="E30" s="38">
        <v>2111</v>
      </c>
      <c r="F30" s="38">
        <v>1841</v>
      </c>
      <c r="G30" s="38">
        <v>117</v>
      </c>
      <c r="I30" s="32" t="str">
        <f t="array" ref="I30">IFERROR(INDEX($B$7:$B$327,MATCH(SUM(COUNTIF(I$6:I29,$B$7:$B$327)),COUNTIF($B$7:$B$327,"&lt;"&amp;$B$7:$B$327),0)),"")</f>
        <v>Norwich</v>
      </c>
      <c r="J30" s="32">
        <f t="shared" si="0"/>
        <v>2</v>
      </c>
      <c r="K30" s="32">
        <f t="shared" si="1"/>
        <v>117</v>
      </c>
      <c r="M30" s="9"/>
      <c r="N30" s="9"/>
      <c r="O30" s="9"/>
      <c r="P30" s="9"/>
    </row>
    <row r="31" spans="2:19" x14ac:dyDescent="0.25">
      <c r="B31" s="31" t="s">
        <v>70</v>
      </c>
      <c r="C31" s="40">
        <v>7</v>
      </c>
      <c r="D31" s="38">
        <v>639</v>
      </c>
      <c r="E31" s="38">
        <v>639</v>
      </c>
      <c r="F31" s="38">
        <v>639</v>
      </c>
      <c r="G31" s="38">
        <v>194</v>
      </c>
      <c r="I31" s="32" t="str">
        <f t="array" ref="I31">IFERROR(INDEX($B$7:$B$327,MATCH(SUM(COUNTIF(I$6:I30,$B$7:$B$327)),COUNTIF($B$7:$B$327,"&lt;"&amp;$B$7:$B$327),0)),"")</f>
        <v>Nottingham</v>
      </c>
      <c r="J31" s="32">
        <f t="shared" si="0"/>
        <v>4</v>
      </c>
      <c r="K31" s="32">
        <f t="shared" si="1"/>
        <v>138</v>
      </c>
      <c r="M31" s="9"/>
      <c r="N31" s="9"/>
      <c r="O31" s="9"/>
      <c r="P31" s="9"/>
    </row>
    <row r="32" spans="2:19" x14ac:dyDescent="0.25">
      <c r="B32" s="31" t="s">
        <v>70</v>
      </c>
      <c r="C32" s="40">
        <v>25</v>
      </c>
      <c r="D32" s="38">
        <v>639</v>
      </c>
      <c r="E32" s="38">
        <v>639</v>
      </c>
      <c r="F32" s="38">
        <v>639</v>
      </c>
      <c r="G32" s="38">
        <v>194</v>
      </c>
      <c r="I32" s="32" t="str">
        <f t="array" ref="I32">IFERROR(INDEX($B$7:$B$327,MATCH(SUM(COUNTIF(I$6:I31,$B$7:$B$327)),COUNTIF($B$7:$B$327,"&lt;"&amp;$B$7:$B$327),0)),"")</f>
        <v>Old Buck</v>
      </c>
      <c r="J32" s="32">
        <f t="shared" si="0"/>
        <v>6</v>
      </c>
      <c r="K32" s="32">
        <f t="shared" si="1"/>
        <v>194</v>
      </c>
      <c r="M32" s="9"/>
      <c r="N32" s="9"/>
      <c r="O32" s="9"/>
      <c r="P32" s="9"/>
    </row>
    <row r="33" spans="1:16" x14ac:dyDescent="0.25">
      <c r="B33" s="31" t="s">
        <v>70</v>
      </c>
      <c r="C33" s="40" t="s">
        <v>180</v>
      </c>
      <c r="D33" s="38">
        <v>407</v>
      </c>
      <c r="E33" s="38">
        <v>407</v>
      </c>
      <c r="F33" s="38">
        <v>407</v>
      </c>
      <c r="G33" s="38">
        <v>194</v>
      </c>
      <c r="I33" s="32" t="str">
        <f t="array" ref="I33">IFERROR(INDEX($B$7:$B$327,MATCH(SUM(COUNTIF(I$6:I32,$B$7:$B$327)),COUNTIF($B$7:$B$327,"&lt;"&amp;$B$7:$B$327),0)),"")</f>
        <v>Oostende-Brugge</v>
      </c>
      <c r="J33" s="32">
        <f t="shared" si="0"/>
        <v>2</v>
      </c>
      <c r="K33" s="32">
        <f t="shared" si="1"/>
        <v>13</v>
      </c>
      <c r="M33" s="9"/>
      <c r="N33" s="9"/>
      <c r="O33" s="9"/>
      <c r="P33" s="9"/>
    </row>
    <row r="34" spans="1:16" x14ac:dyDescent="0.25">
      <c r="B34" s="31" t="s">
        <v>70</v>
      </c>
      <c r="C34" s="40" t="s">
        <v>181</v>
      </c>
      <c r="D34" s="38">
        <v>469</v>
      </c>
      <c r="E34" s="38">
        <v>469</v>
      </c>
      <c r="F34" s="38">
        <v>407</v>
      </c>
      <c r="G34" s="38">
        <v>194</v>
      </c>
      <c r="I34" s="32" t="str">
        <f t="array" ref="I34">IFERROR(INDEX($B$7:$B$327,MATCH(SUM(COUNTIF(I$6:I33,$B$7:$B$327)),COUNTIF($B$7:$B$327,"&lt;"&amp;$B$7:$B$327),0)),"")</f>
        <v>Oxford/Kidlington</v>
      </c>
      <c r="J34" s="32">
        <f t="shared" si="0"/>
        <v>4</v>
      </c>
      <c r="K34" s="32">
        <f t="shared" si="1"/>
        <v>270</v>
      </c>
      <c r="M34" s="9"/>
      <c r="N34" s="9"/>
      <c r="O34" s="9"/>
      <c r="P34" s="9"/>
    </row>
    <row r="35" spans="1:16" x14ac:dyDescent="0.25">
      <c r="B35" s="31" t="s">
        <v>70</v>
      </c>
      <c r="C35" s="40">
        <v>2</v>
      </c>
      <c r="D35" s="38">
        <v>370</v>
      </c>
      <c r="E35" s="38">
        <v>370</v>
      </c>
      <c r="F35" s="38">
        <v>428</v>
      </c>
      <c r="G35" s="38">
        <v>194</v>
      </c>
      <c r="I35" s="32" t="str">
        <f t="array" ref="I35">IFERROR(INDEX($B$7:$B$327,MATCH(SUM(COUNTIF(I$6:I34,$B$7:$B$327)),COUNTIF($B$7:$B$327,"&lt;"&amp;$B$7:$B$327),0)),"")</f>
        <v>Perranporth</v>
      </c>
      <c r="J35" s="32">
        <f t="shared" si="0"/>
        <v>4</v>
      </c>
      <c r="K35" s="32">
        <f t="shared" si="1"/>
        <v>330</v>
      </c>
      <c r="M35" s="9"/>
      <c r="N35" s="9"/>
      <c r="O35" s="9"/>
      <c r="P35" s="9"/>
    </row>
    <row r="36" spans="1:16" x14ac:dyDescent="0.25">
      <c r="B36" s="31" t="s">
        <v>70</v>
      </c>
      <c r="C36" s="40">
        <v>20</v>
      </c>
      <c r="D36" s="38">
        <v>428</v>
      </c>
      <c r="E36" s="38">
        <v>428</v>
      </c>
      <c r="F36" s="38">
        <v>370</v>
      </c>
      <c r="G36" s="38">
        <v>194</v>
      </c>
      <c r="I36" s="32" t="str">
        <f t="array" ref="I36">IFERROR(INDEX($B$7:$B$327,MATCH(SUM(COUNTIF(I$6:I35,$B$7:$B$327)),COUNTIF($B$7:$B$327,"&lt;"&amp;$B$7:$B$327),0)),"")</f>
        <v>Peterborough/Sibson</v>
      </c>
      <c r="J36" s="32">
        <f t="shared" si="0"/>
        <v>4</v>
      </c>
      <c r="K36" s="32">
        <f t="shared" si="1"/>
        <v>130</v>
      </c>
      <c r="M36" s="9"/>
      <c r="N36" s="9"/>
      <c r="O36" s="9"/>
      <c r="P36" s="9"/>
    </row>
    <row r="37" spans="1:16" x14ac:dyDescent="0.25">
      <c r="B37" s="31" t="s">
        <v>193</v>
      </c>
      <c r="C37" s="40">
        <v>8</v>
      </c>
      <c r="D37" s="38">
        <v>799</v>
      </c>
      <c r="E37" s="38">
        <v>799</v>
      </c>
      <c r="F37" s="38">
        <v>803</v>
      </c>
      <c r="G37" s="38">
        <v>811</v>
      </c>
      <c r="I37" s="32" t="str">
        <f t="array" ref="I37">IFERROR(INDEX($B$7:$B$327,MATCH(SUM(COUNTIF(I$6:I36,$B$7:$B$327)),COUNTIF($B$7:$B$327,"&lt;"&amp;$B$7:$B$327),0)),"")</f>
        <v>Rochester</v>
      </c>
      <c r="J37" s="32">
        <f t="shared" si="0"/>
        <v>6</v>
      </c>
      <c r="K37" s="32">
        <f t="shared" si="1"/>
        <v>426</v>
      </c>
      <c r="M37" s="9"/>
      <c r="N37" s="9"/>
      <c r="O37" s="9"/>
      <c r="P37" s="9"/>
    </row>
    <row r="38" spans="1:16" x14ac:dyDescent="0.25">
      <c r="B38" s="31" t="s">
        <v>193</v>
      </c>
      <c r="C38" s="40">
        <v>26</v>
      </c>
      <c r="D38" s="38">
        <v>799</v>
      </c>
      <c r="E38" s="38">
        <v>799</v>
      </c>
      <c r="F38" s="38">
        <v>803</v>
      </c>
      <c r="G38" s="38">
        <v>811</v>
      </c>
      <c r="I38" s="32" t="str">
        <f t="array" ref="I38">IFERROR(INDEX($B$7:$B$327,MATCH(SUM(COUNTIF(I$6:I37,$B$7:$B$327)),COUNTIF($B$7:$B$327,"&lt;"&amp;$B$7:$B$327),0)),"")</f>
        <v>Scilly Iles/St Mary's</v>
      </c>
      <c r="J38" s="32">
        <f t="shared" si="0"/>
        <v>4</v>
      </c>
      <c r="K38" s="32">
        <f t="shared" si="1"/>
        <v>116</v>
      </c>
      <c r="M38" s="9"/>
      <c r="N38" s="9"/>
      <c r="O38" s="9"/>
      <c r="P38" s="9"/>
    </row>
    <row r="39" spans="1:16" x14ac:dyDescent="0.25">
      <c r="A39" s="9"/>
      <c r="B39" s="31" t="s">
        <v>199</v>
      </c>
      <c r="C39" s="40" t="s">
        <v>200</v>
      </c>
      <c r="D39" s="38">
        <v>1199</v>
      </c>
      <c r="E39" s="38">
        <v>1199</v>
      </c>
      <c r="F39" s="38">
        <v>1199</v>
      </c>
      <c r="G39" s="38">
        <v>125</v>
      </c>
      <c r="I39" s="32" t="str">
        <f t="array" ref="I39">IFERROR(INDEX($B$7:$B$327,MATCH(SUM(COUNTIF(I$6:I38,$B$7:$B$327)),COUNTIF($B$7:$B$327,"&lt;"&amp;$B$7:$B$327),0)),"")</f>
        <v>Sherburn-In-Elmet</v>
      </c>
      <c r="J39" s="32">
        <f t="shared" ref="J39:J44" si="2">IF(I39="","",(COUNTIF($B$7:$B$327,I39)))</f>
        <v>8</v>
      </c>
      <c r="K39" s="32">
        <f t="shared" si="1"/>
        <v>26</v>
      </c>
      <c r="M39" s="9"/>
      <c r="N39" s="9"/>
      <c r="O39" s="9"/>
      <c r="P39" s="9"/>
    </row>
    <row r="40" spans="1:16" x14ac:dyDescent="0.25">
      <c r="B40" s="31" t="s">
        <v>199</v>
      </c>
      <c r="C40" s="40" t="s">
        <v>201</v>
      </c>
      <c r="D40" s="38">
        <v>1199</v>
      </c>
      <c r="E40" s="38">
        <v>1199</v>
      </c>
      <c r="F40" s="38">
        <v>1199</v>
      </c>
      <c r="G40" s="38">
        <v>125</v>
      </c>
      <c r="I40" s="32" t="str">
        <f t="array" ref="I40">IFERROR(INDEX($B$7:$B$327,MATCH(SUM(COUNTIF(I$6:I39,$B$7:$B$327)),COUNTIF($B$7:$B$327,"&lt;"&amp;$B$7:$B$327),0)),"")</f>
        <v>Shoreham</v>
      </c>
      <c r="J40" s="32">
        <f t="shared" si="2"/>
        <v>6</v>
      </c>
      <c r="K40" s="32">
        <f t="shared" si="1"/>
        <v>7</v>
      </c>
      <c r="M40" s="9"/>
      <c r="N40" s="9"/>
      <c r="O40" s="9"/>
      <c r="P40" s="9"/>
    </row>
    <row r="41" spans="1:16" x14ac:dyDescent="0.25">
      <c r="B41" s="31" t="s">
        <v>199</v>
      </c>
      <c r="C41" s="40" t="s">
        <v>202</v>
      </c>
      <c r="D41" s="38">
        <v>880</v>
      </c>
      <c r="E41" s="38">
        <v>880</v>
      </c>
      <c r="F41" s="38">
        <v>880</v>
      </c>
      <c r="G41" s="38">
        <v>125</v>
      </c>
      <c r="I41" s="32" t="str">
        <f t="array" ref="I41">IFERROR(INDEX($B$7:$B$327,MATCH(SUM(COUNTIF(I$6:I40,$B$7:$B$327)),COUNTIF($B$7:$B$327,"&lt;"&amp;$B$7:$B$327),0)),"")</f>
        <v>Southend</v>
      </c>
      <c r="J41" s="32">
        <f t="shared" si="2"/>
        <v>2</v>
      </c>
      <c r="K41" s="32">
        <f t="shared" si="1"/>
        <v>55</v>
      </c>
      <c r="M41" s="9"/>
      <c r="N41" s="9"/>
      <c r="O41" s="9"/>
      <c r="P41" s="9"/>
    </row>
    <row r="42" spans="1:16" x14ac:dyDescent="0.25">
      <c r="B42" s="31" t="s">
        <v>199</v>
      </c>
      <c r="C42" s="40" t="s">
        <v>203</v>
      </c>
      <c r="D42" s="38">
        <v>880</v>
      </c>
      <c r="E42" s="38">
        <v>880</v>
      </c>
      <c r="F42" s="38">
        <v>880</v>
      </c>
      <c r="G42" s="38">
        <v>125</v>
      </c>
      <c r="I42" s="32" t="str">
        <f t="array" ref="I42">IFERROR(INDEX($B$7:$B$327,MATCH(SUM(COUNTIF(I$6:I41,$B$7:$B$327)),COUNTIF($B$7:$B$327,"&lt;"&amp;$B$7:$B$327),0)),"")</f>
        <v>Stapleford</v>
      </c>
      <c r="J42" s="32">
        <f t="shared" si="2"/>
        <v>6</v>
      </c>
      <c r="K42" s="32">
        <f t="shared" si="1"/>
        <v>185</v>
      </c>
      <c r="M42" s="9"/>
      <c r="N42" s="9"/>
      <c r="O42" s="9"/>
      <c r="P42" s="9"/>
    </row>
    <row r="43" spans="1:16" x14ac:dyDescent="0.25">
      <c r="B43" s="31" t="s">
        <v>211</v>
      </c>
      <c r="C43" s="40" t="s">
        <v>212</v>
      </c>
      <c r="D43" s="38">
        <v>917</v>
      </c>
      <c r="E43" s="38">
        <v>917</v>
      </c>
      <c r="F43" s="38">
        <v>917</v>
      </c>
      <c r="G43" s="38">
        <v>159</v>
      </c>
      <c r="I43" s="32" t="str">
        <f t="array" ref="I43">IFERROR(INDEX($B$7:$B$327,MATCH(SUM(COUNTIF(I$6:I42,$B$7:$B$327)),COUNTIF($B$7:$B$327,"&lt;"&amp;$B$7:$B$327),0)),"")</f>
        <v>Thruxton</v>
      </c>
      <c r="J43" s="32">
        <f t="shared" si="2"/>
        <v>4</v>
      </c>
      <c r="K43" s="32">
        <f t="shared" si="1"/>
        <v>319</v>
      </c>
      <c r="M43" s="9"/>
      <c r="N43" s="9"/>
      <c r="O43" s="9"/>
      <c r="P43" s="9"/>
    </row>
    <row r="44" spans="1:16" x14ac:dyDescent="0.25">
      <c r="B44" s="31" t="s">
        <v>211</v>
      </c>
      <c r="C44" s="40" t="s">
        <v>215</v>
      </c>
      <c r="D44" s="38">
        <v>917</v>
      </c>
      <c r="E44" s="38">
        <v>917</v>
      </c>
      <c r="F44" s="38">
        <v>917</v>
      </c>
      <c r="G44" s="38">
        <v>159</v>
      </c>
      <c r="I44" s="32" t="str">
        <f t="array" ref="I44">IFERROR(INDEX($B$7:$B$327,MATCH(SUM(COUNTIF(I$6:I43,$B$7:$B$327)),COUNTIF($B$7:$B$327,"&lt;"&amp;$B$7:$B$327),0)),"")</f>
        <v>Wellesbourne</v>
      </c>
      <c r="J44" s="32">
        <f t="shared" si="2"/>
        <v>4</v>
      </c>
      <c r="K44" s="32">
        <f t="shared" si="1"/>
        <v>159</v>
      </c>
      <c r="M44" s="9"/>
      <c r="N44" s="9"/>
      <c r="O44" s="9"/>
      <c r="P44" s="9"/>
    </row>
    <row r="45" spans="1:16" x14ac:dyDescent="0.25">
      <c r="B45" s="31" t="s">
        <v>211</v>
      </c>
      <c r="C45" s="40" t="s">
        <v>213</v>
      </c>
      <c r="D45" s="38">
        <v>587</v>
      </c>
      <c r="E45" s="38">
        <v>587</v>
      </c>
      <c r="F45" s="38">
        <v>587</v>
      </c>
      <c r="G45" s="38">
        <v>159</v>
      </c>
      <c r="I45" s="32" t="str">
        <f t="array" ref="I45">IFERROR(INDEX($B$7:$B$327,MATCH(SUM(COUNTIF(I$6:I44,$B$7:$B$327)),COUNTIF($B$7:$B$327,"&lt;"&amp;$B$7:$B$327),0)),"")</f>
        <v>Welshpool</v>
      </c>
      <c r="J45" s="32">
        <f t="shared" ref="J45:J108" si="3">IF(I45="","",(COUNTIF($B$7:$B$327,I45)))</f>
        <v>2</v>
      </c>
      <c r="K45" s="32">
        <f t="shared" si="1"/>
        <v>233</v>
      </c>
      <c r="M45" s="9"/>
      <c r="N45" s="9"/>
      <c r="O45" s="9"/>
      <c r="P45" s="9"/>
    </row>
    <row r="46" spans="1:16" x14ac:dyDescent="0.25">
      <c r="B46" s="31" t="s">
        <v>211</v>
      </c>
      <c r="C46" s="40" t="s">
        <v>214</v>
      </c>
      <c r="D46" s="38">
        <v>587</v>
      </c>
      <c r="E46" s="38">
        <v>587</v>
      </c>
      <c r="F46" s="38">
        <v>587</v>
      </c>
      <c r="G46" s="38">
        <v>159</v>
      </c>
      <c r="I46" s="32" t="str">
        <f t="array" ref="I46">IFERROR(INDEX($B$7:$B$327,MATCH(SUM(COUNTIF(I$6:I45,$B$7:$B$327)),COUNTIF($B$7:$B$327,"&lt;"&amp;$B$7:$B$327),0)),"")</f>
        <v/>
      </c>
      <c r="J46" s="32" t="str">
        <f t="shared" si="3"/>
        <v/>
      </c>
      <c r="K46" s="32" t="str">
        <f t="shared" si="1"/>
        <v/>
      </c>
      <c r="M46" s="9"/>
      <c r="N46" s="9"/>
      <c r="O46" s="9"/>
      <c r="P46" s="9"/>
    </row>
    <row r="47" spans="1:16" x14ac:dyDescent="0.25">
      <c r="B47" s="31" t="s">
        <v>216</v>
      </c>
      <c r="C47" s="40" t="s">
        <v>217</v>
      </c>
      <c r="D47" s="38">
        <v>827</v>
      </c>
      <c r="E47" s="38">
        <v>827</v>
      </c>
      <c r="F47" s="38">
        <v>827</v>
      </c>
      <c r="G47" s="38">
        <v>53</v>
      </c>
      <c r="I47" s="32" t="str">
        <f t="array" ref="I47">IFERROR(INDEX($B$7:$B$327,MATCH(SUM(COUNTIF(I$6:I46,$B$7:$B$327)),COUNTIF($B$7:$B$327,"&lt;"&amp;$B$7:$B$327),0)),"")</f>
        <v/>
      </c>
      <c r="J47" s="32" t="str">
        <f t="shared" si="3"/>
        <v/>
      </c>
      <c r="K47" s="32" t="str">
        <f t="shared" si="1"/>
        <v/>
      </c>
      <c r="M47" s="9"/>
      <c r="N47" s="9"/>
      <c r="O47" s="9"/>
    </row>
    <row r="48" spans="1:16" x14ac:dyDescent="0.25">
      <c r="B48" s="31" t="s">
        <v>216</v>
      </c>
      <c r="C48" s="40" t="s">
        <v>218</v>
      </c>
      <c r="D48" s="38">
        <v>827</v>
      </c>
      <c r="E48" s="38">
        <v>827</v>
      </c>
      <c r="F48" s="38">
        <v>827</v>
      </c>
      <c r="G48" s="38">
        <v>53</v>
      </c>
      <c r="H48" s="9"/>
      <c r="I48" s="32" t="str">
        <f t="array" ref="I48">IFERROR(INDEX($B$7:$B$327,MATCH(SUM(COUNTIF(I$6:I47,$B$7:$B$327)),COUNTIF($B$7:$B$327,"&lt;"&amp;$B$7:$B$327),0)),"")</f>
        <v/>
      </c>
      <c r="J48" s="32" t="str">
        <f t="shared" si="3"/>
        <v/>
      </c>
      <c r="K48" s="32" t="str">
        <f t="shared" si="1"/>
        <v/>
      </c>
      <c r="M48" s="9"/>
      <c r="N48" s="9"/>
      <c r="O48" s="9"/>
    </row>
    <row r="49" spans="2:11" x14ac:dyDescent="0.25">
      <c r="B49" s="31" t="s">
        <v>219</v>
      </c>
      <c r="C49" s="40" t="s">
        <v>220</v>
      </c>
      <c r="D49" s="38">
        <v>1759</v>
      </c>
      <c r="E49" s="38">
        <v>1759</v>
      </c>
      <c r="F49" s="38">
        <v>1778</v>
      </c>
      <c r="G49" s="38">
        <v>436</v>
      </c>
      <c r="H49" s="9"/>
      <c r="I49" s="32" t="str">
        <f t="array" ref="I49">IFERROR(INDEX($B$7:$B$327,MATCH(SUM(COUNTIF(I$6:I48,$B$7:$B$327)),COUNTIF($B$7:$B$327,"&lt;"&amp;$B$7:$B$327),0)),"")</f>
        <v/>
      </c>
      <c r="J49" s="32" t="str">
        <f t="shared" si="3"/>
        <v/>
      </c>
      <c r="K49" s="32" t="str">
        <f t="shared" si="1"/>
        <v/>
      </c>
    </row>
    <row r="50" spans="2:11" x14ac:dyDescent="0.25">
      <c r="B50" s="31" t="s">
        <v>219</v>
      </c>
      <c r="C50" s="40" t="s">
        <v>221</v>
      </c>
      <c r="D50" s="38">
        <v>1799</v>
      </c>
      <c r="E50" s="38">
        <v>1799</v>
      </c>
      <c r="F50" s="38">
        <v>1640</v>
      </c>
      <c r="G50" s="38">
        <v>436</v>
      </c>
      <c r="I50" s="32" t="str">
        <f t="array" ref="I50">IFERROR(INDEX($B$7:$B$327,MATCH(SUM(COUNTIF(I$6:I49,$B$7:$B$327)),COUNTIF($B$7:$B$327,"&lt;"&amp;$B$7:$B$327),0)),"")</f>
        <v/>
      </c>
      <c r="J50" s="32" t="str">
        <f t="shared" si="3"/>
        <v/>
      </c>
      <c r="K50" s="32" t="str">
        <f t="shared" si="1"/>
        <v/>
      </c>
    </row>
    <row r="51" spans="2:11" x14ac:dyDescent="0.25">
      <c r="B51" s="31" t="s">
        <v>219</v>
      </c>
      <c r="C51" s="40" t="s">
        <v>222</v>
      </c>
      <c r="D51" s="38">
        <v>561</v>
      </c>
      <c r="E51" s="38">
        <v>561</v>
      </c>
      <c r="F51" s="38">
        <v>561</v>
      </c>
      <c r="G51" s="38">
        <v>436</v>
      </c>
      <c r="H51" s="9"/>
      <c r="I51" s="32" t="str">
        <f t="array" ref="I51">IFERROR(INDEX($B$7:$B$327,MATCH(SUM(COUNTIF(I$6:I50,$B$7:$B$327)),COUNTIF($B$7:$B$327,"&lt;"&amp;$B$7:$B$327),0)),"")</f>
        <v/>
      </c>
      <c r="J51" s="32" t="str">
        <f t="shared" si="3"/>
        <v/>
      </c>
      <c r="K51" s="32" t="str">
        <f t="shared" si="1"/>
        <v/>
      </c>
    </row>
    <row r="52" spans="2:11" x14ac:dyDescent="0.25">
      <c r="B52" s="31" t="s">
        <v>219</v>
      </c>
      <c r="C52" s="40" t="s">
        <v>223</v>
      </c>
      <c r="D52" s="38">
        <v>561</v>
      </c>
      <c r="E52" s="38">
        <v>561</v>
      </c>
      <c r="F52" s="38">
        <v>561</v>
      </c>
      <c r="G52" s="38">
        <v>436</v>
      </c>
      <c r="H52" s="9"/>
      <c r="I52" s="32" t="str">
        <f t="array" ref="I52">IFERROR(INDEX($B$7:$B$327,MATCH(SUM(COUNTIF(I$6:I51,$B$7:$B$327)),COUNTIF($B$7:$B$327,"&lt;"&amp;$B$7:$B$327),0)),"")</f>
        <v/>
      </c>
      <c r="J52" s="32" t="str">
        <f t="shared" si="3"/>
        <v/>
      </c>
      <c r="K52" s="32" t="str">
        <f t="shared" si="1"/>
        <v/>
      </c>
    </row>
    <row r="53" spans="2:11" x14ac:dyDescent="0.25">
      <c r="B53" s="31" t="s">
        <v>224</v>
      </c>
      <c r="C53" s="40" t="s">
        <v>212</v>
      </c>
      <c r="D53" s="38">
        <v>600</v>
      </c>
      <c r="E53" s="38">
        <v>600</v>
      </c>
      <c r="F53" s="38">
        <v>518</v>
      </c>
      <c r="G53" s="38">
        <v>6</v>
      </c>
      <c r="I53" s="32" t="str">
        <f t="array" ref="I53">IFERROR(INDEX($B$7:$B$327,MATCH(SUM(COUNTIF(I$6:I52,$B$7:$B$327)),COUNTIF($B$7:$B$327,"&lt;"&amp;$B$7:$B$327),0)),"")</f>
        <v/>
      </c>
      <c r="J53" s="32" t="str">
        <f t="shared" si="3"/>
        <v/>
      </c>
      <c r="K53" s="32" t="str">
        <f t="shared" si="1"/>
        <v/>
      </c>
    </row>
    <row r="54" spans="2:11" x14ac:dyDescent="0.25">
      <c r="B54" s="31" t="s">
        <v>224</v>
      </c>
      <c r="C54" s="40" t="s">
        <v>215</v>
      </c>
      <c r="D54" s="38">
        <v>600</v>
      </c>
      <c r="E54" s="38">
        <v>600</v>
      </c>
      <c r="F54" s="38">
        <v>600</v>
      </c>
      <c r="G54" s="38">
        <v>6</v>
      </c>
      <c r="I54" s="32" t="str">
        <f t="array" ref="I54">IFERROR(INDEX($B$7:$B$327,MATCH(SUM(COUNTIF(I$6:I53,$B$7:$B$327)),COUNTIF($B$7:$B$327,"&lt;"&amp;$B$7:$B$327),0)),"")</f>
        <v/>
      </c>
      <c r="J54" s="32" t="str">
        <f t="shared" si="3"/>
        <v/>
      </c>
      <c r="K54" s="32" t="str">
        <f t="shared" si="1"/>
        <v/>
      </c>
    </row>
    <row r="55" spans="2:11" x14ac:dyDescent="0.25">
      <c r="B55" s="31" t="s">
        <v>224</v>
      </c>
      <c r="C55" s="40" t="s">
        <v>220</v>
      </c>
      <c r="D55" s="38">
        <v>670</v>
      </c>
      <c r="E55" s="38">
        <v>670</v>
      </c>
      <c r="F55" s="38">
        <v>670</v>
      </c>
      <c r="G55" s="38">
        <v>6</v>
      </c>
      <c r="I55" s="32" t="str">
        <f t="array" ref="I55">IFERROR(INDEX($B$7:$B$327,MATCH(SUM(COUNTIF(I$6:I54,$B$7:$B$327)),COUNTIF($B$7:$B$327,"&lt;"&amp;$B$7:$B$327),0)),"")</f>
        <v/>
      </c>
      <c r="J55" s="32" t="str">
        <f t="shared" si="3"/>
        <v/>
      </c>
      <c r="K55" s="32" t="str">
        <f t="shared" si="1"/>
        <v/>
      </c>
    </row>
    <row r="56" spans="2:11" x14ac:dyDescent="0.25">
      <c r="B56" s="31" t="s">
        <v>224</v>
      </c>
      <c r="C56" s="40">
        <v>26</v>
      </c>
      <c r="D56" s="38">
        <v>670</v>
      </c>
      <c r="E56" s="38">
        <v>670</v>
      </c>
      <c r="F56" s="38">
        <v>670</v>
      </c>
      <c r="G56" s="38">
        <v>6</v>
      </c>
      <c r="I56" s="32" t="str">
        <f t="array" ref="I56">IFERROR(INDEX($B$7:$B$327,MATCH(SUM(COUNTIF(I$6:I55,$B$7:$B$327)),COUNTIF($B$7:$B$327,"&lt;"&amp;$B$7:$B$327),0)),"")</f>
        <v/>
      </c>
      <c r="J56" s="32" t="str">
        <f t="shared" si="3"/>
        <v/>
      </c>
      <c r="K56" s="32" t="str">
        <f t="shared" si="1"/>
        <v/>
      </c>
    </row>
    <row r="57" spans="2:11" x14ac:dyDescent="0.25">
      <c r="B57" s="31" t="s">
        <v>234</v>
      </c>
      <c r="C57" s="40" t="s">
        <v>235</v>
      </c>
      <c r="D57" s="38">
        <v>1199</v>
      </c>
      <c r="E57" s="38">
        <v>1199</v>
      </c>
      <c r="F57" s="38">
        <v>1000</v>
      </c>
      <c r="G57" s="38">
        <v>424</v>
      </c>
      <c r="I57" s="32" t="str">
        <f t="array" ref="I57">IFERROR(INDEX($B$7:$B$327,MATCH(SUM(COUNTIF(I$6:I56,$B$7:$B$327)),COUNTIF($B$7:$B$327,"&lt;"&amp;$B$7:$B$327),0)),"")</f>
        <v/>
      </c>
      <c r="J57" s="32" t="str">
        <f t="shared" si="3"/>
        <v/>
      </c>
      <c r="K57" s="32" t="str">
        <f t="shared" si="1"/>
        <v/>
      </c>
    </row>
    <row r="58" spans="2:11" x14ac:dyDescent="0.25">
      <c r="B58" s="31" t="s">
        <v>234</v>
      </c>
      <c r="C58" s="40" t="s">
        <v>236</v>
      </c>
      <c r="D58" s="38">
        <v>1100</v>
      </c>
      <c r="E58" s="38">
        <v>1100</v>
      </c>
      <c r="F58" s="38">
        <v>1000</v>
      </c>
      <c r="G58" s="38">
        <v>424</v>
      </c>
      <c r="I58" s="32" t="str">
        <f t="array" ref="I58">IFERROR(INDEX($B$7:$B$327,MATCH(SUM(COUNTIF(I$6:I57,$B$7:$B$327)),COUNTIF($B$7:$B$327,"&lt;"&amp;$B$7:$B$327),0)),"")</f>
        <v/>
      </c>
      <c r="J58" s="32" t="str">
        <f t="shared" si="3"/>
        <v/>
      </c>
      <c r="K58" s="32" t="str">
        <f t="shared" si="1"/>
        <v/>
      </c>
    </row>
    <row r="59" spans="2:11" x14ac:dyDescent="0.25">
      <c r="B59" s="31" t="s">
        <v>234</v>
      </c>
      <c r="C59" s="40" t="s">
        <v>237</v>
      </c>
      <c r="D59" s="38">
        <v>671</v>
      </c>
      <c r="E59" s="38">
        <v>671</v>
      </c>
      <c r="F59" s="38">
        <v>671</v>
      </c>
      <c r="G59" s="38">
        <v>424</v>
      </c>
      <c r="I59" s="32" t="str">
        <f t="array" ref="I59">IFERROR(INDEX($B$7:$B$327,MATCH(SUM(COUNTIF(I$6:I58,$B$7:$B$327)),COUNTIF($B$7:$B$327,"&lt;"&amp;$B$7:$B$327),0)),"")</f>
        <v/>
      </c>
      <c r="J59" s="32" t="str">
        <f t="shared" si="3"/>
        <v/>
      </c>
      <c r="K59" s="32" t="str">
        <f t="shared" si="1"/>
        <v/>
      </c>
    </row>
    <row r="60" spans="2:11" x14ac:dyDescent="0.25">
      <c r="B60" s="31" t="s">
        <v>234</v>
      </c>
      <c r="C60" s="40" t="s">
        <v>238</v>
      </c>
      <c r="D60" s="38">
        <v>671</v>
      </c>
      <c r="E60" s="38">
        <v>671</v>
      </c>
      <c r="F60" s="38">
        <v>671</v>
      </c>
      <c r="G60" s="38">
        <v>424</v>
      </c>
      <c r="I60" s="32" t="str">
        <f t="array" ref="I60">IFERROR(INDEX($B$7:$B$327,MATCH(SUM(COUNTIF(I$6:I59,$B$7:$B$327)),COUNTIF($B$7:$B$327,"&lt;"&amp;$B$7:$B$327),0)),"")</f>
        <v/>
      </c>
      <c r="J60" s="32" t="str">
        <f t="shared" si="3"/>
        <v/>
      </c>
      <c r="K60" s="32" t="str">
        <f t="shared" si="1"/>
        <v/>
      </c>
    </row>
    <row r="61" spans="2:11" x14ac:dyDescent="0.25">
      <c r="B61" s="31" t="s">
        <v>239</v>
      </c>
      <c r="C61" s="40" t="s">
        <v>240</v>
      </c>
      <c r="D61" s="38">
        <v>568</v>
      </c>
      <c r="E61" s="38">
        <v>568</v>
      </c>
      <c r="F61" s="38">
        <v>624</v>
      </c>
      <c r="G61" s="38">
        <v>80</v>
      </c>
      <c r="I61" s="32" t="str">
        <f t="array" ref="I61">IFERROR(INDEX($B$7:$B$327,MATCH(SUM(COUNTIF(I$6:I60,$B$7:$B$327)),COUNTIF($B$7:$B$327,"&lt;"&amp;$B$7:$B$327),0)),"")</f>
        <v/>
      </c>
      <c r="J61" s="32" t="str">
        <f t="shared" si="3"/>
        <v/>
      </c>
      <c r="K61" s="32" t="str">
        <f t="shared" si="1"/>
        <v/>
      </c>
    </row>
    <row r="62" spans="2:11" x14ac:dyDescent="0.25">
      <c r="B62" s="31" t="s">
        <v>239</v>
      </c>
      <c r="C62" s="40" t="s">
        <v>241</v>
      </c>
      <c r="D62" s="38">
        <v>656</v>
      </c>
      <c r="E62" s="38">
        <v>656</v>
      </c>
      <c r="F62" s="38">
        <v>568</v>
      </c>
      <c r="G62" s="38">
        <v>80</v>
      </c>
      <c r="I62" s="32" t="str">
        <f t="array" ref="I62">IFERROR(INDEX($B$7:$B$327,MATCH(SUM(COUNTIF(I$6:I61,$B$7:$B$327)),COUNTIF($B$7:$B$327,"&lt;"&amp;$B$7:$B$327),0)),"")</f>
        <v/>
      </c>
      <c r="J62" s="32" t="str">
        <f t="shared" si="3"/>
        <v/>
      </c>
      <c r="K62" s="32" t="str">
        <f t="shared" si="1"/>
        <v/>
      </c>
    </row>
    <row r="63" spans="2:11" x14ac:dyDescent="0.25">
      <c r="B63" s="31" t="s">
        <v>243</v>
      </c>
      <c r="C63" s="40" t="s">
        <v>244</v>
      </c>
      <c r="D63" s="38">
        <v>1700</v>
      </c>
      <c r="E63" s="38">
        <v>1760</v>
      </c>
      <c r="F63" s="38">
        <v>1700</v>
      </c>
      <c r="G63" s="38">
        <v>21</v>
      </c>
      <c r="I63" s="32" t="str">
        <f t="array" ref="I63">IFERROR(INDEX($B$7:$B$327,MATCH(SUM(COUNTIF(I$6:I62,$B$7:$B$327)),COUNTIF($B$7:$B$327,"&lt;"&amp;$B$7:$B$327),0)),"")</f>
        <v/>
      </c>
      <c r="J63" s="32" t="str">
        <f t="shared" si="3"/>
        <v/>
      </c>
      <c r="K63" s="32" t="str">
        <f t="shared" si="1"/>
        <v/>
      </c>
    </row>
    <row r="64" spans="2:11" x14ac:dyDescent="0.25">
      <c r="B64" s="31" t="s">
        <v>243</v>
      </c>
      <c r="C64" s="40" t="s">
        <v>245</v>
      </c>
      <c r="D64" s="38">
        <v>1850</v>
      </c>
      <c r="E64" s="38">
        <v>1850</v>
      </c>
      <c r="F64" s="38">
        <v>1850</v>
      </c>
      <c r="G64" s="38">
        <v>21</v>
      </c>
      <c r="I64" s="32" t="str">
        <f t="array" ref="I64">IFERROR(INDEX($B$7:$B$327,MATCH(SUM(COUNTIF(I$6:I63,$B$7:$B$327)),COUNTIF($B$7:$B$327,"&lt;"&amp;$B$7:$B$327),0)),"")</f>
        <v/>
      </c>
      <c r="J64" s="32" t="str">
        <f t="shared" si="3"/>
        <v/>
      </c>
      <c r="K64" s="32" t="str">
        <f t="shared" si="1"/>
        <v/>
      </c>
    </row>
    <row r="65" spans="2:11" x14ac:dyDescent="0.25">
      <c r="B65" s="31" t="s">
        <v>246</v>
      </c>
      <c r="C65" s="40" t="s">
        <v>247</v>
      </c>
      <c r="D65" s="38">
        <v>1615</v>
      </c>
      <c r="E65" s="38">
        <v>1865</v>
      </c>
      <c r="F65" s="38">
        <v>1615</v>
      </c>
      <c r="G65" s="38">
        <v>267</v>
      </c>
      <c r="I65" s="32" t="str">
        <f t="array" ref="I65">IFERROR(INDEX($B$7:$B$327,MATCH(SUM(COUNTIF(I$6:I64,$B$7:$B$327)),COUNTIF($B$7:$B$327,"&lt;"&amp;$B$7:$B$327),0)),"")</f>
        <v/>
      </c>
      <c r="J65" s="32" t="str">
        <f t="shared" si="3"/>
        <v/>
      </c>
      <c r="K65" s="32" t="str">
        <f t="shared" si="1"/>
        <v/>
      </c>
    </row>
    <row r="66" spans="2:11" x14ac:dyDescent="0.25">
      <c r="B66" s="31" t="s">
        <v>246</v>
      </c>
      <c r="C66" s="40" t="s">
        <v>248</v>
      </c>
      <c r="D66" s="38">
        <v>1825</v>
      </c>
      <c r="E66" s="38">
        <v>2059</v>
      </c>
      <c r="F66" s="38">
        <v>1615</v>
      </c>
      <c r="G66" s="38">
        <v>267</v>
      </c>
      <c r="I66" s="32" t="str">
        <f t="array" ref="I66">IFERROR(INDEX($B$7:$B$327,MATCH(SUM(COUNTIF(I$6:I65,$B$7:$B$327)),COUNTIF($B$7:$B$327,"&lt;"&amp;$B$7:$B$327),0)),"")</f>
        <v/>
      </c>
      <c r="J66" s="32" t="str">
        <f t="shared" si="3"/>
        <v/>
      </c>
      <c r="K66" s="32" t="str">
        <f t="shared" si="1"/>
        <v/>
      </c>
    </row>
    <row r="67" spans="2:11" s="9" customFormat="1" x14ac:dyDescent="0.25">
      <c r="B67" s="31" t="s">
        <v>249</v>
      </c>
      <c r="C67" s="40" t="s">
        <v>250</v>
      </c>
      <c r="D67" s="38">
        <v>490</v>
      </c>
      <c r="E67" s="38">
        <v>490</v>
      </c>
      <c r="F67" s="38">
        <v>490</v>
      </c>
      <c r="G67" s="38">
        <v>469</v>
      </c>
      <c r="I67" s="32" t="str">
        <f t="array" ref="I67">IFERROR(INDEX($B$7:$B$327,MATCH(SUM(COUNTIF(I$6:I66,$B$7:$B$327)),COUNTIF($B$7:$B$327,"&lt;"&amp;$B$7:$B$327),0)),"")</f>
        <v/>
      </c>
      <c r="J67" s="32" t="str">
        <f t="shared" si="3"/>
        <v/>
      </c>
      <c r="K67" s="32" t="str">
        <f t="shared" si="1"/>
        <v/>
      </c>
    </row>
    <row r="68" spans="2:11" s="9" customFormat="1" x14ac:dyDescent="0.25">
      <c r="B68" s="31" t="s">
        <v>249</v>
      </c>
      <c r="C68" s="40" t="s">
        <v>251</v>
      </c>
      <c r="D68" s="38">
        <v>340</v>
      </c>
      <c r="E68" s="38">
        <v>340</v>
      </c>
      <c r="F68" s="38">
        <v>340</v>
      </c>
      <c r="G68" s="38">
        <v>469</v>
      </c>
      <c r="I68" s="32" t="str">
        <f t="array" ref="I68">IFERROR(INDEX($B$7:$B$327,MATCH(SUM(COUNTIF(I$6:I67,$B$7:$B$327)),COUNTIF($B$7:$B$327,"&lt;"&amp;$B$7:$B$327),0)),"")</f>
        <v/>
      </c>
      <c r="J68" s="32" t="str">
        <f t="shared" si="3"/>
        <v/>
      </c>
      <c r="K68" s="32" t="str">
        <f t="shared" si="1"/>
        <v/>
      </c>
    </row>
    <row r="69" spans="2:11" s="9" customFormat="1" x14ac:dyDescent="0.25">
      <c r="B69" s="31" t="s">
        <v>249</v>
      </c>
      <c r="C69" s="40" t="s">
        <v>252</v>
      </c>
      <c r="D69" s="38">
        <v>495</v>
      </c>
      <c r="E69" s="38">
        <v>495</v>
      </c>
      <c r="F69" s="38">
        <v>495</v>
      </c>
      <c r="G69" s="38">
        <v>469</v>
      </c>
      <c r="I69" s="32" t="str">
        <f t="array" ref="I69">IFERROR(INDEX($B$7:$B$327,MATCH(SUM(COUNTIF(I$6:I68,$B$7:$B$327)),COUNTIF($B$7:$B$327,"&lt;"&amp;$B$7:$B$327),0)),"")</f>
        <v/>
      </c>
      <c r="J69" s="32" t="str">
        <f t="shared" si="3"/>
        <v/>
      </c>
      <c r="K69" s="32" t="str">
        <f t="shared" si="1"/>
        <v/>
      </c>
    </row>
    <row r="70" spans="2:11" s="9" customFormat="1" x14ac:dyDescent="0.25">
      <c r="B70" s="31" t="s">
        <v>249</v>
      </c>
      <c r="C70" s="40" t="s">
        <v>253</v>
      </c>
      <c r="D70" s="38">
        <v>418</v>
      </c>
      <c r="E70" s="38">
        <v>418</v>
      </c>
      <c r="F70" s="38">
        <v>418</v>
      </c>
      <c r="G70" s="38">
        <v>469</v>
      </c>
      <c r="I70" s="32" t="str">
        <f t="array" ref="I70">IFERROR(INDEX($B$7:$B$327,MATCH(SUM(COUNTIF(I$6:I69,$B$7:$B$327)),COUNTIF($B$7:$B$327,"&lt;"&amp;$B$7:$B$327),0)),"")</f>
        <v/>
      </c>
      <c r="J70" s="32" t="str">
        <f t="shared" si="3"/>
        <v/>
      </c>
      <c r="K70" s="32" t="str">
        <f t="shared" si="1"/>
        <v/>
      </c>
    </row>
    <row r="71" spans="2:11" x14ac:dyDescent="0.25">
      <c r="B71" s="31" t="s">
        <v>249</v>
      </c>
      <c r="C71" s="40" t="s">
        <v>254</v>
      </c>
      <c r="D71" s="38">
        <v>935</v>
      </c>
      <c r="E71" s="38">
        <v>935</v>
      </c>
      <c r="F71" s="38">
        <v>935</v>
      </c>
      <c r="G71" s="38">
        <v>469</v>
      </c>
      <c r="I71" s="32" t="str">
        <f t="array" ref="I71">IFERROR(INDEX($B$7:$B$327,MATCH(SUM(COUNTIF(I$6:I70,$B$7:$B$327)),COUNTIF($B$7:$B$327,"&lt;"&amp;$B$7:$B$327),0)),"")</f>
        <v/>
      </c>
      <c r="J71" s="32" t="str">
        <f t="shared" si="3"/>
        <v/>
      </c>
      <c r="K71" s="32" t="str">
        <f t="shared" si="1"/>
        <v/>
      </c>
    </row>
    <row r="72" spans="2:11" x14ac:dyDescent="0.25">
      <c r="B72" s="31" t="s">
        <v>249</v>
      </c>
      <c r="C72" s="40" t="s">
        <v>255</v>
      </c>
      <c r="D72" s="38">
        <v>935</v>
      </c>
      <c r="E72" s="38">
        <v>935</v>
      </c>
      <c r="F72" s="38">
        <v>935</v>
      </c>
      <c r="G72" s="38">
        <v>469</v>
      </c>
      <c r="I72" s="32" t="str">
        <f t="array" ref="I72">IFERROR(INDEX($B$7:$B$327,MATCH(SUM(COUNTIF(I$6:I71,$B$7:$B$327)),COUNTIF($B$7:$B$327,"&lt;"&amp;$B$7:$B$327),0)),"")</f>
        <v/>
      </c>
      <c r="J72" s="32" t="str">
        <f t="shared" si="3"/>
        <v/>
      </c>
      <c r="K72" s="32" t="str">
        <f t="shared" si="1"/>
        <v/>
      </c>
    </row>
    <row r="73" spans="2:11" x14ac:dyDescent="0.25">
      <c r="B73" s="31" t="s">
        <v>249</v>
      </c>
      <c r="C73" s="40" t="s">
        <v>256</v>
      </c>
      <c r="D73" s="38">
        <v>490</v>
      </c>
      <c r="E73" s="38">
        <v>490</v>
      </c>
      <c r="F73" s="38">
        <v>490</v>
      </c>
      <c r="G73" s="38">
        <v>469</v>
      </c>
      <c r="I73" s="32" t="str">
        <f t="array" ref="I73">IFERROR(INDEX($B$7:$B$327,MATCH(SUM(COUNTIF(I$6:I72,$B$7:$B$327)),COUNTIF($B$7:$B$327,"&lt;"&amp;$B$7:$B$327),0)),"")</f>
        <v/>
      </c>
      <c r="J73" s="32" t="str">
        <f t="shared" si="3"/>
        <v/>
      </c>
      <c r="K73" s="32" t="str">
        <f t="shared" si="1"/>
        <v/>
      </c>
    </row>
    <row r="74" spans="2:11" x14ac:dyDescent="0.25">
      <c r="B74" s="31" t="s">
        <v>249</v>
      </c>
      <c r="C74" s="40" t="s">
        <v>257</v>
      </c>
      <c r="D74" s="38">
        <v>340</v>
      </c>
      <c r="E74" s="38">
        <v>340</v>
      </c>
      <c r="F74" s="38">
        <v>340</v>
      </c>
      <c r="G74" s="38">
        <v>469</v>
      </c>
      <c r="I74" s="32" t="str">
        <f t="array" ref="I74">IFERROR(INDEX($B$7:$B$327,MATCH(SUM(COUNTIF(I$6:I73,$B$7:$B$327)),COUNTIF($B$7:$B$327,"&lt;"&amp;$B$7:$B$327),0)),"")</f>
        <v/>
      </c>
      <c r="J74" s="32" t="str">
        <f t="shared" si="3"/>
        <v/>
      </c>
      <c r="K74" s="32" t="str">
        <f t="shared" si="1"/>
        <v/>
      </c>
    </row>
    <row r="75" spans="2:11" x14ac:dyDescent="0.25">
      <c r="B75" s="31" t="s">
        <v>249</v>
      </c>
      <c r="C75" s="40" t="s">
        <v>258</v>
      </c>
      <c r="D75" s="38">
        <v>495</v>
      </c>
      <c r="E75" s="38">
        <v>495</v>
      </c>
      <c r="F75" s="38">
        <v>495</v>
      </c>
      <c r="G75" s="38">
        <v>469</v>
      </c>
      <c r="I75" s="32" t="str">
        <f t="array" ref="I75">IFERROR(INDEX($B$7:$B$327,MATCH(SUM(COUNTIF(I$6:I74,$B$7:$B$327)),COUNTIF($B$7:$B$327,"&lt;"&amp;$B$7:$B$327),0)),"")</f>
        <v/>
      </c>
      <c r="J75" s="32" t="str">
        <f t="shared" si="3"/>
        <v/>
      </c>
      <c r="K75" s="32" t="str">
        <f t="shared" si="1"/>
        <v/>
      </c>
    </row>
    <row r="76" spans="2:11" x14ac:dyDescent="0.25">
      <c r="B76" s="31" t="s">
        <v>249</v>
      </c>
      <c r="C76" s="40" t="s">
        <v>259</v>
      </c>
      <c r="D76" s="38">
        <v>418</v>
      </c>
      <c r="E76" s="38">
        <v>418</v>
      </c>
      <c r="F76" s="38">
        <v>418</v>
      </c>
      <c r="G76" s="38">
        <v>469</v>
      </c>
      <c r="I76" s="32" t="str">
        <f t="array" ref="I76">IFERROR(INDEX($B$7:$B$327,MATCH(SUM(COUNTIF(I$6:I75,$B$7:$B$327)),COUNTIF($B$7:$B$327,"&lt;"&amp;$B$7:$B$327),0)),"")</f>
        <v/>
      </c>
      <c r="J76" s="32" t="str">
        <f t="shared" si="3"/>
        <v/>
      </c>
      <c r="K76" s="32" t="str">
        <f t="shared" si="1"/>
        <v/>
      </c>
    </row>
    <row r="77" spans="2:11" s="9" customFormat="1" x14ac:dyDescent="0.25">
      <c r="B77" s="31" t="s">
        <v>260</v>
      </c>
      <c r="C77" s="40" t="s">
        <v>251</v>
      </c>
      <c r="D77" s="38">
        <v>590</v>
      </c>
      <c r="E77" s="38">
        <v>590</v>
      </c>
      <c r="F77" s="38">
        <v>590</v>
      </c>
      <c r="G77" s="38">
        <v>50</v>
      </c>
      <c r="I77" s="32" t="str">
        <f t="array" ref="I77">IFERROR(INDEX($B$7:$B$327,MATCH(SUM(COUNTIF(I$6:I76,$B$7:$B$327)),COUNTIF($B$7:$B$327,"&lt;"&amp;$B$7:$B$327),0)),"")</f>
        <v/>
      </c>
      <c r="J77" s="32" t="str">
        <f t="shared" si="3"/>
        <v/>
      </c>
      <c r="K77" s="32" t="str">
        <f t="shared" si="1"/>
        <v/>
      </c>
    </row>
    <row r="78" spans="2:11" s="9" customFormat="1" x14ac:dyDescent="0.25">
      <c r="B78" s="31" t="s">
        <v>260</v>
      </c>
      <c r="C78" s="40" t="s">
        <v>257</v>
      </c>
      <c r="D78" s="38">
        <v>590</v>
      </c>
      <c r="E78" s="38">
        <v>590</v>
      </c>
      <c r="F78" s="38">
        <v>590</v>
      </c>
      <c r="G78" s="38">
        <v>50</v>
      </c>
      <c r="I78" s="32" t="str">
        <f t="array" ref="I78">IFERROR(INDEX($B$7:$B$327,MATCH(SUM(COUNTIF(I$6:I77,$B$7:$B$327)),COUNTIF($B$7:$B$327,"&lt;"&amp;$B$7:$B$327),0)),"")</f>
        <v/>
      </c>
      <c r="J78" s="32" t="str">
        <f t="shared" si="3"/>
        <v/>
      </c>
      <c r="K78" s="32" t="str">
        <f t="shared" si="1"/>
        <v/>
      </c>
    </row>
    <row r="79" spans="2:11" x14ac:dyDescent="0.25">
      <c r="B79" s="31" t="s">
        <v>261</v>
      </c>
      <c r="C79" s="40" t="s">
        <v>263</v>
      </c>
      <c r="D79" s="38">
        <v>542</v>
      </c>
      <c r="E79" s="38">
        <v>542</v>
      </c>
      <c r="F79" s="38">
        <v>505</v>
      </c>
      <c r="G79" s="38">
        <v>37</v>
      </c>
      <c r="I79" s="32" t="str">
        <f t="array" ref="I79">IFERROR(INDEX($B$7:$B$327,MATCH(SUM(COUNTIF(I$6:I78,$B$7:$B$327)),COUNTIF($B$7:$B$327,"&lt;"&amp;$B$7:$B$327),0)),"")</f>
        <v/>
      </c>
      <c r="J79" s="32" t="str">
        <f t="shared" si="3"/>
        <v/>
      </c>
      <c r="K79" s="32" t="str">
        <f t="shared" si="1"/>
        <v/>
      </c>
    </row>
    <row r="80" spans="2:11" x14ac:dyDescent="0.25">
      <c r="B80" s="31" t="s">
        <v>261</v>
      </c>
      <c r="C80" s="40" t="s">
        <v>262</v>
      </c>
      <c r="D80" s="38">
        <v>505</v>
      </c>
      <c r="E80" s="38">
        <v>505</v>
      </c>
      <c r="F80" s="38">
        <v>530</v>
      </c>
      <c r="G80" s="38">
        <v>37</v>
      </c>
      <c r="I80" s="32" t="str">
        <f t="array" ref="I80">IFERROR(INDEX($B$7:$B$327,MATCH(SUM(COUNTIF(I$6:I79,$B$7:$B$327)),COUNTIF($B$7:$B$327,"&lt;"&amp;$B$7:$B$327),0)),"")</f>
        <v/>
      </c>
      <c r="J80" s="32" t="str">
        <f t="shared" si="3"/>
        <v/>
      </c>
      <c r="K80" s="32" t="str">
        <f t="shared" si="1"/>
        <v/>
      </c>
    </row>
    <row r="81" spans="2:11" x14ac:dyDescent="0.25">
      <c r="B81" s="31" t="s">
        <v>264</v>
      </c>
      <c r="C81" s="40" t="s">
        <v>265</v>
      </c>
      <c r="D81" s="38">
        <v>884</v>
      </c>
      <c r="E81" s="38">
        <v>884</v>
      </c>
      <c r="F81" s="38">
        <v>884</v>
      </c>
      <c r="G81" s="38">
        <v>55</v>
      </c>
      <c r="I81" s="32" t="str">
        <f t="array" ref="I81">IFERROR(INDEX($B$7:$B$327,MATCH(SUM(COUNTIF(I$6:I80,$B$7:$B$327)),COUNTIF($B$7:$B$327,"&lt;"&amp;$B$7:$B$327),0)),"")</f>
        <v/>
      </c>
      <c r="J81" s="32" t="str">
        <f t="shared" si="3"/>
        <v/>
      </c>
      <c r="K81" s="32" t="str">
        <f t="shared" si="1"/>
        <v/>
      </c>
    </row>
    <row r="82" spans="2:11" s="9" customFormat="1" x14ac:dyDescent="0.25">
      <c r="B82" s="31" t="s">
        <v>264</v>
      </c>
      <c r="C82" s="40" t="s">
        <v>266</v>
      </c>
      <c r="D82" s="38">
        <v>884</v>
      </c>
      <c r="E82" s="38">
        <v>775</v>
      </c>
      <c r="F82" s="38">
        <v>775</v>
      </c>
      <c r="G82" s="38">
        <v>55</v>
      </c>
      <c r="I82" s="32" t="str">
        <f t="array" ref="I82">IFERROR(INDEX($B$7:$B$327,MATCH(SUM(COUNTIF(I$6:I81,$B$7:$B$327)),COUNTIF($B$7:$B$327,"&lt;"&amp;$B$7:$B$327),0)),"")</f>
        <v/>
      </c>
      <c r="J82" s="32" t="str">
        <f t="shared" si="3"/>
        <v/>
      </c>
      <c r="K82" s="32" t="str">
        <f t="shared" si="1"/>
        <v/>
      </c>
    </row>
    <row r="83" spans="2:11" s="9" customFormat="1" x14ac:dyDescent="0.25">
      <c r="B83" s="31" t="s">
        <v>267</v>
      </c>
      <c r="C83" s="40" t="s">
        <v>268</v>
      </c>
      <c r="D83" s="38">
        <v>2070</v>
      </c>
      <c r="E83" s="38">
        <v>2208</v>
      </c>
      <c r="F83" s="38">
        <v>2070</v>
      </c>
      <c r="G83" s="38">
        <v>121</v>
      </c>
      <c r="I83" s="32" t="str">
        <f t="array" ref="I83">IFERROR(INDEX($B$7:$B$327,MATCH(SUM(COUNTIF(I$6:I82,$B$7:$B$327)),COUNTIF($B$7:$B$327,"&lt;"&amp;$B$7:$B$327),0)),"")</f>
        <v/>
      </c>
      <c r="J83" s="32" t="str">
        <f t="shared" si="3"/>
        <v/>
      </c>
      <c r="K83" s="32" t="str">
        <f t="shared" si="1"/>
        <v/>
      </c>
    </row>
    <row r="84" spans="2:11" s="9" customFormat="1" x14ac:dyDescent="0.25">
      <c r="B84" s="31" t="s">
        <v>267</v>
      </c>
      <c r="C84" s="40" t="s">
        <v>269</v>
      </c>
      <c r="D84" s="38">
        <v>2196</v>
      </c>
      <c r="E84" s="38">
        <v>2196</v>
      </c>
      <c r="F84" s="38">
        <v>1950</v>
      </c>
      <c r="G84" s="38">
        <v>121</v>
      </c>
      <c r="I84" s="32" t="str">
        <f t="array" ref="I84">IFERROR(INDEX($B$7:$B$327,MATCH(SUM(COUNTIF(I$6:I83,$B$7:$B$327)),COUNTIF($B$7:$B$327,"&lt;"&amp;$B$7:$B$327),0)),"")</f>
        <v/>
      </c>
      <c r="J84" s="32" t="str">
        <f t="shared" si="3"/>
        <v/>
      </c>
      <c r="K84" s="32" t="str">
        <f t="shared" si="1"/>
        <v/>
      </c>
    </row>
    <row r="85" spans="2:11" s="9" customFormat="1" x14ac:dyDescent="0.25">
      <c r="B85" s="31" t="s">
        <v>267</v>
      </c>
      <c r="C85" s="40" t="s">
        <v>220</v>
      </c>
      <c r="D85" s="38">
        <v>769</v>
      </c>
      <c r="E85" s="38">
        <v>769</v>
      </c>
      <c r="F85" s="38">
        <v>799</v>
      </c>
      <c r="G85" s="38">
        <v>121</v>
      </c>
      <c r="I85" s="32" t="str">
        <f t="array" ref="I85">IFERROR(INDEX($B$7:$B$327,MATCH(SUM(COUNTIF(I$6:I84,$B$7:$B$327)),COUNTIF($B$7:$B$327,"&lt;"&amp;$B$7:$B$327),0)),"")</f>
        <v/>
      </c>
      <c r="J85" s="32" t="str">
        <f t="shared" si="3"/>
        <v/>
      </c>
      <c r="K85" s="32" t="str">
        <f t="shared" si="1"/>
        <v/>
      </c>
    </row>
    <row r="86" spans="2:11" s="9" customFormat="1" x14ac:dyDescent="0.25">
      <c r="B86" s="31" t="s">
        <v>267</v>
      </c>
      <c r="C86" s="40" t="s">
        <v>221</v>
      </c>
      <c r="D86" s="38">
        <v>799</v>
      </c>
      <c r="E86" s="38">
        <v>799</v>
      </c>
      <c r="F86" s="38">
        <v>701</v>
      </c>
      <c r="G86" s="38">
        <v>121</v>
      </c>
      <c r="I86" s="32" t="str">
        <f t="array" ref="I86">IFERROR(INDEX($B$7:$B$327,MATCH(SUM(COUNTIF(I$6:I85,$B$7:$B$327)),COUNTIF($B$7:$B$327,"&lt;"&amp;$B$7:$B$327),0)),"")</f>
        <v/>
      </c>
      <c r="J86" s="32" t="str">
        <f t="shared" si="3"/>
        <v/>
      </c>
      <c r="K86" s="32" t="str">
        <f t="shared" si="1"/>
        <v/>
      </c>
    </row>
    <row r="87" spans="2:11" s="9" customFormat="1" x14ac:dyDescent="0.25">
      <c r="B87" s="31" t="s">
        <v>270</v>
      </c>
      <c r="C87" s="40" t="s">
        <v>271</v>
      </c>
      <c r="D87" s="38">
        <v>616</v>
      </c>
      <c r="E87" s="38">
        <v>616</v>
      </c>
      <c r="F87" s="38">
        <v>616</v>
      </c>
      <c r="G87" s="38">
        <v>26</v>
      </c>
      <c r="I87" s="32" t="str">
        <f t="array" ref="I87">IFERROR(INDEX($B$7:$B$327,MATCH(SUM(COUNTIF(I$6:I86,$B$7:$B$327)),COUNTIF($B$7:$B$327,"&lt;"&amp;$B$7:$B$327),0)),"")</f>
        <v/>
      </c>
      <c r="J87" s="32" t="str">
        <f t="shared" si="3"/>
        <v/>
      </c>
      <c r="K87" s="32" t="str">
        <f t="shared" si="1"/>
        <v/>
      </c>
    </row>
    <row r="88" spans="2:11" s="9" customFormat="1" x14ac:dyDescent="0.25">
      <c r="B88" s="31" t="s">
        <v>270</v>
      </c>
      <c r="C88" s="40" t="s">
        <v>272</v>
      </c>
      <c r="D88" s="38">
        <v>799</v>
      </c>
      <c r="E88" s="38">
        <v>799</v>
      </c>
      <c r="F88" s="38">
        <v>616</v>
      </c>
      <c r="G88" s="38">
        <v>26</v>
      </c>
      <c r="I88" s="32" t="str">
        <f t="array" ref="I88">IFERROR(INDEX($B$7:$B$327,MATCH(SUM(COUNTIF(I$6:I87,$B$7:$B$327)),COUNTIF($B$7:$B$327,"&lt;"&amp;$B$7:$B$327),0)),"")</f>
        <v/>
      </c>
      <c r="J88" s="32" t="str">
        <f t="shared" si="3"/>
        <v/>
      </c>
      <c r="K88" s="32" t="str">
        <f t="shared" si="1"/>
        <v/>
      </c>
    </row>
    <row r="89" spans="2:11" s="9" customFormat="1" x14ac:dyDescent="0.25">
      <c r="B89" s="31" t="s">
        <v>270</v>
      </c>
      <c r="C89" s="40" t="s">
        <v>273</v>
      </c>
      <c r="D89" s="38">
        <v>616</v>
      </c>
      <c r="E89" s="38">
        <v>616</v>
      </c>
      <c r="F89" s="38">
        <v>616</v>
      </c>
      <c r="G89" s="38">
        <v>26</v>
      </c>
      <c r="I89" s="32" t="str">
        <f t="array" ref="I89">IFERROR(INDEX($B$7:$B$327,MATCH(SUM(COUNTIF(I$6:I88,$B$7:$B$327)),COUNTIF($B$7:$B$327,"&lt;"&amp;$B$7:$B$327),0)),"")</f>
        <v/>
      </c>
      <c r="J89" s="32" t="str">
        <f t="shared" si="3"/>
        <v/>
      </c>
      <c r="K89" s="32" t="str">
        <f t="shared" si="1"/>
        <v/>
      </c>
    </row>
    <row r="90" spans="2:11" s="9" customFormat="1" x14ac:dyDescent="0.25">
      <c r="B90" s="31" t="s">
        <v>270</v>
      </c>
      <c r="C90" s="40" t="s">
        <v>274</v>
      </c>
      <c r="D90" s="38">
        <v>616</v>
      </c>
      <c r="E90" s="38">
        <v>616</v>
      </c>
      <c r="F90" s="38">
        <v>616</v>
      </c>
      <c r="G90" s="38">
        <v>26</v>
      </c>
      <c r="I90" s="32" t="str">
        <f t="array" ref="I90">IFERROR(INDEX($B$7:$B$327,MATCH(SUM(COUNTIF(I$6:I89,$B$7:$B$327)),COUNTIF($B$7:$B$327,"&lt;"&amp;$B$7:$B$327),0)),"")</f>
        <v/>
      </c>
      <c r="J90" s="32" t="str">
        <f t="shared" si="3"/>
        <v/>
      </c>
      <c r="K90" s="32" t="str">
        <f t="shared" si="1"/>
        <v/>
      </c>
    </row>
    <row r="91" spans="2:11" s="9" customFormat="1" x14ac:dyDescent="0.25">
      <c r="B91" s="31" t="s">
        <v>270</v>
      </c>
      <c r="C91" s="40" t="s">
        <v>275</v>
      </c>
      <c r="D91" s="38">
        <v>723</v>
      </c>
      <c r="E91" s="38">
        <v>723</v>
      </c>
      <c r="F91" s="38">
        <v>676</v>
      </c>
      <c r="G91" s="38">
        <v>26</v>
      </c>
      <c r="I91" s="32" t="str">
        <f t="array" ref="I91">IFERROR(INDEX($B$7:$B$327,MATCH(SUM(COUNTIF(I$6:I90,$B$7:$B$327)),COUNTIF($B$7:$B$327,"&lt;"&amp;$B$7:$B$327),0)),"")</f>
        <v/>
      </c>
      <c r="J91" s="32" t="str">
        <f t="shared" si="3"/>
        <v/>
      </c>
      <c r="K91" s="32" t="str">
        <f t="shared" si="1"/>
        <v/>
      </c>
    </row>
    <row r="92" spans="2:11" s="9" customFormat="1" x14ac:dyDescent="0.25">
      <c r="B92" s="31" t="s">
        <v>270</v>
      </c>
      <c r="C92" s="40" t="s">
        <v>276</v>
      </c>
      <c r="D92" s="38">
        <v>696</v>
      </c>
      <c r="E92" s="38">
        <v>696</v>
      </c>
      <c r="F92" s="38">
        <v>703</v>
      </c>
      <c r="G92" s="38">
        <v>26</v>
      </c>
      <c r="I92" s="32" t="str">
        <f t="array" ref="I92">IFERROR(INDEX($B$7:$B$327,MATCH(SUM(COUNTIF(I$6:I91,$B$7:$B$327)),COUNTIF($B$7:$B$327,"&lt;"&amp;$B$7:$B$327),0)),"")</f>
        <v/>
      </c>
      <c r="J92" s="32" t="str">
        <f t="shared" si="3"/>
        <v/>
      </c>
      <c r="K92" s="32" t="str">
        <f t="shared" si="1"/>
        <v/>
      </c>
    </row>
    <row r="93" spans="2:11" s="9" customFormat="1" x14ac:dyDescent="0.25">
      <c r="B93" s="31" t="s">
        <v>270</v>
      </c>
      <c r="C93" s="40" t="s">
        <v>277</v>
      </c>
      <c r="D93" s="38">
        <v>553</v>
      </c>
      <c r="E93" s="38">
        <v>553</v>
      </c>
      <c r="F93" s="38">
        <v>553</v>
      </c>
      <c r="G93" s="38">
        <v>26</v>
      </c>
      <c r="I93" s="32" t="str">
        <f t="array" ref="I93">IFERROR(INDEX($B$7:$B$327,MATCH(SUM(COUNTIF(I$6:I92,$B$7:$B$327)),COUNTIF($B$7:$B$327,"&lt;"&amp;$B$7:$B$327),0)),"")</f>
        <v/>
      </c>
      <c r="J93" s="32" t="str">
        <f t="shared" si="3"/>
        <v/>
      </c>
      <c r="K93" s="32" t="str">
        <f t="shared" si="1"/>
        <v/>
      </c>
    </row>
    <row r="94" spans="2:11" s="9" customFormat="1" x14ac:dyDescent="0.25">
      <c r="B94" s="31" t="s">
        <v>270</v>
      </c>
      <c r="C94" s="40" t="s">
        <v>278</v>
      </c>
      <c r="D94" s="38">
        <v>553</v>
      </c>
      <c r="E94" s="38">
        <v>553</v>
      </c>
      <c r="F94" s="38">
        <v>521</v>
      </c>
      <c r="G94" s="38">
        <v>26</v>
      </c>
      <c r="I94" s="32" t="str">
        <f t="array" ref="I94">IFERROR(INDEX($B$7:$B$327,MATCH(SUM(COUNTIF(I$6:I93,$B$7:$B$327)),COUNTIF($B$7:$B$327,"&lt;"&amp;$B$7:$B$327),0)),"")</f>
        <v/>
      </c>
      <c r="J94" s="32" t="str">
        <f t="shared" si="3"/>
        <v/>
      </c>
      <c r="K94" s="32" t="str">
        <f t="shared" si="1"/>
        <v/>
      </c>
    </row>
    <row r="95" spans="2:11" s="9" customFormat="1" x14ac:dyDescent="0.25">
      <c r="B95" s="31" t="s">
        <v>279</v>
      </c>
      <c r="C95" s="40" t="s">
        <v>280</v>
      </c>
      <c r="D95" s="38">
        <v>799</v>
      </c>
      <c r="E95" s="38">
        <v>799</v>
      </c>
      <c r="F95" s="38">
        <v>902</v>
      </c>
      <c r="G95" s="38">
        <v>233</v>
      </c>
      <c r="I95" s="32" t="str">
        <f t="array" ref="I95">IFERROR(INDEX($B$7:$B$327,MATCH(SUM(COUNTIF(I$6:I94,$B$7:$B$327)),COUNTIF($B$7:$B$327,"&lt;"&amp;$B$7:$B$327),0)),"")</f>
        <v/>
      </c>
      <c r="J95" s="32" t="str">
        <f t="shared" si="3"/>
        <v/>
      </c>
      <c r="K95" s="32" t="str">
        <f t="shared" si="1"/>
        <v/>
      </c>
    </row>
    <row r="96" spans="2:11" s="9" customFormat="1" x14ac:dyDescent="0.25">
      <c r="B96" s="31" t="s">
        <v>279</v>
      </c>
      <c r="C96" s="40" t="s">
        <v>256</v>
      </c>
      <c r="D96" s="38">
        <v>799</v>
      </c>
      <c r="E96" s="38">
        <v>799</v>
      </c>
      <c r="F96" s="38">
        <v>879</v>
      </c>
      <c r="G96" s="38">
        <v>233</v>
      </c>
      <c r="I96" s="32" t="str">
        <f t="array" ref="I96">IFERROR(INDEX($B$7:$B$327,MATCH(SUM(COUNTIF(I$6:I95,$B$7:$B$327)),COUNTIF($B$7:$B$327,"&lt;"&amp;$B$7:$B$327),0)),"")</f>
        <v/>
      </c>
      <c r="J96" s="32" t="str">
        <f t="shared" si="3"/>
        <v/>
      </c>
      <c r="K96" s="32" t="str">
        <f t="shared" si="1"/>
        <v/>
      </c>
    </row>
    <row r="97" spans="2:11" x14ac:dyDescent="0.25">
      <c r="B97" s="31" t="s">
        <v>281</v>
      </c>
      <c r="C97" s="40" t="s">
        <v>282</v>
      </c>
      <c r="D97" s="38">
        <v>799</v>
      </c>
      <c r="E97" s="38">
        <v>799</v>
      </c>
      <c r="F97" s="38">
        <v>821</v>
      </c>
      <c r="G97" s="38">
        <v>138</v>
      </c>
      <c r="I97" s="32" t="str">
        <f t="array" ref="I97">IFERROR(INDEX($B$7:$B$327,MATCH(SUM(COUNTIF(I$6:I96,$B$7:$B$327)),COUNTIF($B$7:$B$327,"&lt;"&amp;$B$7:$B$327),0)),"")</f>
        <v/>
      </c>
      <c r="J97" s="32" t="str">
        <f t="shared" si="3"/>
        <v/>
      </c>
      <c r="K97" s="32" t="str">
        <f t="shared" si="1"/>
        <v/>
      </c>
    </row>
    <row r="98" spans="2:11" x14ac:dyDescent="0.25">
      <c r="B98" s="31" t="s">
        <v>281</v>
      </c>
      <c r="C98" s="40" t="s">
        <v>283</v>
      </c>
      <c r="D98" s="38">
        <v>799</v>
      </c>
      <c r="E98" s="38">
        <v>799</v>
      </c>
      <c r="F98" s="38">
        <v>821</v>
      </c>
      <c r="G98" s="38">
        <v>138</v>
      </c>
      <c r="I98" s="32" t="str">
        <f t="array" ref="I98">IFERROR(INDEX($B$7:$B$327,MATCH(SUM(COUNTIF(I$6:I97,$B$7:$B$327)),COUNTIF($B$7:$B$327,"&lt;"&amp;$B$7:$B$327),0)),"")</f>
        <v/>
      </c>
      <c r="J98" s="32" t="str">
        <f t="shared" si="3"/>
        <v/>
      </c>
      <c r="K98" s="32" t="str">
        <f t="shared" si="1"/>
        <v/>
      </c>
    </row>
    <row r="99" spans="2:11" x14ac:dyDescent="0.25">
      <c r="B99" s="31" t="s">
        <v>281</v>
      </c>
      <c r="C99" s="40" t="s">
        <v>284</v>
      </c>
      <c r="D99" s="38">
        <v>989</v>
      </c>
      <c r="E99" s="38">
        <v>989</v>
      </c>
      <c r="F99" s="38">
        <v>837</v>
      </c>
      <c r="G99" s="38">
        <v>138</v>
      </c>
      <c r="I99" s="32" t="str">
        <f t="array" ref="I99">IFERROR(INDEX($B$7:$B$327,MATCH(SUM(COUNTIF(I$6:I98,$B$7:$B$327)),COUNTIF($B$7:$B$327,"&lt;"&amp;$B$7:$B$327),0)),"")</f>
        <v/>
      </c>
      <c r="J99" s="32" t="str">
        <f t="shared" si="3"/>
        <v/>
      </c>
      <c r="K99" s="32" t="str">
        <f t="shared" si="1"/>
        <v/>
      </c>
    </row>
    <row r="100" spans="2:11" x14ac:dyDescent="0.25">
      <c r="B100" s="31" t="s">
        <v>281</v>
      </c>
      <c r="C100" s="40" t="s">
        <v>285</v>
      </c>
      <c r="D100" s="38">
        <v>970</v>
      </c>
      <c r="E100" s="38">
        <v>970</v>
      </c>
      <c r="F100" s="38">
        <v>929</v>
      </c>
      <c r="G100" s="38">
        <v>138</v>
      </c>
      <c r="I100" s="32" t="str">
        <f t="array" ref="I100">IFERROR(INDEX($B$7:$B$327,MATCH(SUM(COUNTIF(I$6:I99,$B$7:$B$327)),COUNTIF($B$7:$B$327,"&lt;"&amp;$B$7:$B$327),0)),"")</f>
        <v/>
      </c>
      <c r="J100" s="32" t="str">
        <f t="shared" si="3"/>
        <v/>
      </c>
      <c r="K100" s="32" t="str">
        <f t="shared" si="1"/>
        <v/>
      </c>
    </row>
    <row r="101" spans="2:11" x14ac:dyDescent="0.25">
      <c r="B101" s="31" t="s">
        <v>286</v>
      </c>
      <c r="C101" s="40" t="s">
        <v>250</v>
      </c>
      <c r="D101" s="38">
        <v>968</v>
      </c>
      <c r="E101" s="38">
        <v>968</v>
      </c>
      <c r="F101" s="38">
        <v>968</v>
      </c>
      <c r="G101" s="38">
        <v>839</v>
      </c>
      <c r="I101" s="32" t="str">
        <f t="array" ref="I101">IFERROR(INDEX($B$7:$B$327,MATCH(SUM(COUNTIF(I$6:I100,$B$7:$B$327)),COUNTIF($B$7:$B$327,"&lt;"&amp;$B$7:$B$327),0)),"")</f>
        <v/>
      </c>
      <c r="J101" s="32" t="str">
        <f t="shared" si="3"/>
        <v/>
      </c>
      <c r="K101" s="32" t="str">
        <f t="shared" si="1"/>
        <v/>
      </c>
    </row>
    <row r="102" spans="2:11" x14ac:dyDescent="0.25">
      <c r="B102" s="31" t="s">
        <v>286</v>
      </c>
      <c r="C102" s="40" t="s">
        <v>256</v>
      </c>
      <c r="D102" s="38">
        <v>968</v>
      </c>
      <c r="E102" s="38">
        <v>968</v>
      </c>
      <c r="F102" s="38">
        <v>968</v>
      </c>
      <c r="G102" s="38">
        <v>839</v>
      </c>
      <c r="I102" s="32" t="str">
        <f t="array" ref="I102">IFERROR(INDEX($B$7:$B$327,MATCH(SUM(COUNTIF(I$6:I101,$B$7:$B$327)),COUNTIF($B$7:$B$327,"&lt;"&amp;$B$7:$B$327),0)),"")</f>
        <v/>
      </c>
      <c r="J102" s="32" t="str">
        <f t="shared" si="3"/>
        <v/>
      </c>
      <c r="K102" s="32" t="str">
        <f t="shared" si="1"/>
        <v/>
      </c>
    </row>
    <row r="103" spans="2:11" x14ac:dyDescent="0.25">
      <c r="B103" s="31" t="s">
        <v>286</v>
      </c>
      <c r="C103" s="40" t="s">
        <v>287</v>
      </c>
      <c r="D103" s="38">
        <v>644</v>
      </c>
      <c r="E103" s="38">
        <v>644</v>
      </c>
      <c r="F103" s="38">
        <v>644</v>
      </c>
      <c r="G103" s="38">
        <v>839</v>
      </c>
      <c r="I103" s="32" t="str">
        <f t="array" ref="I103">IFERROR(INDEX($B$7:$B$327,MATCH(SUM(COUNTIF(I$6:I102,$B$7:$B$327)),COUNTIF($B$7:$B$327,"&lt;"&amp;$B$7:$B$327),0)),"")</f>
        <v/>
      </c>
      <c r="J103" s="32" t="str">
        <f t="shared" si="3"/>
        <v/>
      </c>
      <c r="K103" s="32" t="str">
        <f t="shared" si="1"/>
        <v/>
      </c>
    </row>
    <row r="104" spans="2:11" x14ac:dyDescent="0.25">
      <c r="B104" s="31" t="s">
        <v>286</v>
      </c>
      <c r="C104" s="40" t="s">
        <v>288</v>
      </c>
      <c r="D104" s="38">
        <v>644</v>
      </c>
      <c r="E104" s="38">
        <v>644</v>
      </c>
      <c r="F104" s="38">
        <v>644</v>
      </c>
      <c r="G104" s="38">
        <v>839</v>
      </c>
      <c r="I104" s="32" t="str">
        <f t="array" ref="I104">IFERROR(INDEX($B$7:$B$327,MATCH(SUM(COUNTIF(I$6:I103,$B$7:$B$327)),COUNTIF($B$7:$B$327,"&lt;"&amp;$B$7:$B$327),0)),"")</f>
        <v/>
      </c>
      <c r="J104" s="32" t="str">
        <f t="shared" si="3"/>
        <v/>
      </c>
      <c r="K104" s="32" t="str">
        <f t="shared" si="1"/>
        <v/>
      </c>
    </row>
    <row r="105" spans="2:11" x14ac:dyDescent="0.25">
      <c r="B105" s="31" t="s">
        <v>312</v>
      </c>
      <c r="C105" s="40" t="s">
        <v>275</v>
      </c>
      <c r="D105" s="38">
        <v>813</v>
      </c>
      <c r="E105" s="38">
        <v>873</v>
      </c>
      <c r="F105" s="38">
        <v>760</v>
      </c>
      <c r="G105" s="38">
        <v>80</v>
      </c>
      <c r="I105" s="32" t="str">
        <f t="array" ref="I105">IFERROR(INDEX($B$7:$B$327,MATCH(SUM(COUNTIF(I$6:I104,$B$7:$B$327)),COUNTIF($B$7:$B$327,"&lt;"&amp;$B$7:$B$327),0)),"")</f>
        <v/>
      </c>
      <c r="J105" s="32" t="str">
        <f t="shared" si="3"/>
        <v/>
      </c>
      <c r="K105" s="32" t="str">
        <f t="shared" si="1"/>
        <v/>
      </c>
    </row>
    <row r="106" spans="2:11" x14ac:dyDescent="0.25">
      <c r="B106" s="31" t="s">
        <v>312</v>
      </c>
      <c r="C106" s="40" t="s">
        <v>276</v>
      </c>
      <c r="D106" s="38">
        <v>813</v>
      </c>
      <c r="E106" s="38">
        <v>813</v>
      </c>
      <c r="F106" s="38">
        <v>800</v>
      </c>
      <c r="G106" s="38">
        <v>80</v>
      </c>
      <c r="I106" s="32" t="str">
        <f t="array" ref="I106">IFERROR(INDEX($B$7:$B$327,MATCH(SUM(COUNTIF(I$6:I105,$B$7:$B$327)),COUNTIF($B$7:$B$327,"&lt;"&amp;$B$7:$B$327),0)),"")</f>
        <v/>
      </c>
      <c r="J106" s="32" t="str">
        <f t="shared" si="3"/>
        <v/>
      </c>
      <c r="K106" s="32" t="str">
        <f t="shared" si="1"/>
        <v/>
      </c>
    </row>
    <row r="107" spans="2:11" x14ac:dyDescent="0.25">
      <c r="B107" s="31" t="s">
        <v>313</v>
      </c>
      <c r="C107" s="40" t="s">
        <v>314</v>
      </c>
      <c r="D107" s="38">
        <v>1087</v>
      </c>
      <c r="E107" s="38">
        <v>1087</v>
      </c>
      <c r="F107" s="38">
        <v>1087</v>
      </c>
      <c r="G107" s="38">
        <v>109</v>
      </c>
      <c r="I107" s="32" t="str">
        <f t="array" ref="I107">IFERROR(INDEX($B$7:$B$327,MATCH(SUM(COUNTIF(I$6:I106,$B$7:$B$327)),COUNTIF($B$7:$B$327,"&lt;"&amp;$B$7:$B$327),0)),"")</f>
        <v/>
      </c>
      <c r="J107" s="32" t="str">
        <f t="shared" si="3"/>
        <v/>
      </c>
      <c r="K107" s="32" t="str">
        <f t="shared" si="1"/>
        <v/>
      </c>
    </row>
    <row r="108" spans="2:11" x14ac:dyDescent="0.25">
      <c r="B108" s="31" t="s">
        <v>313</v>
      </c>
      <c r="C108" s="40" t="s">
        <v>315</v>
      </c>
      <c r="D108" s="38">
        <v>1124</v>
      </c>
      <c r="E108" s="38">
        <v>1124</v>
      </c>
      <c r="F108" s="38">
        <v>989</v>
      </c>
      <c r="G108" s="38">
        <v>109</v>
      </c>
      <c r="I108" s="32" t="str">
        <f t="array" ref="I108">IFERROR(INDEX($B$7:$B$327,MATCH(SUM(COUNTIF(I$6:I107,$B$7:$B$327)),COUNTIF($B$7:$B$327,"&lt;"&amp;$B$7:$B$327),0)),"")</f>
        <v/>
      </c>
      <c r="J108" s="32" t="str">
        <f t="shared" si="3"/>
        <v/>
      </c>
      <c r="K108" s="32" t="str">
        <f t="shared" si="1"/>
        <v/>
      </c>
    </row>
    <row r="109" spans="2:11" x14ac:dyDescent="0.25">
      <c r="B109" s="31" t="s">
        <v>313</v>
      </c>
      <c r="C109" s="40" t="s">
        <v>275</v>
      </c>
      <c r="D109" s="38">
        <v>799</v>
      </c>
      <c r="E109" s="38">
        <v>799</v>
      </c>
      <c r="F109" s="38">
        <v>715</v>
      </c>
      <c r="G109" s="38">
        <v>109</v>
      </c>
      <c r="I109" s="32" t="str">
        <f t="array" ref="I109">IFERROR(INDEX($B$7:$B$327,MATCH(SUM(COUNTIF(I$6:I108,$B$7:$B$327)),COUNTIF($B$7:$B$327,"&lt;"&amp;$B$7:$B$327),0)),"")</f>
        <v/>
      </c>
      <c r="J109" s="32" t="str">
        <f t="shared" ref="J109:J138" si="4">IF(I109="","",(COUNTIF($B$7:$B$327,I109)))</f>
        <v/>
      </c>
      <c r="K109" s="32" t="str">
        <f t="shared" si="1"/>
        <v/>
      </c>
    </row>
    <row r="110" spans="2:11" x14ac:dyDescent="0.25">
      <c r="B110" s="31" t="s">
        <v>313</v>
      </c>
      <c r="C110" s="40" t="s">
        <v>276</v>
      </c>
      <c r="D110" s="38">
        <v>799</v>
      </c>
      <c r="E110" s="38">
        <v>799</v>
      </c>
      <c r="F110" s="38">
        <v>799</v>
      </c>
      <c r="G110" s="38">
        <v>109</v>
      </c>
      <c r="I110" s="32" t="str">
        <f t="array" ref="I110">IFERROR(INDEX($B$7:$B$327,MATCH(SUM(COUNTIF(I$6:I109,$B$7:$B$327)),COUNTIF($B$7:$B$327,"&lt;"&amp;$B$7:$B$327),0)),"")</f>
        <v/>
      </c>
      <c r="J110" s="32" t="str">
        <f t="shared" si="4"/>
        <v/>
      </c>
      <c r="K110" s="32" t="str">
        <f t="shared" si="1"/>
        <v/>
      </c>
    </row>
    <row r="111" spans="2:11" x14ac:dyDescent="0.25">
      <c r="B111" s="31" t="s">
        <v>313</v>
      </c>
      <c r="C111" s="40" t="s">
        <v>271</v>
      </c>
      <c r="D111" s="38">
        <v>799</v>
      </c>
      <c r="E111" s="38">
        <v>799</v>
      </c>
      <c r="F111" s="38">
        <v>799</v>
      </c>
      <c r="G111" s="38">
        <v>109</v>
      </c>
      <c r="I111" s="32" t="str">
        <f t="array" ref="I111">IFERROR(INDEX($B$7:$B$327,MATCH(SUM(COUNTIF(I$6:I110,$B$7:$B$327)),COUNTIF($B$7:$B$327,"&lt;"&amp;$B$7:$B$327),0)),"")</f>
        <v/>
      </c>
      <c r="J111" s="32" t="str">
        <f t="shared" si="4"/>
        <v/>
      </c>
      <c r="K111" s="32" t="str">
        <f t="shared" si="1"/>
        <v/>
      </c>
    </row>
    <row r="112" spans="2:11" x14ac:dyDescent="0.25">
      <c r="B112" s="31" t="s">
        <v>313</v>
      </c>
      <c r="C112" s="40" t="s">
        <v>272</v>
      </c>
      <c r="D112" s="38">
        <v>799</v>
      </c>
      <c r="E112" s="38">
        <v>799</v>
      </c>
      <c r="F112" s="38">
        <v>799</v>
      </c>
      <c r="G112" s="38">
        <v>109</v>
      </c>
      <c r="I112" s="32" t="str">
        <f t="array" ref="I112">IFERROR(INDEX($B$7:$B$327,MATCH(SUM(COUNTIF(I$6:I111,$B$7:$B$327)),COUNTIF($B$7:$B$327,"&lt;"&amp;$B$7:$B$327),0)),"")</f>
        <v/>
      </c>
      <c r="J112" s="32" t="str">
        <f t="shared" si="4"/>
        <v/>
      </c>
      <c r="K112" s="32" t="str">
        <f t="shared" si="1"/>
        <v/>
      </c>
    </row>
    <row r="113" spans="2:11" x14ac:dyDescent="0.25">
      <c r="B113" s="31" t="s">
        <v>319</v>
      </c>
      <c r="C113" s="40" t="s">
        <v>320</v>
      </c>
      <c r="D113" s="38">
        <v>600</v>
      </c>
      <c r="E113" s="38">
        <v>600</v>
      </c>
      <c r="F113" s="38">
        <v>720</v>
      </c>
      <c r="G113" s="38">
        <v>655</v>
      </c>
      <c r="I113" s="32" t="str">
        <f t="array" ref="I113">IFERROR(INDEX($B$7:$B$327,MATCH(SUM(COUNTIF(I$6:I112,$B$7:$B$327)),COUNTIF($B$7:$B$327,"&lt;"&amp;$B$7:$B$327),0)),"")</f>
        <v/>
      </c>
      <c r="J113" s="32" t="str">
        <f t="shared" si="4"/>
        <v/>
      </c>
      <c r="K113" s="32" t="str">
        <f t="shared" si="1"/>
        <v/>
      </c>
    </row>
    <row r="114" spans="2:11" x14ac:dyDescent="0.25">
      <c r="B114" s="31" t="s">
        <v>319</v>
      </c>
      <c r="C114" s="40" t="s">
        <v>321</v>
      </c>
      <c r="D114" s="38">
        <v>600</v>
      </c>
      <c r="E114" s="38">
        <v>600</v>
      </c>
      <c r="F114" s="38">
        <v>780</v>
      </c>
      <c r="G114" s="38">
        <v>655</v>
      </c>
      <c r="I114" s="32" t="str">
        <f t="array" ref="I114">IFERROR(INDEX($B$7:$B$327,MATCH(SUM(COUNTIF(I$6:I113,$B$7:$B$327)),COUNTIF($B$7:$B$327,"&lt;"&amp;$B$7:$B$327),0)),"")</f>
        <v/>
      </c>
      <c r="J114" s="32" t="str">
        <f t="shared" si="4"/>
        <v/>
      </c>
      <c r="K114" s="32" t="str">
        <f t="shared" si="1"/>
        <v/>
      </c>
    </row>
    <row r="115" spans="2:11" x14ac:dyDescent="0.25">
      <c r="B115" s="31" t="s">
        <v>319</v>
      </c>
      <c r="C115" s="40" t="s">
        <v>317</v>
      </c>
      <c r="D115" s="38">
        <v>350</v>
      </c>
      <c r="E115" s="38">
        <v>350</v>
      </c>
      <c r="F115" s="38">
        <v>350</v>
      </c>
      <c r="G115" s="38">
        <v>655</v>
      </c>
      <c r="I115" s="32" t="str">
        <f t="array" ref="I115">IFERROR(INDEX($B$7:$B$327,MATCH(SUM(COUNTIF(I$6:I114,$B$7:$B$327)),COUNTIF($B$7:$B$327,"&lt;"&amp;$B$7:$B$327),0)),"")</f>
        <v/>
      </c>
      <c r="J115" s="32" t="str">
        <f t="shared" si="4"/>
        <v/>
      </c>
      <c r="K115" s="32" t="str">
        <f t="shared" si="1"/>
        <v/>
      </c>
    </row>
    <row r="116" spans="2:11" x14ac:dyDescent="0.25">
      <c r="B116" s="31" t="s">
        <v>322</v>
      </c>
      <c r="C116" s="40" t="s">
        <v>213</v>
      </c>
      <c r="D116" s="38">
        <v>799</v>
      </c>
      <c r="E116" s="38">
        <v>799</v>
      </c>
      <c r="F116" s="38">
        <v>799</v>
      </c>
      <c r="G116" s="38">
        <v>330</v>
      </c>
      <c r="I116" s="32" t="str">
        <f t="array" ref="I116">IFERROR(INDEX($B$7:$B$327,MATCH(SUM(COUNTIF(I$6:I115,$B$7:$B$327)),COUNTIF($B$7:$B$327,"&lt;"&amp;$B$7:$B$327),0)),"")</f>
        <v/>
      </c>
      <c r="J116" s="32" t="str">
        <f t="shared" si="4"/>
        <v/>
      </c>
      <c r="K116" s="32" t="str">
        <f t="shared" si="1"/>
        <v/>
      </c>
    </row>
    <row r="117" spans="2:11" x14ac:dyDescent="0.25">
      <c r="B117" s="31" t="s">
        <v>322</v>
      </c>
      <c r="C117" s="40" t="s">
        <v>214</v>
      </c>
      <c r="D117" s="38">
        <v>799</v>
      </c>
      <c r="E117" s="38">
        <v>799</v>
      </c>
      <c r="F117" s="38">
        <v>799</v>
      </c>
      <c r="G117" s="38">
        <v>330</v>
      </c>
      <c r="I117" s="32" t="str">
        <f t="array" ref="I117">IFERROR(INDEX($B$7:$B$327,MATCH(SUM(COUNTIF(I$6:I116,$B$7:$B$327)),COUNTIF($B$7:$B$327,"&lt;"&amp;$B$7:$B$327),0)),"")</f>
        <v/>
      </c>
      <c r="J117" s="32" t="str">
        <f t="shared" si="4"/>
        <v/>
      </c>
      <c r="K117" s="32" t="str">
        <f t="shared" si="1"/>
        <v/>
      </c>
    </row>
    <row r="118" spans="2:11" x14ac:dyDescent="0.25">
      <c r="B118" s="31" t="s">
        <v>322</v>
      </c>
      <c r="C118" s="40" t="s">
        <v>284</v>
      </c>
      <c r="D118" s="38">
        <v>741</v>
      </c>
      <c r="E118" s="38">
        <v>741</v>
      </c>
      <c r="F118" s="38">
        <v>741</v>
      </c>
      <c r="G118" s="38">
        <v>330</v>
      </c>
      <c r="I118" s="32" t="str">
        <f t="array" ref="I118">IFERROR(INDEX($B$7:$B$327,MATCH(SUM(COUNTIF(I$6:I117,$B$7:$B$327)),COUNTIF($B$7:$B$327,"&lt;"&amp;$B$7:$B$327),0)),"")</f>
        <v/>
      </c>
      <c r="J118" s="32" t="str">
        <f t="shared" si="4"/>
        <v/>
      </c>
      <c r="K118" s="32" t="str">
        <f t="shared" si="1"/>
        <v/>
      </c>
    </row>
    <row r="119" spans="2:11" x14ac:dyDescent="0.25">
      <c r="B119" s="31" t="s">
        <v>322</v>
      </c>
      <c r="C119" s="40" t="s">
        <v>285</v>
      </c>
      <c r="D119" s="38">
        <v>741</v>
      </c>
      <c r="E119" s="38">
        <v>741</v>
      </c>
      <c r="F119" s="38">
        <v>741</v>
      </c>
      <c r="G119" s="38">
        <v>330</v>
      </c>
      <c r="I119" s="32" t="str">
        <f t="array" ref="I119">IFERROR(INDEX($B$7:$B$327,MATCH(SUM(COUNTIF(I$6:I118,$B$7:$B$327)),COUNTIF($B$7:$B$327,"&lt;"&amp;$B$7:$B$327),0)),"")</f>
        <v/>
      </c>
      <c r="J119" s="32" t="str">
        <f t="shared" si="4"/>
        <v/>
      </c>
      <c r="K119" s="32" t="str">
        <f t="shared" si="1"/>
        <v/>
      </c>
    </row>
    <row r="120" spans="2:11" x14ac:dyDescent="0.25">
      <c r="B120" s="31" t="s">
        <v>323</v>
      </c>
      <c r="C120" s="40" t="s">
        <v>284</v>
      </c>
      <c r="D120" s="38">
        <v>523</v>
      </c>
      <c r="E120" s="38">
        <v>523</v>
      </c>
      <c r="F120" s="38">
        <v>523</v>
      </c>
      <c r="G120" s="38">
        <v>116</v>
      </c>
      <c r="I120" s="32" t="str">
        <f t="array" ref="I120">IFERROR(INDEX($B$7:$B$327,MATCH(SUM(COUNTIF(I$6:I119,$B$7:$B$327)),COUNTIF($B$7:$B$327,"&lt;"&amp;$B$7:$B$327),0)),"")</f>
        <v/>
      </c>
      <c r="J120" s="32" t="str">
        <f t="shared" si="4"/>
        <v/>
      </c>
      <c r="K120" s="32" t="str">
        <f t="shared" si="1"/>
        <v/>
      </c>
    </row>
    <row r="121" spans="2:11" x14ac:dyDescent="0.25">
      <c r="B121" s="31" t="s">
        <v>323</v>
      </c>
      <c r="C121" s="40" t="s">
        <v>285</v>
      </c>
      <c r="D121" s="38">
        <v>510</v>
      </c>
      <c r="E121" s="38">
        <v>510</v>
      </c>
      <c r="F121" s="38">
        <v>501</v>
      </c>
      <c r="G121" s="38">
        <v>116</v>
      </c>
      <c r="I121" s="32" t="str">
        <f t="array" ref="I121">IFERROR(INDEX($B$7:$B$327,MATCH(SUM(COUNTIF(I$6:I120,$B$7:$B$327)),COUNTIF($B$7:$B$327,"&lt;"&amp;$B$7:$B$327),0)),"")</f>
        <v/>
      </c>
      <c r="J121" s="32" t="str">
        <f t="shared" si="4"/>
        <v/>
      </c>
      <c r="K121" s="32" t="str">
        <f t="shared" si="1"/>
        <v/>
      </c>
    </row>
    <row r="122" spans="2:11" x14ac:dyDescent="0.25">
      <c r="B122" s="31" t="s">
        <v>323</v>
      </c>
      <c r="C122" s="40" t="s">
        <v>314</v>
      </c>
      <c r="D122" s="38">
        <v>623</v>
      </c>
      <c r="E122" s="38">
        <v>623</v>
      </c>
      <c r="F122" s="38">
        <v>603</v>
      </c>
      <c r="G122" s="38">
        <v>116</v>
      </c>
      <c r="I122" s="32" t="str">
        <f t="array" ref="I122">IFERROR(INDEX($B$7:$B$327,MATCH(SUM(COUNTIF(I$6:I121,$B$7:$B$327)),COUNTIF($B$7:$B$327,"&lt;"&amp;$B$7:$B$327),0)),"")</f>
        <v/>
      </c>
      <c r="J122" s="32" t="str">
        <f t="shared" si="4"/>
        <v/>
      </c>
      <c r="K122" s="32" t="str">
        <f t="shared" si="1"/>
        <v/>
      </c>
    </row>
    <row r="123" spans="2:11" x14ac:dyDescent="0.25">
      <c r="B123" s="31" t="s">
        <v>323</v>
      </c>
      <c r="C123" s="40" t="s">
        <v>315</v>
      </c>
      <c r="D123" s="38">
        <v>647</v>
      </c>
      <c r="E123" s="38">
        <v>647</v>
      </c>
      <c r="F123" s="38">
        <v>603</v>
      </c>
      <c r="G123" s="38">
        <v>116</v>
      </c>
      <c r="I123" s="32" t="str">
        <f t="array" ref="I123">IFERROR(INDEX($B$7:$B$327,MATCH(SUM(COUNTIF(I$6:I122,$B$7:$B$327)),COUNTIF($B$7:$B$327,"&lt;"&amp;$B$7:$B$327),0)),"")</f>
        <v/>
      </c>
      <c r="J123" s="32" t="str">
        <f t="shared" si="4"/>
        <v/>
      </c>
      <c r="K123" s="32" t="str">
        <f t="shared" si="1"/>
        <v/>
      </c>
    </row>
    <row r="124" spans="2:11" x14ac:dyDescent="0.25">
      <c r="B124" s="31" t="s">
        <v>324</v>
      </c>
      <c r="C124" s="40" t="s">
        <v>325</v>
      </c>
      <c r="D124" s="38">
        <v>784</v>
      </c>
      <c r="E124" s="38">
        <v>784</v>
      </c>
      <c r="F124" s="38">
        <v>683</v>
      </c>
      <c r="G124" s="38">
        <v>398</v>
      </c>
      <c r="I124" s="32" t="str">
        <f t="array" ref="I124">IFERROR(INDEX($B$7:$B$327,MATCH(SUM(COUNTIF(I$6:I123,$B$7:$B$327)),COUNTIF($B$7:$B$327,"&lt;"&amp;$B$7:$B$327),0)),"")</f>
        <v/>
      </c>
      <c r="J124" s="32" t="str">
        <f t="shared" si="4"/>
        <v/>
      </c>
      <c r="K124" s="32" t="str">
        <f t="shared" si="1"/>
        <v/>
      </c>
    </row>
    <row r="125" spans="2:11" x14ac:dyDescent="0.25">
      <c r="B125" s="31" t="s">
        <v>324</v>
      </c>
      <c r="C125" s="40" t="s">
        <v>318</v>
      </c>
      <c r="D125" s="38">
        <v>724</v>
      </c>
      <c r="E125" s="38">
        <v>784</v>
      </c>
      <c r="F125" s="38">
        <v>724</v>
      </c>
      <c r="G125" s="38">
        <v>398</v>
      </c>
      <c r="I125" s="32" t="str">
        <f t="array" ref="I125">IFERROR(INDEX($B$7:$B$327,MATCH(SUM(COUNTIF(I$6:I124,$B$7:$B$327)),COUNTIF($B$7:$B$327,"&lt;"&amp;$B$7:$B$327),0)),"")</f>
        <v/>
      </c>
      <c r="J125" s="32" t="str">
        <f t="shared" si="4"/>
        <v/>
      </c>
      <c r="K125" s="32" t="str">
        <f t="shared" si="1"/>
        <v/>
      </c>
    </row>
    <row r="126" spans="2:11" x14ac:dyDescent="0.25">
      <c r="B126" s="31" t="s">
        <v>324</v>
      </c>
      <c r="C126" s="40" t="s">
        <v>320</v>
      </c>
      <c r="D126" s="38">
        <v>693</v>
      </c>
      <c r="E126" s="38">
        <v>693</v>
      </c>
      <c r="F126" s="38">
        <v>693</v>
      </c>
      <c r="G126" s="38">
        <v>398</v>
      </c>
      <c r="I126" s="32" t="str">
        <f t="array" ref="I126">IFERROR(INDEX($B$7:$B$327,MATCH(SUM(COUNTIF(I$6:I125,$B$7:$B$327)),COUNTIF($B$7:$B$327,"&lt;"&amp;$B$7:$B$327),0)),"")</f>
        <v/>
      </c>
      <c r="J126" s="32" t="str">
        <f t="shared" si="4"/>
        <v/>
      </c>
      <c r="K126" s="32" t="str">
        <f t="shared" si="1"/>
        <v/>
      </c>
    </row>
    <row r="127" spans="2:11" x14ac:dyDescent="0.25">
      <c r="B127" s="31" t="s">
        <v>324</v>
      </c>
      <c r="C127" s="40" t="s">
        <v>321</v>
      </c>
      <c r="D127" s="38">
        <v>693</v>
      </c>
      <c r="E127" s="38">
        <v>693</v>
      </c>
      <c r="F127" s="38">
        <v>630</v>
      </c>
      <c r="G127" s="38">
        <v>398</v>
      </c>
      <c r="I127" s="32" t="str">
        <f t="array" ref="I127">IFERROR(INDEX($B$7:$B$327,MATCH(SUM(COUNTIF(I$6:I126,$B$7:$B$327)),COUNTIF($B$7:$B$327,"&lt;"&amp;$B$7:$B$327),0)),"")</f>
        <v/>
      </c>
      <c r="J127" s="32" t="str">
        <f t="shared" si="4"/>
        <v/>
      </c>
      <c r="K127" s="32" t="str">
        <f t="shared" si="1"/>
        <v/>
      </c>
    </row>
    <row r="128" spans="2:11" x14ac:dyDescent="0.25">
      <c r="B128" s="31" t="s">
        <v>324</v>
      </c>
      <c r="C128" s="40" t="s">
        <v>268</v>
      </c>
      <c r="D128" s="38">
        <v>483</v>
      </c>
      <c r="E128" s="38">
        <v>483</v>
      </c>
      <c r="F128" s="38">
        <v>472</v>
      </c>
      <c r="G128" s="38">
        <v>398</v>
      </c>
      <c r="I128" s="32" t="str">
        <f t="array" ref="I128">IFERROR(INDEX($B$7:$B$327,MATCH(SUM(COUNTIF(I$6:I127,$B$7:$B$327)),COUNTIF($B$7:$B$327,"&lt;"&amp;$B$7:$B$327),0)),"")</f>
        <v/>
      </c>
      <c r="J128" s="32" t="str">
        <f t="shared" si="4"/>
        <v/>
      </c>
      <c r="K128" s="32" t="str">
        <f t="shared" si="1"/>
        <v/>
      </c>
    </row>
    <row r="129" spans="2:11" x14ac:dyDescent="0.25">
      <c r="B129" s="31" t="s">
        <v>324</v>
      </c>
      <c r="C129" s="40" t="s">
        <v>269</v>
      </c>
      <c r="D129" s="38">
        <v>483</v>
      </c>
      <c r="E129" s="38">
        <v>483</v>
      </c>
      <c r="F129" s="38">
        <v>483</v>
      </c>
      <c r="G129" s="38">
        <v>398</v>
      </c>
      <c r="I129" s="32" t="str">
        <f t="array" ref="I129">IFERROR(INDEX($B$7:$B$327,MATCH(SUM(COUNTIF(I$6:I128,$B$7:$B$327)),COUNTIF($B$7:$B$327,"&lt;"&amp;$B$7:$B$327),0)),"")</f>
        <v/>
      </c>
      <c r="J129" s="32" t="str">
        <f t="shared" si="4"/>
        <v/>
      </c>
      <c r="K129" s="32" t="str">
        <f t="shared" si="1"/>
        <v/>
      </c>
    </row>
    <row r="130" spans="2:11" x14ac:dyDescent="0.25">
      <c r="B130" s="31" t="s">
        <v>324</v>
      </c>
      <c r="C130" s="40" t="s">
        <v>218</v>
      </c>
      <c r="D130" s="38">
        <v>478</v>
      </c>
      <c r="E130" s="38">
        <v>478</v>
      </c>
      <c r="F130" s="38">
        <v>418</v>
      </c>
      <c r="G130" s="38">
        <v>398</v>
      </c>
      <c r="I130" s="32" t="str">
        <f t="array" ref="I130">IFERROR(INDEX($B$7:$B$327,MATCH(SUM(COUNTIF(I$6:I129,$B$7:$B$327)),COUNTIF($B$7:$B$327,"&lt;"&amp;$B$7:$B$327),0)),"")</f>
        <v/>
      </c>
      <c r="J130" s="32" t="str">
        <f t="shared" si="4"/>
        <v/>
      </c>
      <c r="K130" s="32" t="str">
        <f t="shared" si="1"/>
        <v/>
      </c>
    </row>
    <row r="131" spans="2:11" x14ac:dyDescent="0.25">
      <c r="B131" s="31" t="s">
        <v>326</v>
      </c>
      <c r="C131" s="40" t="s">
        <v>327</v>
      </c>
      <c r="D131" s="38">
        <v>598</v>
      </c>
      <c r="E131" s="38">
        <v>598</v>
      </c>
      <c r="F131" s="38">
        <v>598</v>
      </c>
      <c r="G131" s="38">
        <v>650</v>
      </c>
      <c r="I131" s="32" t="str">
        <f t="array" ref="I131">IFERROR(INDEX($B$7:$B$327,MATCH(SUM(COUNTIF(I$6:I130,$B$7:$B$327)),COUNTIF($B$7:$B$327,"&lt;"&amp;$B$7:$B$327),0)),"")</f>
        <v/>
      </c>
      <c r="J131" s="32" t="str">
        <f t="shared" si="4"/>
        <v/>
      </c>
      <c r="K131" s="32" t="str">
        <f t="shared" si="1"/>
        <v/>
      </c>
    </row>
    <row r="132" spans="2:11" x14ac:dyDescent="0.25">
      <c r="B132" s="31" t="s">
        <v>326</v>
      </c>
      <c r="C132" s="40" t="s">
        <v>316</v>
      </c>
      <c r="D132" s="38">
        <v>610</v>
      </c>
      <c r="E132" s="38">
        <v>610</v>
      </c>
      <c r="F132" s="38">
        <v>540</v>
      </c>
      <c r="G132" s="38">
        <v>650</v>
      </c>
      <c r="I132" s="32" t="str">
        <f t="array" ref="I132">IFERROR(INDEX($B$7:$B$327,MATCH(SUM(COUNTIF(I$6:I131,$B$7:$B$327)),COUNTIF($B$7:$B$327,"&lt;"&amp;$B$7:$B$327),0)),"")</f>
        <v/>
      </c>
      <c r="J132" s="32" t="str">
        <f t="shared" si="4"/>
        <v/>
      </c>
      <c r="K132" s="32" t="str">
        <f t="shared" si="1"/>
        <v/>
      </c>
    </row>
    <row r="133" spans="2:11" x14ac:dyDescent="0.25">
      <c r="B133" s="31" t="s">
        <v>326</v>
      </c>
      <c r="C133" s="40" t="s">
        <v>282</v>
      </c>
      <c r="D133" s="38">
        <v>480</v>
      </c>
      <c r="E133" s="38">
        <v>480</v>
      </c>
      <c r="F133" s="38">
        <v>480</v>
      </c>
      <c r="G133" s="38">
        <v>650</v>
      </c>
      <c r="I133" s="32" t="str">
        <f t="array" ref="I133">IFERROR(INDEX($B$7:$B$327,MATCH(SUM(COUNTIF(I$6:I132,$B$7:$B$327)),COUNTIF($B$7:$B$327,"&lt;"&amp;$B$7:$B$327),0)),"")</f>
        <v/>
      </c>
      <c r="J133" s="32" t="str">
        <f t="shared" si="4"/>
        <v/>
      </c>
      <c r="K133" s="32" t="str">
        <f t="shared" si="1"/>
        <v/>
      </c>
    </row>
    <row r="134" spans="2:11" x14ac:dyDescent="0.25">
      <c r="B134" s="31" t="s">
        <v>326</v>
      </c>
      <c r="C134" s="40" t="s">
        <v>283</v>
      </c>
      <c r="D134" s="38">
        <v>480</v>
      </c>
      <c r="E134" s="38">
        <v>480</v>
      </c>
      <c r="F134" s="38">
        <v>480</v>
      </c>
      <c r="G134" s="38">
        <v>650</v>
      </c>
      <c r="I134" s="32" t="str">
        <f t="array" ref="I134">IFERROR(INDEX($B$7:$B$327,MATCH(SUM(COUNTIF(I$6:I133,$B$7:$B$327)),COUNTIF($B$7:$B$327,"&lt;"&amp;$B$7:$B$327),0)),"")</f>
        <v/>
      </c>
      <c r="J134" s="32" t="str">
        <f t="shared" si="4"/>
        <v/>
      </c>
      <c r="K134" s="32" t="str">
        <f t="shared" si="1"/>
        <v/>
      </c>
    </row>
    <row r="135" spans="2:11" x14ac:dyDescent="0.25">
      <c r="B135" s="31" t="s">
        <v>328</v>
      </c>
      <c r="C135" s="40" t="s">
        <v>320</v>
      </c>
      <c r="D135" s="38">
        <v>799</v>
      </c>
      <c r="E135" s="38">
        <v>799</v>
      </c>
      <c r="F135" s="38">
        <v>789</v>
      </c>
      <c r="G135" s="38">
        <v>319</v>
      </c>
      <c r="I135" s="32" t="str">
        <f t="array" ref="I135">IFERROR(INDEX($B$7:$B$327,MATCH(SUM(COUNTIF(I$6:I134,$B$7:$B$327)),COUNTIF($B$7:$B$327,"&lt;"&amp;$B$7:$B$327),0)),"")</f>
        <v/>
      </c>
      <c r="J135" s="32" t="str">
        <f t="shared" si="4"/>
        <v/>
      </c>
      <c r="K135" s="32" t="str">
        <f t="shared" si="1"/>
        <v/>
      </c>
    </row>
    <row r="136" spans="2:11" x14ac:dyDescent="0.25">
      <c r="B136" s="31" t="s">
        <v>328</v>
      </c>
      <c r="C136" s="40" t="s">
        <v>321</v>
      </c>
      <c r="D136" s="38">
        <v>799</v>
      </c>
      <c r="E136" s="38">
        <v>799</v>
      </c>
      <c r="F136" s="38">
        <v>799</v>
      </c>
      <c r="G136" s="38">
        <v>319</v>
      </c>
      <c r="I136" s="32" t="str">
        <f t="array" ref="I136">IFERROR(INDEX($B$7:$B$327,MATCH(SUM(COUNTIF(I$6:I135,$B$7:$B$327)),COUNTIF($B$7:$B$327,"&lt;"&amp;$B$7:$B$327),0)),"")</f>
        <v/>
      </c>
      <c r="J136" s="32" t="str">
        <f t="shared" si="4"/>
        <v/>
      </c>
      <c r="K136" s="32" t="str">
        <f t="shared" si="1"/>
        <v/>
      </c>
    </row>
    <row r="137" spans="2:11" x14ac:dyDescent="0.25">
      <c r="B137" s="31" t="s">
        <v>328</v>
      </c>
      <c r="C137" s="40" t="s">
        <v>218</v>
      </c>
      <c r="D137" s="38">
        <v>750</v>
      </c>
      <c r="E137" s="38">
        <v>750</v>
      </c>
      <c r="F137" s="38">
        <v>750</v>
      </c>
      <c r="G137" s="38">
        <v>319</v>
      </c>
      <c r="I137" s="32" t="str">
        <f t="array" ref="I137">IFERROR(INDEX($B$7:$B$327,MATCH(SUM(COUNTIF(I$6:I136,$B$7:$B$327)),COUNTIF($B$7:$B$327,"&lt;"&amp;$B$7:$B$327),0)),"")</f>
        <v/>
      </c>
      <c r="J137" s="32" t="str">
        <f t="shared" si="4"/>
        <v/>
      </c>
      <c r="K137" s="32" t="str">
        <f t="shared" si="1"/>
        <v/>
      </c>
    </row>
    <row r="138" spans="2:11" x14ac:dyDescent="0.25">
      <c r="B138" s="31" t="s">
        <v>328</v>
      </c>
      <c r="C138" s="40" t="s">
        <v>217</v>
      </c>
      <c r="D138" s="38">
        <v>750</v>
      </c>
      <c r="E138" s="38">
        <v>750</v>
      </c>
      <c r="F138" s="38">
        <v>750</v>
      </c>
      <c r="G138" s="38">
        <v>319</v>
      </c>
      <c r="I138" s="32" t="str">
        <f t="array" ref="I138">IFERROR(INDEX($B$7:$B$327,MATCH(SUM(COUNTIF(I$6:I137,$B$7:$B$327)),COUNTIF($B$7:$B$327,"&lt;"&amp;$B$7:$B$327),0)),"")</f>
        <v/>
      </c>
      <c r="J138" s="32" t="str">
        <f t="shared" si="4"/>
        <v/>
      </c>
      <c r="K138" s="32" t="str">
        <f t="shared" si="1"/>
        <v/>
      </c>
    </row>
    <row r="139" spans="2:11" x14ac:dyDescent="0.25">
      <c r="B139" s="31" t="s">
        <v>329</v>
      </c>
      <c r="C139" s="40" t="s">
        <v>330</v>
      </c>
      <c r="D139" s="38">
        <v>497</v>
      </c>
      <c r="E139" s="38">
        <v>497</v>
      </c>
      <c r="F139" s="38">
        <v>497</v>
      </c>
      <c r="G139" s="38">
        <v>290</v>
      </c>
    </row>
    <row r="140" spans="2:11" x14ac:dyDescent="0.25">
      <c r="B140" s="31" t="s">
        <v>329</v>
      </c>
      <c r="C140" s="40" t="s">
        <v>331</v>
      </c>
      <c r="D140" s="38">
        <v>497</v>
      </c>
      <c r="E140" s="38">
        <v>497</v>
      </c>
      <c r="F140" s="38">
        <v>497</v>
      </c>
      <c r="G140" s="38">
        <v>290</v>
      </c>
    </row>
    <row r="141" spans="2:11" x14ac:dyDescent="0.25">
      <c r="B141" s="31" t="s">
        <v>329</v>
      </c>
      <c r="C141" s="40" t="s">
        <v>332</v>
      </c>
      <c r="D141" s="38">
        <v>877</v>
      </c>
      <c r="E141" s="38">
        <v>877</v>
      </c>
      <c r="F141" s="38">
        <v>877</v>
      </c>
      <c r="G141" s="38">
        <v>290</v>
      </c>
    </row>
    <row r="142" spans="2:11" x14ac:dyDescent="0.25">
      <c r="B142" s="31" t="s">
        <v>329</v>
      </c>
      <c r="C142" s="40" t="s">
        <v>333</v>
      </c>
      <c r="D142" s="38">
        <v>877</v>
      </c>
      <c r="E142" s="38">
        <v>877</v>
      </c>
      <c r="F142" s="38">
        <v>877</v>
      </c>
      <c r="G142" s="38">
        <v>290</v>
      </c>
    </row>
    <row r="143" spans="2:11" x14ac:dyDescent="0.25">
      <c r="B143" s="31" t="s">
        <v>329</v>
      </c>
      <c r="C143" s="40" t="s">
        <v>334</v>
      </c>
      <c r="D143" s="38">
        <v>733</v>
      </c>
      <c r="E143" s="38">
        <v>733</v>
      </c>
      <c r="F143" s="38">
        <v>733</v>
      </c>
      <c r="G143" s="38">
        <v>290</v>
      </c>
    </row>
    <row r="144" spans="2:11" x14ac:dyDescent="0.25">
      <c r="B144" s="31" t="s">
        <v>329</v>
      </c>
      <c r="C144" s="40" t="s">
        <v>335</v>
      </c>
      <c r="D144" s="38">
        <v>733</v>
      </c>
      <c r="E144" s="38">
        <v>733</v>
      </c>
      <c r="F144" s="38">
        <v>733</v>
      </c>
      <c r="G144" s="38">
        <v>290</v>
      </c>
    </row>
    <row r="145" spans="2:7" x14ac:dyDescent="0.25">
      <c r="B145" s="31" t="s">
        <v>336</v>
      </c>
      <c r="C145" s="40" t="s">
        <v>257</v>
      </c>
      <c r="D145" s="38">
        <v>468</v>
      </c>
      <c r="E145" s="38">
        <v>468</v>
      </c>
      <c r="F145" s="38">
        <v>676</v>
      </c>
      <c r="G145" s="38">
        <v>130</v>
      </c>
    </row>
    <row r="146" spans="2:7" x14ac:dyDescent="0.25">
      <c r="B146" s="31" t="s">
        <v>336</v>
      </c>
      <c r="C146" s="40" t="s">
        <v>251</v>
      </c>
      <c r="D146" s="38">
        <v>676</v>
      </c>
      <c r="E146" s="38">
        <v>676</v>
      </c>
      <c r="F146" s="38">
        <v>468</v>
      </c>
      <c r="G146" s="38">
        <v>130</v>
      </c>
    </row>
    <row r="147" spans="2:7" x14ac:dyDescent="0.25">
      <c r="B147" s="31" t="s">
        <v>336</v>
      </c>
      <c r="C147" s="40" t="s">
        <v>337</v>
      </c>
      <c r="D147" s="38">
        <v>551</v>
      </c>
      <c r="E147" s="38">
        <v>551</v>
      </c>
      <c r="F147" s="38">
        <v>551</v>
      </c>
      <c r="G147" s="38">
        <v>130</v>
      </c>
    </row>
    <row r="148" spans="2:7" x14ac:dyDescent="0.25">
      <c r="B148" s="31" t="s">
        <v>336</v>
      </c>
      <c r="C148" s="40" t="s">
        <v>338</v>
      </c>
      <c r="D148" s="38">
        <v>551</v>
      </c>
      <c r="E148" s="38">
        <v>551</v>
      </c>
      <c r="F148" s="38">
        <v>424</v>
      </c>
      <c r="G148" s="38">
        <v>130</v>
      </c>
    </row>
    <row r="149" spans="2:7" x14ac:dyDescent="0.25">
      <c r="B149" s="31" t="s">
        <v>339</v>
      </c>
      <c r="C149" s="40" t="s">
        <v>277</v>
      </c>
      <c r="D149" s="38">
        <v>1442</v>
      </c>
      <c r="E149" s="38">
        <v>1442</v>
      </c>
      <c r="F149" s="38">
        <v>1319</v>
      </c>
      <c r="G149" s="38">
        <v>270</v>
      </c>
    </row>
    <row r="150" spans="2:7" x14ac:dyDescent="0.25">
      <c r="B150" s="31" t="s">
        <v>339</v>
      </c>
      <c r="C150" s="40" t="s">
        <v>278</v>
      </c>
      <c r="D150" s="38">
        <v>1383</v>
      </c>
      <c r="E150" s="38">
        <v>1383</v>
      </c>
      <c r="F150" s="38">
        <v>1319</v>
      </c>
      <c r="G150" s="38">
        <v>270</v>
      </c>
    </row>
    <row r="151" spans="2:7" x14ac:dyDescent="0.25">
      <c r="B151" s="31" t="s">
        <v>339</v>
      </c>
      <c r="C151" s="40" t="s">
        <v>340</v>
      </c>
      <c r="D151" s="38">
        <v>760</v>
      </c>
      <c r="E151" s="38">
        <v>760</v>
      </c>
      <c r="F151" s="38">
        <v>760</v>
      </c>
      <c r="G151" s="38">
        <v>270</v>
      </c>
    </row>
    <row r="152" spans="2:7" x14ac:dyDescent="0.25">
      <c r="B152" s="31" t="s">
        <v>339</v>
      </c>
      <c r="C152" s="40" t="s">
        <v>341</v>
      </c>
      <c r="D152" s="38">
        <v>760</v>
      </c>
      <c r="E152" s="38">
        <v>760</v>
      </c>
      <c r="F152" s="38">
        <v>760</v>
      </c>
      <c r="G152" s="38">
        <v>270</v>
      </c>
    </row>
    <row r="153" spans="2:7" s="9" customFormat="1" x14ac:dyDescent="0.25">
      <c r="B153" s="31" t="s">
        <v>342</v>
      </c>
      <c r="C153" s="40" t="s">
        <v>268</v>
      </c>
      <c r="D153" s="38">
        <v>1250</v>
      </c>
      <c r="E153" s="38">
        <v>1250</v>
      </c>
      <c r="F153" s="38">
        <v>1250</v>
      </c>
      <c r="G153" s="38">
        <v>220</v>
      </c>
    </row>
    <row r="154" spans="2:7" s="9" customFormat="1" x14ac:dyDescent="0.25">
      <c r="B154" s="31" t="s">
        <v>342</v>
      </c>
      <c r="C154" s="40" t="s">
        <v>269</v>
      </c>
      <c r="D154" s="38">
        <v>1250</v>
      </c>
      <c r="E154" s="38">
        <v>1250</v>
      </c>
      <c r="F154" s="38">
        <v>1250</v>
      </c>
      <c r="G154" s="38">
        <v>220</v>
      </c>
    </row>
    <row r="155" spans="2:7" s="9" customFormat="1" x14ac:dyDescent="0.25">
      <c r="B155" s="31" t="s">
        <v>342</v>
      </c>
      <c r="C155" s="40" t="s">
        <v>64</v>
      </c>
      <c r="D155" s="38">
        <v>900</v>
      </c>
      <c r="E155" s="38">
        <v>900</v>
      </c>
      <c r="F155" s="38">
        <v>900</v>
      </c>
      <c r="G155" s="38">
        <v>220</v>
      </c>
    </row>
    <row r="156" spans="2:7" s="9" customFormat="1" x14ac:dyDescent="0.25">
      <c r="B156" s="31" t="s">
        <v>342</v>
      </c>
      <c r="C156" s="40" t="s">
        <v>65</v>
      </c>
      <c r="D156" s="38">
        <v>900</v>
      </c>
      <c r="E156" s="38">
        <v>900</v>
      </c>
      <c r="F156" s="38">
        <v>900</v>
      </c>
      <c r="G156" s="38">
        <v>220</v>
      </c>
    </row>
    <row r="157" spans="2:7" s="9" customFormat="1" x14ac:dyDescent="0.25">
      <c r="B157" s="31" t="s">
        <v>342</v>
      </c>
      <c r="C157" s="40" t="s">
        <v>327</v>
      </c>
      <c r="D157" s="38">
        <v>570</v>
      </c>
      <c r="E157" s="38">
        <v>570</v>
      </c>
      <c r="F157" s="38">
        <v>540</v>
      </c>
      <c r="G157" s="38">
        <v>220</v>
      </c>
    </row>
    <row r="158" spans="2:7" s="9" customFormat="1" x14ac:dyDescent="0.25">
      <c r="B158" s="31" t="s">
        <v>342</v>
      </c>
      <c r="C158" s="40" t="s">
        <v>316</v>
      </c>
      <c r="D158" s="38">
        <v>570</v>
      </c>
      <c r="E158" s="38">
        <v>570</v>
      </c>
      <c r="F158" s="38">
        <v>570</v>
      </c>
      <c r="G158" s="38">
        <v>220</v>
      </c>
    </row>
    <row r="159" spans="2:7" s="9" customFormat="1" x14ac:dyDescent="0.25">
      <c r="B159" s="31" t="s">
        <v>343</v>
      </c>
      <c r="C159" s="40" t="s">
        <v>220</v>
      </c>
      <c r="D159" s="38">
        <v>3200</v>
      </c>
      <c r="E159" s="38">
        <v>3200</v>
      </c>
      <c r="F159" s="38">
        <v>2900</v>
      </c>
      <c r="G159" s="38">
        <v>13</v>
      </c>
    </row>
    <row r="160" spans="2:7" s="9" customFormat="1" x14ac:dyDescent="0.25">
      <c r="B160" s="31" t="s">
        <v>343</v>
      </c>
      <c r="C160" s="40" t="s">
        <v>221</v>
      </c>
      <c r="D160" s="38">
        <v>3200</v>
      </c>
      <c r="E160" s="38">
        <v>3200</v>
      </c>
      <c r="F160" s="38">
        <v>2785</v>
      </c>
      <c r="G160" s="38">
        <v>13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2:P47"/>
  <sheetViews>
    <sheetView workbookViewId="0">
      <selection activeCell="D13" sqref="D13"/>
    </sheetView>
  </sheetViews>
  <sheetFormatPr defaultRowHeight="15" x14ac:dyDescent="0.25"/>
  <cols>
    <col min="2" max="2" width="23.85546875" bestFit="1" customWidth="1"/>
    <col min="3" max="3" width="14.140625" bestFit="1" customWidth="1"/>
    <col min="4" max="4" width="16.5703125" bestFit="1" customWidth="1"/>
    <col min="5" max="5" width="8.5703125" bestFit="1" customWidth="1"/>
    <col min="7" max="7" width="24.85546875" bestFit="1" customWidth="1"/>
    <col min="8" max="8" width="11.85546875" bestFit="1" customWidth="1"/>
    <col min="9" max="9" width="20.85546875" bestFit="1" customWidth="1"/>
    <col min="10" max="10" width="14.5703125" bestFit="1" customWidth="1"/>
    <col min="11" max="11" width="12.7109375" bestFit="1" customWidth="1"/>
  </cols>
  <sheetData>
    <row r="2" spans="1:16" s="9" customFormat="1" x14ac:dyDescent="0.25">
      <c r="A2" s="12" t="s">
        <v>96</v>
      </c>
      <c r="B2" s="11"/>
      <c r="C2" s="11"/>
      <c r="D2" s="11"/>
      <c r="E2" s="11"/>
      <c r="F2" s="11"/>
      <c r="G2" s="11"/>
      <c r="H2" s="11"/>
      <c r="I2" s="11"/>
      <c r="J2" s="11"/>
      <c r="K2" s="11"/>
      <c r="L2" s="11"/>
      <c r="M2" s="11"/>
      <c r="N2" s="11"/>
      <c r="O2" s="11"/>
      <c r="P2" s="11"/>
    </row>
    <row r="4" spans="1:16" s="9" customFormat="1" x14ac:dyDescent="0.25">
      <c r="B4" s="10" t="s">
        <v>74</v>
      </c>
      <c r="C4" s="18">
        <f>Variables!_xlnm.Criteria</f>
        <v>0</v>
      </c>
      <c r="G4" s="10" t="s">
        <v>92</v>
      </c>
    </row>
    <row r="5" spans="1:16" s="9" customFormat="1" x14ac:dyDescent="0.25">
      <c r="G5" s="10"/>
    </row>
    <row r="6" spans="1:16" x14ac:dyDescent="0.25">
      <c r="B6" s="69">
        <f>Variables!C7</f>
        <v>0</v>
      </c>
      <c r="C6" s="5" t="s">
        <v>0</v>
      </c>
      <c r="D6" s="5" t="s">
        <v>2</v>
      </c>
      <c r="E6" s="5" t="s">
        <v>3</v>
      </c>
      <c r="G6" s="9"/>
      <c r="H6" s="9" t="s">
        <v>10</v>
      </c>
      <c r="I6" s="9" t="s">
        <v>93</v>
      </c>
      <c r="J6" s="9" t="s">
        <v>94</v>
      </c>
      <c r="K6" s="9" t="s">
        <v>95</v>
      </c>
    </row>
    <row r="7" spans="1:16" x14ac:dyDescent="0.25">
      <c r="B7" s="69"/>
      <c r="C7" s="5" t="s">
        <v>1</v>
      </c>
      <c r="D7" s="5" t="s">
        <v>5</v>
      </c>
      <c r="E7" s="5" t="s">
        <v>4</v>
      </c>
      <c r="G7" s="3" t="s">
        <v>91</v>
      </c>
      <c r="H7" s="37" t="str">
        <f>IFERROR(IF(Variables!$C$20="NULL","-",VLOOKUP(Variables!$C$6,'Aircraft Schedule Info'!$N$7:$Q$11,3,FALSE)),"NULL")</f>
        <v>NULL</v>
      </c>
      <c r="I7" s="37" t="str">
        <f>IFERROR($H7/IF(Variables!$C$19='Aircraft Schedule Info'!$K$7,VLOOKUP(I$6,'Aircraft Schedule Info'!$K$11:$L$13,2,FALSE),VLOOKUP(I$6,'Aircraft Schedule Info'!$K$16:$L$18,2,FALSE)),"NULL")</f>
        <v>NULL</v>
      </c>
      <c r="J7" s="37" t="str">
        <f>IFERROR($H7/IF(Variables!$C$19='Aircraft Schedule Info'!$K$7,VLOOKUP(J$6,'Aircraft Schedule Info'!$K$11:$L$13,2,FALSE),VLOOKUP(J$6,'Aircraft Schedule Info'!$K$16:$L$18,2,FALSE)),"NULL")</f>
        <v>NULL</v>
      </c>
      <c r="K7" s="37" t="str">
        <f>IFERROR($H7/IF(Variables!$C$19='Aircraft Schedule Info'!$K$7,VLOOKUP(K$6,'Aircraft Schedule Info'!$K$11:$L$13,2,FALSE),VLOOKUP(K$6,'Aircraft Schedule Info'!$K$16:$L$18,2,FALSE)),"NULL")</f>
        <v>NULL</v>
      </c>
    </row>
    <row r="8" spans="1:16" x14ac:dyDescent="0.25">
      <c r="B8" s="2" t="s">
        <v>6</v>
      </c>
      <c r="C8" s="33" t="str">
        <f>IFERROR(INDEX('Aircraft Schedule Info'!D$7:D$35,MATCH($B$6,Aircraft_Call_Sign,0)),"NULL")</f>
        <v>NULL</v>
      </c>
      <c r="D8" s="33" t="str">
        <f>IFERROR(INDEX('Aircraft Schedule Info'!E$7:E$35,MATCH($B$6,Aircraft_Call_Sign,0)), "NULL")</f>
        <v>NULL</v>
      </c>
      <c r="E8" s="33" t="str">
        <f>IFERROR(C8*D8, "NULL")</f>
        <v>NULL</v>
      </c>
      <c r="G8" s="3" t="s">
        <v>123</v>
      </c>
      <c r="H8" s="37" t="str">
        <f>IFERROR(IF(Variables!$C$20="NULL","-",VLOOKUP(Variables!$C$6,'Aircraft Schedule Info'!$N$7:$Q$11,4,FALSE)),"NULL")</f>
        <v>NULL</v>
      </c>
      <c r="I8" s="37" t="str">
        <f>IFERROR($H8/IF(Variables!$C$19='Aircraft Schedule Info'!$K$7,VLOOKUP(I$6,'Aircraft Schedule Info'!$K$11:$L$13,2,FALSE),VLOOKUP(I$6,'Aircraft Schedule Info'!$K$16:$L$18,2,FALSE)),"NULL")</f>
        <v>NULL</v>
      </c>
      <c r="J8" s="37" t="str">
        <f>IFERROR($H8/IF(Variables!$C$19='Aircraft Schedule Info'!$K$7,VLOOKUP(J$6,'Aircraft Schedule Info'!$K$11:$L$13,2,FALSE),VLOOKUP(J$6,'Aircraft Schedule Info'!$K$16:$L$18,2,FALSE)),"NULL")</f>
        <v>NULL</v>
      </c>
      <c r="K8" s="37" t="str">
        <f>IFERROR($H8/IF(Variables!$C$19='Aircraft Schedule Info'!$K$7,VLOOKUP(K$6,'Aircraft Schedule Info'!$K$11:$L$13,2,FALSE),VLOOKUP(K$6,'Aircraft Schedule Info'!$K$16:$L$18,2,FALSE)),"NULL")</f>
        <v>NULL</v>
      </c>
    </row>
    <row r="9" spans="1:16" x14ac:dyDescent="0.25">
      <c r="B9" s="6" t="s">
        <v>77</v>
      </c>
      <c r="C9" s="33">
        <f>Variables!C11</f>
        <v>0</v>
      </c>
      <c r="D9" s="33" t="str">
        <f>IFERROR(INDEX('Aircraft Schedule Info'!F$7:F$35,MATCH($B$6,Aircraft_Call_Sign,0)),"NULL")</f>
        <v>NULL</v>
      </c>
      <c r="E9" s="33" t="str">
        <f t="shared" ref="E9:E18" si="0">IFERROR(C9*D9, "NULL")</f>
        <v>NULL</v>
      </c>
      <c r="G9" s="9"/>
      <c r="H9" s="9"/>
      <c r="I9" s="9"/>
      <c r="J9" s="9"/>
    </row>
    <row r="10" spans="1:16" s="9" customFormat="1" x14ac:dyDescent="0.25">
      <c r="B10" s="4" t="s">
        <v>78</v>
      </c>
      <c r="C10" s="33">
        <f>Variables!C12</f>
        <v>0</v>
      </c>
      <c r="D10" s="33" t="str">
        <f>IFERROR(INDEX('Aircraft Schedule Info'!F$7:F$35,MATCH($B$6,Aircraft_Call_Sign,0)),"NULL")</f>
        <v>NULL</v>
      </c>
      <c r="E10" s="33" t="str">
        <f t="shared" si="0"/>
        <v>NULL</v>
      </c>
      <c r="K10"/>
    </row>
    <row r="11" spans="1:16" x14ac:dyDescent="0.25">
      <c r="B11" s="4" t="s">
        <v>86</v>
      </c>
      <c r="C11" s="33">
        <f>Variables!C13</f>
        <v>0</v>
      </c>
      <c r="D11" s="33" t="str">
        <f>IFERROR(INDEX('Aircraft Schedule Info'!G$7:G$35,MATCH($B$6,Aircraft_Call_Sign,0)),"NULL")</f>
        <v>NULL</v>
      </c>
      <c r="E11" s="33" t="str">
        <f t="shared" si="0"/>
        <v>NULL</v>
      </c>
      <c r="G11" s="10" t="s">
        <v>111</v>
      </c>
      <c r="H11" s="9"/>
      <c r="I11" s="9"/>
      <c r="J11" s="9"/>
      <c r="K11" s="9"/>
    </row>
    <row r="12" spans="1:16" s="9" customFormat="1" x14ac:dyDescent="0.25">
      <c r="B12" s="4" t="s">
        <v>87</v>
      </c>
      <c r="C12" s="33">
        <f>Variables!C14</f>
        <v>0</v>
      </c>
      <c r="D12" s="33" t="str">
        <f>IFERROR(INDEX('Aircraft Schedule Info'!G$7:G$35,MATCH($B$6,Aircraft_Call_Sign,0)),"NULL")</f>
        <v>NULL</v>
      </c>
      <c r="E12" s="33" t="str">
        <f t="shared" si="0"/>
        <v>NULL</v>
      </c>
      <c r="H12" s="9" t="s">
        <v>114</v>
      </c>
      <c r="I12" s="9" t="s">
        <v>197</v>
      </c>
      <c r="J12" s="9" t="s">
        <v>115</v>
      </c>
      <c r="K12"/>
    </row>
    <row r="13" spans="1:16" x14ac:dyDescent="0.25">
      <c r="B13" s="2" t="s">
        <v>8</v>
      </c>
      <c r="C13" s="33">
        <f>Variables!C15</f>
        <v>0</v>
      </c>
      <c r="D13" s="33" t="str">
        <f>IFERROR(INDEX('Aircraft Schedule Info'!I$7:I$35,MATCH($B$6,Aircraft_Call_Sign,0)),"NULL")</f>
        <v>NULL</v>
      </c>
      <c r="E13" s="33" t="str">
        <f t="shared" si="0"/>
        <v>NULL</v>
      </c>
      <c r="G13" s="9" t="s">
        <v>113</v>
      </c>
      <c r="H13" s="37" t="str">
        <f>J7</f>
        <v>NULL</v>
      </c>
      <c r="I13" s="13">
        <f>SUM($C$8:$C$13)</f>
        <v>0</v>
      </c>
      <c r="J13" s="19" t="str">
        <f>IFERROR(IF($H13+$I13&lt;VLOOKUP($C$4,'Aircraft Schedule Info'!$N$7:$O$11,2,FALSE),"YES", "NO"),"NULL")</f>
        <v>NULL</v>
      </c>
      <c r="K13" s="9"/>
    </row>
    <row r="14" spans="1:16" x14ac:dyDescent="0.25">
      <c r="B14" s="2" t="s">
        <v>7</v>
      </c>
      <c r="C14" s="34">
        <v>0</v>
      </c>
      <c r="D14" s="33" t="str">
        <f>IFERROR(INDEX('Aircraft Schedule Info'!H$7:H$35,MATCH($B$6,Aircraft_Call_Sign,0)),"NULL")</f>
        <v>NULL</v>
      </c>
      <c r="E14" s="33" t="str">
        <f t="shared" si="0"/>
        <v>NULL</v>
      </c>
      <c r="G14" s="9" t="s">
        <v>112</v>
      </c>
      <c r="H14" s="37" t="str">
        <f>J8</f>
        <v>NULL</v>
      </c>
      <c r="I14" s="13">
        <f>SUM($C$8:$C$13)</f>
        <v>0</v>
      </c>
      <c r="J14" s="19" t="str">
        <f>IFERROR(IF($H14+$I14&lt;VLOOKUP($C$4,'Aircraft Schedule Info'!$N$7:$O$11,2,FALSE),"YES", "NO"),"NULL")</f>
        <v>NULL</v>
      </c>
    </row>
    <row r="15" spans="1:16" x14ac:dyDescent="0.25">
      <c r="B15" s="2" t="s">
        <v>186</v>
      </c>
      <c r="C15" s="33">
        <f>SUM(C8:C14)</f>
        <v>0</v>
      </c>
      <c r="D15" s="35" t="str">
        <f>IFERROR(E15/C15,"NULL")</f>
        <v>NULL</v>
      </c>
      <c r="E15" s="33">
        <f>SUM(E8:E14)</f>
        <v>0</v>
      </c>
      <c r="G15" s="9"/>
      <c r="H15" s="19"/>
      <c r="I15" s="19"/>
      <c r="J15" s="19"/>
    </row>
    <row r="16" spans="1:16" x14ac:dyDescent="0.25">
      <c r="B16" s="2" t="s">
        <v>9</v>
      </c>
      <c r="C16" s="33">
        <f>Variables!C21</f>
        <v>5</v>
      </c>
      <c r="D16" s="33" t="str">
        <f>IFERROR(INDEX('Aircraft Schedule Info'!H$7:H$35,MATCH($B$6,Aircraft_Call_Sign,0)),"NULL")</f>
        <v>NULL</v>
      </c>
      <c r="E16" s="33" t="str">
        <f t="shared" si="0"/>
        <v>NULL</v>
      </c>
      <c r="G16" s="9"/>
      <c r="H16" s="9" t="s">
        <v>117</v>
      </c>
      <c r="I16" s="9" t="s">
        <v>197</v>
      </c>
      <c r="J16" s="9" t="s">
        <v>118</v>
      </c>
      <c r="K16" s="9" t="s">
        <v>209</v>
      </c>
    </row>
    <row r="17" spans="2:11" x14ac:dyDescent="0.25">
      <c r="B17" s="2" t="s">
        <v>187</v>
      </c>
      <c r="C17" s="33">
        <f>C15-C16</f>
        <v>-5</v>
      </c>
      <c r="D17" s="35" t="str">
        <f>IFERROR(E17/C17,"NULL")</f>
        <v>NULL</v>
      </c>
      <c r="E17" s="33" t="str">
        <f>IFERROR(E15-E16,"NULL")</f>
        <v>NULL</v>
      </c>
      <c r="G17" s="3" t="s">
        <v>116</v>
      </c>
      <c r="H17" s="37" t="str">
        <f>IFERROR(VLOOKUP($C$4,'Aircraft Schedule Info'!$N$7:$O$11,2,FALSE),"NULL")</f>
        <v>NULL</v>
      </c>
      <c r="I17" s="13">
        <f>SUM($C$8:$C$13)</f>
        <v>0</v>
      </c>
      <c r="J17" s="37" t="str">
        <f>IFERROR(IF(H17-I17&gt;J8,J8,H17-I17), "NULL")</f>
        <v>NULL</v>
      </c>
      <c r="K17" s="37" t="e">
        <f>IF(Variables!$C$20="NULL","-",J17/IF(Variables!C19='Aircraft Schedule Info'!K7,VLOOKUP(K$16,'Aircraft Schedule Info'!$K$10:$L$13,2,TRUE),VLOOKUP(K$16,'Aircraft Schedule Info'!$K$15:$L$18,2,TRUE)))</f>
        <v>#VALUE!</v>
      </c>
    </row>
    <row r="18" spans="2:11" x14ac:dyDescent="0.25">
      <c r="B18" s="2" t="s">
        <v>188</v>
      </c>
      <c r="C18" s="34">
        <v>0</v>
      </c>
      <c r="D18" s="33" t="str">
        <f>IFERROR(INDEX('Aircraft Schedule Info'!H$7:H$35,MATCH($B$6,Aircraft_Call_Sign,0)),"NULL")</f>
        <v>NULL</v>
      </c>
      <c r="E18" s="33" t="str">
        <f t="shared" si="0"/>
        <v>NULL</v>
      </c>
      <c r="G18" s="9"/>
      <c r="H18" s="9"/>
      <c r="I18" s="9"/>
      <c r="J18" s="9"/>
    </row>
    <row r="19" spans="2:11" x14ac:dyDescent="0.25">
      <c r="B19" s="2" t="s">
        <v>189</v>
      </c>
      <c r="C19" s="33">
        <f>C17-C18</f>
        <v>-5</v>
      </c>
      <c r="D19" s="35" t="str">
        <f>IFERROR(E19/C19,"NULL")</f>
        <v>NULL</v>
      </c>
      <c r="E19" s="33" t="str">
        <f>IFERROR(E17-E18, "NULL")</f>
        <v>NULL</v>
      </c>
      <c r="G19" s="9"/>
    </row>
    <row r="20" spans="2:11" x14ac:dyDescent="0.25">
      <c r="C20" s="36"/>
      <c r="D20" s="36"/>
      <c r="E20" s="36"/>
      <c r="G20" s="9"/>
      <c r="H20" s="9"/>
      <c r="I20" s="9"/>
      <c r="J20" s="9"/>
    </row>
    <row r="21" spans="2:11" s="9" customFormat="1" x14ac:dyDescent="0.25">
      <c r="B21" s="25"/>
      <c r="C21" s="25"/>
      <c r="D21" s="25"/>
      <c r="E21" s="25"/>
      <c r="F21" s="25"/>
      <c r="G21" s="25"/>
      <c r="H21" s="25"/>
      <c r="I21" s="25"/>
      <c r="J21" s="25"/>
      <c r="K21"/>
    </row>
    <row r="22" spans="2:11" x14ac:dyDescent="0.25">
      <c r="B22" s="25"/>
      <c r="C22" s="25"/>
      <c r="D22" s="25"/>
      <c r="E22" s="25"/>
      <c r="F22" s="25"/>
      <c r="G22" s="25"/>
      <c r="H22" s="25"/>
      <c r="I22" s="25"/>
      <c r="J22" s="25"/>
      <c r="K22" s="9"/>
    </row>
    <row r="23" spans="2:11" x14ac:dyDescent="0.25">
      <c r="B23" s="20"/>
      <c r="C23" s="20"/>
      <c r="D23" s="45"/>
      <c r="E23" s="25"/>
      <c r="F23" s="25"/>
      <c r="G23" s="25"/>
      <c r="H23" s="25"/>
      <c r="I23" s="25"/>
      <c r="J23" s="25"/>
    </row>
    <row r="24" spans="2:11" x14ac:dyDescent="0.25">
      <c r="B24" s="20"/>
      <c r="C24" s="20"/>
      <c r="D24" s="20"/>
      <c r="E24" s="25"/>
      <c r="F24" s="25"/>
      <c r="G24" s="25"/>
      <c r="H24" s="25"/>
      <c r="I24" s="25"/>
      <c r="J24" s="25"/>
    </row>
    <row r="25" spans="2:11" x14ac:dyDescent="0.25">
      <c r="B25" s="20" t="s">
        <v>125</v>
      </c>
      <c r="C25" s="20"/>
      <c r="D25" s="20"/>
      <c r="E25" s="25"/>
      <c r="F25" s="25"/>
      <c r="G25" s="25"/>
      <c r="H25" s="25"/>
      <c r="I25" s="25"/>
      <c r="J25" s="25"/>
    </row>
    <row r="26" spans="2:11" s="9" customFormat="1" x14ac:dyDescent="0.25">
      <c r="B26" s="20" t="s">
        <v>36</v>
      </c>
      <c r="C26" s="20">
        <f>IF($C$4=$B26,C17,0)</f>
        <v>0</v>
      </c>
      <c r="D26" s="20">
        <f>IF($C$4=$B26,D17,0)</f>
        <v>0</v>
      </c>
      <c r="E26" s="25"/>
      <c r="F26" s="25"/>
      <c r="G26" s="25"/>
      <c r="H26" s="25"/>
      <c r="I26" s="25"/>
      <c r="J26" s="25"/>
      <c r="K26"/>
    </row>
    <row r="27" spans="2:11" s="9" customFormat="1" x14ac:dyDescent="0.25">
      <c r="B27" s="20" t="s">
        <v>36</v>
      </c>
      <c r="C27" s="20">
        <f>IF($C$4=$B27,C19,0)</f>
        <v>0</v>
      </c>
      <c r="D27" s="20">
        <f>IF($C$4=$B27,D19,0)</f>
        <v>0</v>
      </c>
      <c r="E27" s="25"/>
      <c r="F27" s="25"/>
      <c r="G27" s="25"/>
      <c r="H27" s="25"/>
      <c r="I27" s="25"/>
      <c r="J27" s="25"/>
    </row>
    <row r="28" spans="2:11" s="9" customFormat="1" x14ac:dyDescent="0.25">
      <c r="B28" s="20" t="s">
        <v>119</v>
      </c>
      <c r="C28" s="20">
        <f>IF($C$4=$B28,C17,0)</f>
        <v>0</v>
      </c>
      <c r="D28" s="20">
        <f>IF($C$4=$B28,D17,0)</f>
        <v>0</v>
      </c>
      <c r="E28" s="25"/>
      <c r="F28" s="25"/>
      <c r="G28" s="25"/>
      <c r="H28" s="25"/>
      <c r="I28" s="25"/>
      <c r="J28" s="25"/>
    </row>
    <row r="29" spans="2:11" s="9" customFormat="1" x14ac:dyDescent="0.25">
      <c r="B29" s="20" t="s">
        <v>119</v>
      </c>
      <c r="C29" s="20">
        <f>IF($C$4=$B29,C19,0)</f>
        <v>0</v>
      </c>
      <c r="D29" s="20">
        <f>IF($C$4=$B29,D19,0)</f>
        <v>0</v>
      </c>
      <c r="E29" s="25"/>
      <c r="F29" s="25"/>
      <c r="G29" s="25"/>
      <c r="H29" s="25"/>
      <c r="I29" s="25"/>
      <c r="J29" s="25"/>
    </row>
    <row r="30" spans="2:11" x14ac:dyDescent="0.25">
      <c r="B30" s="20" t="s">
        <v>49</v>
      </c>
      <c r="C30" s="20">
        <f>IF($C$4=$B30,C17,0)</f>
        <v>0</v>
      </c>
      <c r="D30" s="20">
        <f>IF($C$4=$B30,D17,0)</f>
        <v>0</v>
      </c>
      <c r="E30" s="25"/>
      <c r="F30" s="25"/>
      <c r="G30" s="25"/>
      <c r="H30" s="25"/>
      <c r="I30" s="25"/>
      <c r="J30" s="25"/>
      <c r="K30" s="9"/>
    </row>
    <row r="31" spans="2:11" s="9" customFormat="1" x14ac:dyDescent="0.25">
      <c r="B31" s="20" t="s">
        <v>49</v>
      </c>
      <c r="C31" s="20">
        <f>IF($C$4=$B31,C19,0)</f>
        <v>0</v>
      </c>
      <c r="D31" s="20">
        <f>IF($C$4=$B31,D19,0)</f>
        <v>0</v>
      </c>
      <c r="E31" s="25"/>
      <c r="F31" s="25"/>
      <c r="G31" s="25"/>
      <c r="H31" s="25"/>
      <c r="I31" s="25"/>
      <c r="J31" s="25"/>
      <c r="K31"/>
    </row>
    <row r="32" spans="2:11" x14ac:dyDescent="0.25">
      <c r="B32" s="20" t="s">
        <v>231</v>
      </c>
      <c r="C32" s="20">
        <f>IF($C$4=$B32,C17,0)</f>
        <v>0</v>
      </c>
      <c r="D32" s="20">
        <f>IF($C$4=$B32,D17,0)</f>
        <v>0</v>
      </c>
      <c r="E32" s="25"/>
      <c r="F32" s="25"/>
      <c r="G32" s="25"/>
      <c r="H32" s="25"/>
      <c r="I32" s="25"/>
      <c r="J32" s="25"/>
      <c r="K32" s="9"/>
    </row>
    <row r="33" spans="2:10" s="9" customFormat="1" x14ac:dyDescent="0.25">
      <c r="B33" s="20" t="s">
        <v>231</v>
      </c>
      <c r="C33" s="20">
        <f>IF($C$4=$B33,C19,0)</f>
        <v>0</v>
      </c>
      <c r="D33" s="20">
        <f>IF($C$4=$B33,D19,0)</f>
        <v>0</v>
      </c>
      <c r="E33" s="25"/>
      <c r="F33" s="25"/>
      <c r="G33" s="25"/>
      <c r="H33" s="25"/>
      <c r="I33" s="25"/>
      <c r="J33" s="25"/>
    </row>
    <row r="34" spans="2:10" x14ac:dyDescent="0.25">
      <c r="B34" s="20" t="s">
        <v>232</v>
      </c>
      <c r="C34" s="20">
        <f>IF($C$4=$B34,C17,0)</f>
        <v>0</v>
      </c>
      <c r="D34" s="20">
        <f>IF($C$4=$B34,D17,0)</f>
        <v>0</v>
      </c>
      <c r="E34" s="25"/>
      <c r="F34" s="25"/>
      <c r="G34" s="25"/>
      <c r="H34" s="25"/>
      <c r="I34" s="25"/>
      <c r="J34" s="25"/>
    </row>
    <row r="35" spans="2:10" x14ac:dyDescent="0.25">
      <c r="B35" s="20" t="s">
        <v>232</v>
      </c>
      <c r="C35" s="20">
        <f>IF($C$4=$B35,C19,0)</f>
        <v>0</v>
      </c>
      <c r="D35" s="20">
        <f>IF($C$4=$B35,D19,0)</f>
        <v>0</v>
      </c>
      <c r="E35" s="25"/>
      <c r="F35" s="25"/>
      <c r="G35" s="25"/>
      <c r="H35" s="25"/>
      <c r="I35" s="25"/>
      <c r="J35" s="25"/>
    </row>
    <row r="36" spans="2:10" x14ac:dyDescent="0.25">
      <c r="B36" s="25"/>
      <c r="C36" s="25"/>
      <c r="D36" s="25"/>
      <c r="E36" s="25"/>
      <c r="F36" s="25"/>
      <c r="G36" s="25"/>
      <c r="H36" s="25"/>
      <c r="I36" s="25"/>
      <c r="J36" s="25"/>
    </row>
    <row r="37" spans="2:10" x14ac:dyDescent="0.25">
      <c r="B37" s="25"/>
      <c r="C37" s="25"/>
      <c r="D37" s="25"/>
      <c r="E37" s="25"/>
      <c r="F37" s="25"/>
      <c r="G37" s="25"/>
      <c r="H37" s="25"/>
      <c r="I37" s="25"/>
      <c r="J37" s="25"/>
    </row>
    <row r="38" spans="2:10" x14ac:dyDescent="0.25">
      <c r="B38" s="25"/>
      <c r="C38" s="25"/>
      <c r="D38" s="25"/>
      <c r="E38" s="25"/>
      <c r="F38" s="25"/>
      <c r="G38" s="25"/>
      <c r="H38" s="25"/>
      <c r="I38" s="25"/>
      <c r="J38" s="25"/>
    </row>
    <row r="39" spans="2:10" x14ac:dyDescent="0.25">
      <c r="B39" s="25"/>
      <c r="C39" s="25"/>
      <c r="D39" s="25"/>
      <c r="E39" s="25"/>
      <c r="F39" s="25"/>
      <c r="G39" s="25"/>
      <c r="H39" s="25"/>
      <c r="I39" s="25"/>
      <c r="J39" s="25"/>
    </row>
    <row r="40" spans="2:10" x14ac:dyDescent="0.25">
      <c r="B40" s="25"/>
      <c r="C40" s="25"/>
      <c r="D40" s="25"/>
      <c r="E40" s="25"/>
      <c r="F40" s="25"/>
      <c r="G40" s="25"/>
      <c r="H40" s="25"/>
      <c r="I40" s="25"/>
      <c r="J40" s="25"/>
    </row>
    <row r="41" spans="2:10" x14ac:dyDescent="0.25">
      <c r="B41" s="25"/>
      <c r="C41" s="25"/>
      <c r="D41" s="25"/>
      <c r="E41" s="25"/>
      <c r="F41" s="25"/>
      <c r="G41" s="25"/>
      <c r="H41" s="25"/>
      <c r="I41" s="25"/>
      <c r="J41" s="25"/>
    </row>
    <row r="42" spans="2:10" x14ac:dyDescent="0.25">
      <c r="B42" s="25"/>
      <c r="C42" s="25"/>
      <c r="D42" s="25"/>
      <c r="E42" s="25"/>
      <c r="F42" s="25"/>
      <c r="G42" s="25"/>
      <c r="H42" s="25"/>
      <c r="I42" s="25"/>
      <c r="J42" s="25"/>
    </row>
    <row r="43" spans="2:10" x14ac:dyDescent="0.25">
      <c r="B43" s="25"/>
      <c r="C43" s="25"/>
      <c r="D43" s="25"/>
      <c r="E43" s="25"/>
      <c r="F43" s="25"/>
      <c r="G43" s="25"/>
      <c r="H43" s="25"/>
      <c r="I43" s="25"/>
      <c r="J43" s="25"/>
    </row>
    <row r="44" spans="2:10" x14ac:dyDescent="0.25">
      <c r="B44" s="25"/>
      <c r="C44" s="25"/>
      <c r="D44" s="25"/>
      <c r="E44" s="25"/>
      <c r="F44" s="25"/>
      <c r="G44" s="25"/>
      <c r="H44" s="25"/>
      <c r="I44" s="25"/>
      <c r="J44" s="25"/>
    </row>
    <row r="45" spans="2:10" x14ac:dyDescent="0.25">
      <c r="B45" s="25"/>
      <c r="C45" s="25"/>
      <c r="D45" s="25"/>
      <c r="E45" s="25"/>
      <c r="F45" s="25"/>
      <c r="G45" s="25"/>
      <c r="H45" s="25"/>
      <c r="I45" s="25"/>
      <c r="J45" s="25"/>
    </row>
    <row r="46" spans="2:10" x14ac:dyDescent="0.25">
      <c r="B46" s="25"/>
      <c r="C46" s="25"/>
      <c r="D46" s="25"/>
      <c r="E46" s="25"/>
      <c r="F46" s="25"/>
      <c r="G46" s="25"/>
      <c r="H46" s="25"/>
      <c r="I46" s="25"/>
      <c r="J46" s="25"/>
    </row>
    <row r="47" spans="2:10" x14ac:dyDescent="0.25">
      <c r="B47" s="25"/>
      <c r="C47" s="25"/>
      <c r="D47" s="25"/>
      <c r="E47" s="25"/>
      <c r="F47" s="25"/>
      <c r="G47" s="25"/>
      <c r="H47" s="25"/>
      <c r="I47" s="25"/>
      <c r="J47" s="25"/>
    </row>
  </sheetData>
  <mergeCells count="1">
    <mergeCell ref="B6:B7"/>
  </mergeCells>
  <conditionalFormatting sqref="H15:I15 J13:J15">
    <cfRule type="cellIs" dxfId="11" priority="4" operator="equal">
      <formula>"NO"</formula>
    </cfRule>
    <cfRule type="cellIs" dxfId="10" priority="6" operator="equal">
      <formula>"YES"</formula>
    </cfRule>
  </conditionalFormatting>
  <conditionalFormatting sqref="J14:J15 H15:I15">
    <cfRule type="cellIs" dxfId="9" priority="3" operator="equal">
      <formula>"YES"</formula>
    </cfRule>
    <cfRule type="cellIs" dxfId="8" priority="5" operator="equal">
      <formula>"NO"</formula>
    </cfRule>
  </conditionalFormatting>
  <conditionalFormatting sqref="J13">
    <cfRule type="cellIs" dxfId="7" priority="2" operator="equal">
      <formula>"NULL"</formula>
    </cfRule>
  </conditionalFormatting>
  <conditionalFormatting sqref="J14">
    <cfRule type="cellIs" dxfId="6" priority="1" operator="equal">
      <formula>"NULL"</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2:V23"/>
  <sheetViews>
    <sheetView workbookViewId="0">
      <selection activeCell="P37" sqref="P37"/>
    </sheetView>
  </sheetViews>
  <sheetFormatPr defaultRowHeight="15" x14ac:dyDescent="0.25"/>
  <sheetData>
    <row r="2" spans="1:19" s="9" customFormat="1" x14ac:dyDescent="0.25">
      <c r="A2" s="12" t="s">
        <v>99</v>
      </c>
      <c r="B2" s="11"/>
      <c r="C2" s="11"/>
      <c r="D2" s="11"/>
      <c r="E2" s="11"/>
      <c r="F2" s="11"/>
      <c r="G2" s="11"/>
      <c r="H2" s="11"/>
      <c r="I2" s="11"/>
      <c r="J2" s="11"/>
      <c r="K2" s="11"/>
      <c r="L2" s="11"/>
      <c r="M2" s="11"/>
      <c r="N2" s="11"/>
      <c r="O2" s="11"/>
      <c r="P2" s="11"/>
      <c r="Q2" s="11"/>
      <c r="R2" s="11"/>
      <c r="S2" s="11"/>
    </row>
    <row r="23" spans="22:22" x14ac:dyDescent="0.25">
      <c r="V23" s="9"/>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2:S2"/>
  <sheetViews>
    <sheetView topLeftCell="A4" workbookViewId="0">
      <selection activeCell="O40" sqref="O40"/>
    </sheetView>
  </sheetViews>
  <sheetFormatPr defaultRowHeight="15" x14ac:dyDescent="0.25"/>
  <sheetData>
    <row r="2" spans="1:19" s="9" customFormat="1" x14ac:dyDescent="0.25">
      <c r="A2" s="12" t="s">
        <v>97</v>
      </c>
      <c r="B2" s="11"/>
      <c r="C2" s="11"/>
      <c r="D2" s="11"/>
      <c r="E2" s="11"/>
      <c r="F2" s="11"/>
      <c r="G2" s="11"/>
      <c r="H2" s="11"/>
      <c r="I2" s="11"/>
      <c r="J2" s="11"/>
      <c r="K2" s="11"/>
      <c r="L2" s="11"/>
      <c r="M2" s="11"/>
      <c r="N2" s="11"/>
      <c r="O2" s="11"/>
      <c r="P2" s="11"/>
      <c r="Q2" s="11"/>
      <c r="R2" s="11"/>
      <c r="S2" s="11"/>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2:S2"/>
  <sheetViews>
    <sheetView topLeftCell="A4" workbookViewId="0">
      <selection activeCell="T8" sqref="T8"/>
    </sheetView>
  </sheetViews>
  <sheetFormatPr defaultRowHeight="15" x14ac:dyDescent="0.25"/>
  <sheetData>
    <row r="2" spans="1:19" s="9" customFormat="1" x14ac:dyDescent="0.25">
      <c r="A2" s="12" t="s">
        <v>97</v>
      </c>
      <c r="B2" s="11"/>
      <c r="C2" s="11"/>
      <c r="D2" s="11"/>
      <c r="E2" s="11"/>
      <c r="F2" s="11"/>
      <c r="G2" s="11"/>
      <c r="H2" s="11"/>
      <c r="I2" s="11"/>
      <c r="J2" s="11"/>
      <c r="K2" s="11"/>
      <c r="L2" s="11"/>
      <c r="M2" s="11"/>
      <c r="N2" s="11"/>
      <c r="O2" s="11"/>
      <c r="P2" s="11"/>
      <c r="Q2" s="11"/>
      <c r="R2" s="11"/>
      <c r="S2" s="11"/>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2:S2"/>
  <sheetViews>
    <sheetView topLeftCell="A4" workbookViewId="0">
      <selection activeCell="V20" sqref="V20"/>
    </sheetView>
  </sheetViews>
  <sheetFormatPr defaultRowHeight="15" x14ac:dyDescent="0.25"/>
  <sheetData>
    <row r="2" spans="1:19" s="9" customFormat="1" x14ac:dyDescent="0.25">
      <c r="A2" s="12" t="s">
        <v>97</v>
      </c>
      <c r="B2" s="11"/>
      <c r="C2" s="11"/>
      <c r="D2" s="11"/>
      <c r="E2" s="11"/>
      <c r="F2" s="11"/>
      <c r="G2" s="11"/>
      <c r="H2" s="11"/>
      <c r="I2" s="11"/>
      <c r="J2" s="11"/>
      <c r="K2" s="11"/>
      <c r="L2" s="11"/>
      <c r="M2" s="11"/>
      <c r="N2" s="11"/>
      <c r="O2" s="11"/>
      <c r="P2" s="11"/>
      <c r="Q2" s="11"/>
      <c r="R2" s="11"/>
      <c r="S2" s="11"/>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2:S2"/>
  <sheetViews>
    <sheetView topLeftCell="A4" workbookViewId="0">
      <selection activeCell="V7" sqref="V7"/>
    </sheetView>
  </sheetViews>
  <sheetFormatPr defaultRowHeight="15" x14ac:dyDescent="0.25"/>
  <sheetData>
    <row r="2" spans="1:19" s="9" customFormat="1" x14ac:dyDescent="0.25">
      <c r="A2" s="12" t="s">
        <v>97</v>
      </c>
      <c r="B2" s="11"/>
      <c r="C2" s="11"/>
      <c r="D2" s="11"/>
      <c r="E2" s="11"/>
      <c r="F2" s="11"/>
      <c r="G2" s="11"/>
      <c r="H2" s="11"/>
      <c r="I2" s="11"/>
      <c r="J2" s="11"/>
      <c r="K2" s="11"/>
      <c r="L2" s="11"/>
      <c r="M2" s="11"/>
      <c r="N2" s="11"/>
      <c r="O2" s="11"/>
      <c r="P2" s="11"/>
      <c r="Q2" s="11"/>
      <c r="R2" s="11"/>
      <c r="S2" s="11"/>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2:R59"/>
  <sheetViews>
    <sheetView showGridLines="0" zoomScaleNormal="100" workbookViewId="0">
      <selection activeCell="C18" sqref="C18"/>
    </sheetView>
  </sheetViews>
  <sheetFormatPr defaultRowHeight="15" x14ac:dyDescent="0.25"/>
  <cols>
    <col min="1" max="1" width="8.85546875" style="9"/>
    <col min="2" max="2" width="23.140625" bestFit="1" customWidth="1"/>
    <col min="3" max="3" width="20" bestFit="1" customWidth="1"/>
    <col min="4" max="4" width="16.5703125" bestFit="1" customWidth="1"/>
    <col min="5" max="5" width="12.7109375" bestFit="1" customWidth="1"/>
    <col min="6" max="6" width="9.140625" style="9"/>
    <col min="7" max="7" width="26.42578125" bestFit="1" customWidth="1"/>
    <col min="9" max="9" width="15.5703125" bestFit="1" customWidth="1"/>
    <col min="10" max="10" width="12.5703125" bestFit="1" customWidth="1"/>
    <col min="12" max="12" width="9.85546875" bestFit="1" customWidth="1"/>
    <col min="13" max="13" width="10.5703125" style="9" bestFit="1" customWidth="1"/>
    <col min="16" max="16" width="19.42578125" bestFit="1" customWidth="1"/>
    <col min="17" max="17" width="19.42578125" style="9" customWidth="1"/>
    <col min="18" max="18" width="13.5703125" bestFit="1" customWidth="1"/>
  </cols>
  <sheetData>
    <row r="2" spans="1:18" s="9" customFormat="1" x14ac:dyDescent="0.25">
      <c r="A2" s="12" t="s">
        <v>126</v>
      </c>
      <c r="B2" s="11"/>
      <c r="C2" s="11"/>
      <c r="D2" s="11"/>
      <c r="E2" s="11"/>
      <c r="F2" s="11"/>
      <c r="G2" s="11"/>
      <c r="H2" s="11"/>
      <c r="I2" s="11"/>
      <c r="J2" s="11"/>
      <c r="K2" s="11"/>
      <c r="L2" s="11"/>
      <c r="M2" s="11"/>
      <c r="N2" s="11"/>
      <c r="O2" s="11"/>
      <c r="P2" s="11"/>
      <c r="Q2" s="11"/>
      <c r="R2" s="11"/>
    </row>
    <row r="3" spans="1:18" s="9" customFormat="1" x14ac:dyDescent="0.25">
      <c r="D3" s="30" t="s">
        <v>194</v>
      </c>
    </row>
    <row r="4" spans="1:18" x14ac:dyDescent="0.25">
      <c r="B4" s="10" t="s">
        <v>146</v>
      </c>
      <c r="C4" s="18">
        <f>Variables!$C$31</f>
        <v>0</v>
      </c>
      <c r="D4" s="30">
        <f>COUNTIF('Airfields &amp; Performance Factors'!B7:B327,'Performance Calcs &amp; Print Out'!$C$4)</f>
        <v>0</v>
      </c>
    </row>
    <row r="5" spans="1:18" s="9" customFormat="1" x14ac:dyDescent="0.25"/>
    <row r="6" spans="1:18" x14ac:dyDescent="0.25">
      <c r="B6" s="6" t="s">
        <v>52</v>
      </c>
      <c r="C6" s="6" t="s">
        <v>161</v>
      </c>
      <c r="D6" s="6" t="s">
        <v>162</v>
      </c>
      <c r="E6" s="6" t="s">
        <v>163</v>
      </c>
      <c r="G6" s="6" t="s">
        <v>169</v>
      </c>
      <c r="H6" s="6" t="s">
        <v>0</v>
      </c>
      <c r="I6" s="6" t="s">
        <v>148</v>
      </c>
      <c r="J6" s="6" t="s">
        <v>149</v>
      </c>
      <c r="K6" s="6" t="s">
        <v>150</v>
      </c>
      <c r="L6" s="6" t="s">
        <v>151</v>
      </c>
      <c r="M6" s="6" t="s">
        <v>184</v>
      </c>
      <c r="N6" s="6" t="s">
        <v>152</v>
      </c>
      <c r="O6" s="6" t="s">
        <v>153</v>
      </c>
      <c r="P6" s="6" t="s">
        <v>154</v>
      </c>
      <c r="Q6" s="6" t="s">
        <v>160</v>
      </c>
      <c r="R6" s="6" t="s">
        <v>167</v>
      </c>
    </row>
    <row r="7" spans="1:18" x14ac:dyDescent="0.25">
      <c r="A7" s="30"/>
      <c r="B7" s="42">
        <f t="array" ref="B7">IFERROR(INDEX('Airfields &amp; Performance Factors'!C:C,SMALL(IF('Airfields &amp; Performance Factors'!$B:$B=$C$4,ROW('Airfields &amp; Performance Factors'!$B:$B)),ROW('Airfields &amp; Performance Factors'!1:1))),"-")</f>
        <v>0</v>
      </c>
      <c r="C7" s="42">
        <f t="array" ref="C7">IFERROR(INDEX('Airfields &amp; Performance Factors'!D:D,SMALL(IF('Airfields &amp; Performance Factors'!$B:$B=$C$4,ROW('Airfields &amp; Performance Factors'!$B:$B)),ROW('Airfields &amp; Performance Factors'!1:1))),"-")</f>
        <v>0</v>
      </c>
      <c r="D7" s="42">
        <f t="array" ref="D7">IFERROR(INDEX('Airfields &amp; Performance Factors'!E:E,SMALL(IF('Airfields &amp; Performance Factors'!$B:$B=$C$4,ROW('Airfields &amp; Performance Factors'!$B:$B)),ROW('Airfields &amp; Performance Factors'!1:1))),"-")</f>
        <v>0</v>
      </c>
      <c r="E7" s="42">
        <f t="array" ref="E7">IFERROR(INDEX('Airfields &amp; Performance Factors'!F:F,SMALL(IF('Airfields &amp; Performance Factors'!$B:$B=$C$4,ROW('Airfields &amp; Performance Factors'!$B:$B)),ROW('Airfields &amp; Performance Factors'!1:1))),"-")</f>
        <v>0</v>
      </c>
      <c r="G7" s="26">
        <f>IFERROR(Variables!$C$33,"NULL")</f>
        <v>0</v>
      </c>
      <c r="H7" s="26">
        <f>IFERROR(IF(Variables!C$37="yes",G7*INDEX('Airfields &amp; Performance Factors'!$N$7:$N$16,MATCH('Performance Calcs &amp; Print Out'!H$6,'Airfields &amp; Performance Factors'!$M$7:$M$16,0)),0),"NULL")</f>
        <v>0</v>
      </c>
      <c r="I7" s="26">
        <f>IFERROR(IF(AND(Variables!C$38="yes",H7&gt;0),H7*INDEX('Airfields &amp; Performance Factors'!$N$7:$N$16,MATCH('Performance Calcs &amp; Print Out'!I$6,'Airfields &amp; Performance Factors'!$M$7:$M$16,0)),IF(Variables!C$38="no",0,G7*INDEX('Airfields &amp; Performance Factors'!$N$7:$N$16,MATCH('Performance Calcs &amp; Print Out'!I$6,'Airfields &amp; Performance Factors'!$M$7:$M$16,0)))),"NULL")</f>
        <v>0</v>
      </c>
      <c r="J7" s="26">
        <f>IFERROR(IF(AND(Variables!C$39="yes",I7&gt;0),I7*INDEX('Airfields &amp; Performance Factors'!$N$7:$N$16,MATCH('Performance Calcs &amp; Print Out'!J$6,'Airfields &amp; Performance Factors'!$M$7:$M$16,0)),IF(AND(Variables!C$39="yes",I7=0,H7=0),G7*INDEX('Airfields &amp; Performance Factors'!$N$7:$N$16,MATCH('Performance Calcs &amp; Print Out'!J$6,'Airfields &amp; Performance Factors'!$M$7:$M$16,0)),IF(AND(Variables!C$39="yes",I7=0,H7&gt;0),H7*INDEX('Airfields &amp; Performance Factors'!$N$7:$N$16,MATCH('Performance Calcs &amp; Print Out'!J$6,'Airfields &amp; Performance Factors'!$M$7:$M$16,0)),IF(Variables!C$39="no",0,"ERROR")))),"NULL")</f>
        <v>0</v>
      </c>
      <c r="K7" s="26">
        <f>IFERROR(IF(AND(Variables!C$40="yes",J7&gt;0),J7*INDEX('Airfields &amp; Performance Factors'!$N$7:$N$16,MATCH('Performance Calcs &amp; Print Out'!K$6,'Airfields &amp; Performance Factors'!$M$7:$M$16,0)),IF(AND(Variables!C$40="yes",J7=0,I7=0,H7=0),G7*INDEX('Airfields &amp; Performance Factors'!$N$7:$N$16,MATCH('Performance Calcs &amp; Print Out'!K$6,'Airfields &amp; Performance Factors'!$M$7:$M$16,0)),IF(AND(Variables!C$40="yes",J7=0,I7&gt;0),I7*INDEX('Airfields &amp; Performance Factors'!$N$7:$N$16,MATCH('Performance Calcs &amp; Print Out'!K$6,'Airfields &amp; Performance Factors'!$M$7:$M$16,0)),IF(AND(Variables!C$40="yes",J7=0,I7=0,H7&gt;0),H7*INDEX('Airfields &amp; Performance Factors'!$N$7:$N$16,MATCH('Performance Calcs &amp; Print Out'!K$6,'Airfields &amp; Performance Factors'!$M$7:$M$16,0)),IF(Variables!C$40="no",0,"ERROR"))))),"NULL")</f>
        <v>0</v>
      </c>
      <c r="L7" s="26">
        <f>IFERROR(IF(AND(Variables!C$41="yes",K7&gt;0),K7*INDEX('Airfields &amp; Performance Factors'!$N$7:$N$16,MATCH('Performance Calcs &amp; Print Out'!L$6,'Airfields &amp; Performance Factors'!$M$7:$M$16,0)),IF(AND(Variables!C$41="yes",K7=0,J7=0,I7=0,H7=0),G7*INDEX('Airfields &amp; Performance Factors'!$N$7:$N$16,MATCH('Performance Calcs &amp; Print Out'!L$6,'Airfields &amp; Performance Factors'!$M$7:$M$16,0)),IF(AND(Variables!C$41="yes",K7=0,J7&gt;0),J7*INDEX('Airfields &amp; Performance Factors'!$N$7:$N$16,MATCH('Performance Calcs &amp; Print Out'!L$6,'Airfields &amp; Performance Factors'!$M$7:$M$16,0)),IF(AND(Variables!C$41="yes",K7=0,J7=0,I7&gt;0),I7*INDEX('Airfields &amp; Performance Factors'!$N$7:$N$16,MATCH('Performance Calcs &amp; Print Out'!L$6,'Airfields &amp; Performance Factors'!$M$7:$M$16,0)),IF(AND(Variables!C$41="yes",K7=0,J7=0,I7=0,H7&gt;0),H7*INDEX('Airfields &amp; Performance Factors'!$N$7:$N$16,MATCH('Performance Calcs &amp; Print Out'!L$6,'Airfields &amp; Performance Factors'!$M$7:$M$16,0)),IF(Variables!C$41="no",0,"ERROR")))))),"NULL")</f>
        <v>0</v>
      </c>
      <c r="M7" s="26">
        <f>IFERROR(IF(AND(Variables!C$42="yes",L7&gt;0),L7*INDEX('Airfields &amp; Performance Factors'!$N$7:$N$16,MATCH('Performance Calcs &amp; Print Out'!M$6,'Airfields &amp; Performance Factors'!$M$7:$M$16,0)),IF(AND(Variables!C$42="yes",L7=0,K7=0,J7=0,I7=0,H7=0),G7*INDEX('Airfields &amp; Performance Factors'!$N$7:$N$16,MATCH('Performance Calcs &amp; Print Out'!M$6,'Airfields &amp; Performance Factors'!$M$7:$M$16,0)),IF(AND(Variables!C$42="yes",L7=0,K7&gt;0),K7*INDEX('Airfields &amp; Performance Factors'!$N$7:$N$16,MATCH('Performance Calcs &amp; Print Out'!M$6,'Airfields &amp; Performance Factors'!$M$7:$M$16,0)),IF(AND(Variables!C$42="yes",L7=0,K7=0,J7&gt;0),J7*INDEX('Airfields &amp; Performance Factors'!$N$7:$N$16,MATCH('Performance Calcs &amp; Print Out'!M$6,'Airfields &amp; Performance Factors'!$M$7:$M$16,0)),IF(AND(Variables!C$42="yes",L7=0,K7=0,J7=0,I7&gt;0),I7*INDEX('Airfields &amp; Performance Factors'!$N$7:$N$16,MATCH('Performance Calcs &amp; Print Out'!M$6,'Airfields &amp; Performance Factors'!$M$7:$M$16,0)),IF(AND(Variables!C$42="yes",L7=0,K7=0,J7=0,I7=0,H7&gt;0),H7*INDEX('Airfields &amp; Performance Factors'!$N$7:$N$16,MATCH('Performance Calcs &amp; Print Out'!M$6,'Airfields &amp; Performance Factors'!$M$7:$M$16,0)),IF(Variables!C$42="no",0,"ERROR"))))))),"NULL")</f>
        <v>0</v>
      </c>
      <c r="N7" s="26">
        <f>IFERROR(IF(AND(Variables!C$43="yes",M7&gt;0),M7*INDEX('Airfields &amp; Performance Factors'!$N$7:$N$16,MATCH('Performance Calcs &amp; Print Out'!N$6,'Airfields &amp; Performance Factors'!$M$7:$M$16,0)),IF(AND(Variables!C$43="yes",M7=0,L7=0,K7=0,J7=0,I7=0,H7=0),G7*INDEX('Airfields &amp; Performance Factors'!$N$7:$N$16,MATCH('Performance Calcs &amp; Print Out'!N$6,'Airfields &amp; Performance Factors'!$M$7:$M$16,0)),IF(AND(Variables!C$43="yes",M7=0,L7=0,K7&gt;0),K7*INDEX('Airfields &amp; Performance Factors'!$N$7:$N$16,MATCH('Performance Calcs &amp; Print Out'!N$6,'Airfields &amp; Performance Factors'!$M$7:$M$16,0)),IF(AND(Variables!C$43="yes",M7=0,L7=0,K7=0,J7&gt;0),J7*INDEX('Airfields &amp; Performance Factors'!$N$7:$N$16,MATCH('Performance Calcs &amp; Print Out'!N$6,'Airfields &amp; Performance Factors'!$M$7:$M$16,0)),IF(AND(Variables!C$43="yes",M7=0,L7=0,K7=0,J7=0,I7&gt;0),I7*INDEX('Airfields &amp; Performance Factors'!$N$7:$N$16,MATCH('Performance Calcs &amp; Print Out'!N$6,'Airfields &amp; Performance Factors'!$M$7:$M$16,0)),IF(AND(Variables!C$43="yes",M7=0,L7=0,K7=0,J7=0,I7=0,H7&gt;0),H7*INDEX('Airfields &amp; Performance Factors'!$N$7:$N$16,MATCH('Performance Calcs &amp; Print Out'!N$6,'Airfields &amp; Performance Factors'!$M$7:$M$16,0)),IF(Variables!C$43="no",0,"ERROR"))))))),"NULL")</f>
        <v>0</v>
      </c>
      <c r="O7" s="26">
        <f>IFERROR(IF(AND(Variables!C$44="yes",N7&gt;0),N7*INDEX('Airfields &amp; Performance Factors'!$N$7:$N$16,MATCH('Performance Calcs &amp; Print Out'!O$6,'Airfields &amp; Performance Factors'!$M$7:$M$16,0)),IF(AND(Variables!C$44="yes",N7=0,M7=0,L7=0,K7=0,J7=0,I7=0,H7=0),G7*INDEX('Airfields &amp; Performance Factors'!$N$7:$N$16,MATCH('Performance Calcs &amp; Print Out'!O$6,'Airfields &amp; Performance Factors'!$M$7:$M$16,0)),IF(AND(Variables!C$44="yes",N7=0,M7&gt;0),M7*INDEX('Airfields &amp; Performance Factors'!$N$7:$N$16,MATCH('Performance Calcs &amp; Print Out'!O$6,'Airfields &amp; Performance Factors'!$M$7:$M$16,0)),IF(AND(Variables!C$44="yes",N7=0,M7=0,L7&gt;0),L7*INDEX('Airfields &amp; Performance Factors'!$N$7:$N$16,MATCH('Performance Calcs &amp; Print Out'!O$6,'Airfields &amp; Performance Factors'!$M$7:$M$16,0)),IF(AND(Variables!C$44="yes",N7=0,M7=0,L7=0,K7&gt;0),K7*INDEX('Airfields &amp; Performance Factors'!$N$7:$N$16,MATCH('Performance Calcs &amp; Print Out'!O$6,'Airfields &amp; Performance Factors'!$M$7:$M$16,0)),IF(AND(Variables!C$44="yes",N7=0,M7=0,L7=0,K7=0,J7&gt;0),J7*INDEX('Airfields &amp; Performance Factors'!$N$7:$N$16,MATCH('Performance Calcs &amp; Print Out'!O$6,'Airfields &amp; Performance Factors'!$M$7:$M$16,0)),IF(AND(Variables!C$44="yes",N7=0,M7=0,L7=0,K7=0,J7=0,I7&gt;0),I7*INDEX('Airfields &amp; Performance Factors'!$N$7:$N$16,MATCH('Performance Calcs &amp; Print Out'!O$6,'Airfields &amp; Performance Factors'!$M$7:$M$16,0)),IF(AND(Variables!C$44="yes",N7=0,M7=0,L7=0,K7=0,J7=0,I7=0,H7&gt;0),H7*INDEX('Airfields &amp; Performance Factors'!$N$7:$N$16,MATCH('Performance Calcs &amp; Print Out'!O$6,'Airfields &amp; Performance Factors'!$M$7:$M$16,0)),IF(Variables!C$44="no",0,"ERROR"))))))))),"NULL")</f>
        <v>0</v>
      </c>
      <c r="P7" s="26">
        <f>IFERROR(IF(AND(Variables!C$45="yes",O7&gt;0),O7*INDEX('Airfields &amp; Performance Factors'!$N$7:$N$16,MATCH('Performance Calcs &amp; Print Out'!P$6,'Airfields &amp; Performance Factors'!$M$7:$M$16,0)),IF(AND(Variables!C$45="yes",O7=0,N7=0,L7=0,K7=0,J7=0,I7=0,H7=0),G7*INDEX('Airfields &amp; Performance Factors'!$N$7:$N$16,MATCH('Performance Calcs &amp; Print Out'!P$6,'Airfields &amp; Performance Factors'!$M$7:$M$16,0)),IF(AND(Variables!C$45="yes",O7=0,N7&gt;0),N7*INDEX('Airfields &amp; Performance Factors'!$N$7:$N$16,MATCH('Performance Calcs &amp; Print Out'!P$6,'Airfields &amp; Performance Factors'!$M$7:$M$16,0)),IF(AND(Variables!C$45="yes",O7=0,N7=0,M7&gt;0),M7*INDEX('Airfields &amp; Performance Factors'!$N$7:$N$16,MATCH('Performance Calcs &amp; Print Out'!P$6,'Airfields &amp; Performance Factors'!$M$7:$M$16,0)),IF(AND(Variables!C$45="yes",O7=0,N7=0,M7=0,L7&gt;0),L7*INDEX('Airfields &amp; Performance Factors'!$N$7:$N$16,MATCH('Performance Calcs &amp; Print Out'!P$6,'Airfields &amp; Performance Factors'!$M$7:$M$16,0)),IF(AND(Variables!C$45="yes",O7=0,N7=0,M7=0,L7=0,K7&gt;0),K7*INDEX('Airfields &amp; Performance Factors'!$N$7:$N$16,MATCH('Performance Calcs &amp; Print Out'!P$6,'Airfields &amp; Performance Factors'!$M$7:$M$16,0)),IF(AND(Variables!C$45="yes",O7=0,N7=0,M7=0,L7=0,K7=0,J7&gt;0),J7*INDEX('Airfields &amp; Performance Factors'!$N$7:$N$16,MATCH('Performance Calcs &amp; Print Out'!P$6,'Airfields &amp; Performance Factors'!$M$7:$M$16,0)),IF(AND(Variables!C$45="yes",O7=0,N7=0,M7=0,L7=0,K7=0,J7=0,I7&gt;0),I7*INDEX('Airfields &amp; Performance Factors'!$N$7:$N$16,MATCH('Performance Calcs &amp; Print Out'!P$6,'Airfields &amp; Performance Factors'!$M$7:$M$16,0)),IF(AND(Variables!C$45="yes",O7=0,N7=0,M7=0,L7=0,K7=0,J7=0,I7=0,H7&gt;0),H7*INDEX('Airfields &amp; Performance Factors'!$N$7:$N$16,MATCH('Performance Calcs &amp; Print Out'!P$6,'Airfields &amp; Performance Factors'!$M$7:$M$16,0)),IF(Variables!C$45="no",0,"ERROR")))))))))),"NULL")</f>
        <v>0</v>
      </c>
      <c r="Q7" s="26" t="str">
        <f>IFERROR(IF(P7&gt;0,P7*INDEX('Airfields &amp; Performance Factors'!$N$7:$N$16,MATCH('Performance Calcs &amp; Print Out'!Q$6,'Airfields &amp; Performance Factors'!$M$7:$M$16,0)),IF(O7&gt;0,O7*INDEX('Airfields &amp; Performance Factors'!$N$7:$N$16,MATCH('Performance Calcs &amp; Print Out'!Q$6,'Airfields &amp; Performance Factors'!$M$7:$M$16,0)),IF(N7&gt;0,N7*INDEX('Airfields &amp; Performance Factors'!$N$7:$N$16,MATCH('Performance Calcs &amp; Print Out'!Q$6,'Airfields &amp; Performance Factors'!$M$7:$M$16,0)),IF(M7&gt;0,M7*INDEX('Airfields &amp; Performance Factors'!$N$7:$N$16,MATCH('Performance Calcs &amp; Print Out'!Q$6,'Airfields &amp; Performance Factors'!$M$7:$M$16,0)),IF(L7&gt;0,L7*INDEX('Airfields &amp; Performance Factors'!$N$7:$N$16,MATCH('Performance Calcs &amp; Print Out'!Q$6,'Airfields &amp; Performance Factors'!$M$7:$M$16,0)),IF(K7&gt;0,K7*INDEX('Airfields &amp; Performance Factors'!$N$7:$N$16,MATCH('Performance Calcs &amp; Print Out'!Q$6,'Airfields &amp; Performance Factors'!$M$7:$M$16,0)),IF(J7&gt;0,J7*INDEX('Airfields &amp; Performance Factors'!$N$7:$N$16,MATCH('Performance Calcs &amp; Print Out'!Q$6,'Airfields &amp; Performance Factors'!$M$7:$M$16,0)),IF(I7&gt;0,I7*INDEX('Airfields &amp; Performance Factors'!$N$7:$N$16,MATCH('Performance Calcs &amp; Print Out'!Q$6,'Airfields &amp; Performance Factors'!$M$7:$M$16,0)),IF(H7&gt;0,H7*INDEX('Airfields &amp; Performance Factors'!$N$7:$N$16,MATCH('Performance Calcs &amp; Print Out'!Q$6,'Airfields &amp; Performance Factors'!$M$7:$M$16,0)),IF(G7&gt;0,G7*INDEX('Airfields &amp; Performance Factors'!$N$7:$N$16,MATCH('Performance Calcs &amp; Print Out'!Q$6,'Airfields &amp; Performance Factors'!$M$7:$M$16,0)),"ERROR")))))))))),"NULL")</f>
        <v>ERROR</v>
      </c>
      <c r="R7" s="27" t="str">
        <f>IFERROR(IF(OR(D7=0,D7="-",Q7="ERROR"),"-",IF(Q7&lt;D7,"SAFE","AVOID")),"-")</f>
        <v>-</v>
      </c>
    </row>
    <row r="8" spans="1:18" x14ac:dyDescent="0.25">
      <c r="A8" s="30"/>
      <c r="B8" s="42">
        <f t="array" ref="B8">IFERROR(INDEX('Airfields &amp; Performance Factors'!C:C,SMALL(IF('Airfields &amp; Performance Factors'!$B:$B=$C$4,ROW('Airfields &amp; Performance Factors'!$B:$B)),ROW('Airfields &amp; Performance Factors'!2:2))),"-")</f>
        <v>0</v>
      </c>
      <c r="C8" s="42">
        <f t="array" ref="C8">IFERROR(INDEX('Airfields &amp; Performance Factors'!D:D,SMALL(IF('Airfields &amp; Performance Factors'!$B:$B=$C$4,ROW('Airfields &amp; Performance Factors'!$B:$B)),ROW('Airfields &amp; Performance Factors'!2:2))),"-")</f>
        <v>0</v>
      </c>
      <c r="D8" s="42">
        <f t="array" ref="D8">IFERROR(INDEX('Airfields &amp; Performance Factors'!E:E,SMALL(IF('Airfields &amp; Performance Factors'!$B:$B=$C$4,ROW('Airfields &amp; Performance Factors'!$B:$B)),ROW('Airfields &amp; Performance Factors'!2:2))),"-")</f>
        <v>0</v>
      </c>
      <c r="E8" s="42">
        <f t="array" ref="E8">IFERROR(INDEX('Airfields &amp; Performance Factors'!F:F,SMALL(IF('Airfields &amp; Performance Factors'!$B:$B=$C$4,ROW('Airfields &amp; Performance Factors'!$B:$B)),ROW('Airfields &amp; Performance Factors'!2:2))),"-")</f>
        <v>0</v>
      </c>
      <c r="G8" s="28">
        <f>IFERROR(Variables!$C$33,"NULL")</f>
        <v>0</v>
      </c>
      <c r="H8" s="28">
        <f>IFERROR(IF(Variables!C$37="yes",G8*INDEX('Airfields &amp; Performance Factors'!$N$7:$N$16,MATCH('Performance Calcs &amp; Print Out'!H$6,'Airfields &amp; Performance Factors'!$M$7:$M$16,0)),0),"NULL")</f>
        <v>0</v>
      </c>
      <c r="I8" s="28">
        <f>IFERROR(IF(AND(Variables!C$38="yes",H8&gt;0),H8*INDEX('Airfields &amp; Performance Factors'!$N$7:$N$16,MATCH('Performance Calcs &amp; Print Out'!I$6,'Airfields &amp; Performance Factors'!$M$7:$M$16,0)),IF(Variables!C$38="no",0,G8*INDEX('Airfields &amp; Performance Factors'!$N$7:$N$16,MATCH('Performance Calcs &amp; Print Out'!I$6,'Airfields &amp; Performance Factors'!$M$7:$M$16,0)))),"NULL")</f>
        <v>0</v>
      </c>
      <c r="J8" s="28">
        <f>IFERROR(IF(AND(Variables!C$39="yes",I8&gt;0),I8*INDEX('Airfields &amp; Performance Factors'!$N$7:$N$16,MATCH('Performance Calcs &amp; Print Out'!J$6,'Airfields &amp; Performance Factors'!$M$7:$M$16,0)),IF(AND(Variables!C$39="yes",I8=0,H8=0),G8*INDEX('Airfields &amp; Performance Factors'!$N$7:$N$16,MATCH('Performance Calcs &amp; Print Out'!J$6,'Airfields &amp; Performance Factors'!$M$7:$M$16,0)),IF(AND(Variables!C$39="yes",I8=0,H8&gt;0),H8*INDEX('Airfields &amp; Performance Factors'!$N$7:$N$16,MATCH('Performance Calcs &amp; Print Out'!J$6,'Airfields &amp; Performance Factors'!$M$7:$M$16,0)),IF(Variables!C$39="no",0,"ERROR")))),"NULL")</f>
        <v>0</v>
      </c>
      <c r="K8" s="28">
        <f>IFERROR(IF(AND(Variables!C$40="yes",J8&gt;0),J8*INDEX('Airfields &amp; Performance Factors'!$N$7:$N$16,MATCH('Performance Calcs &amp; Print Out'!K$6,'Airfields &amp; Performance Factors'!$M$7:$M$16,0)),IF(AND(Variables!C$40="yes",J8=0,I8=0,H8=0),G8*INDEX('Airfields &amp; Performance Factors'!$N$7:$N$16,MATCH('Performance Calcs &amp; Print Out'!K$6,'Airfields &amp; Performance Factors'!$M$7:$M$16,0)),IF(AND(Variables!C$40="yes",J8=0,I8&gt;0),I8*INDEX('Airfields &amp; Performance Factors'!$N$7:$N$16,MATCH('Performance Calcs &amp; Print Out'!K$6,'Airfields &amp; Performance Factors'!$M$7:$M$16,0)),IF(AND(Variables!C$40="yes",J8=0,I8=0,H8&gt;0),H8*INDEX('Airfields &amp; Performance Factors'!$N$7:$N$16,MATCH('Performance Calcs &amp; Print Out'!K$6,'Airfields &amp; Performance Factors'!$M$7:$M$16,0)),IF(Variables!C$40="no",0,"ERROR"))))),"NULL")</f>
        <v>0</v>
      </c>
      <c r="L8" s="28">
        <f>IFERROR(IF(AND(Variables!C$41="yes",K8&gt;0),K8*INDEX('Airfields &amp; Performance Factors'!$N$7:$N$16,MATCH('Performance Calcs &amp; Print Out'!L$6,'Airfields &amp; Performance Factors'!$M$7:$M$16,0)),IF(AND(Variables!C$41="yes",K8=0,J8=0,I8=0,H8=0),G8*INDEX('Airfields &amp; Performance Factors'!$N$7:$N$16,MATCH('Performance Calcs &amp; Print Out'!L$6,'Airfields &amp; Performance Factors'!$M$7:$M$16,0)),IF(AND(Variables!C$41="yes",K8=0,J8&gt;0),J8*INDEX('Airfields &amp; Performance Factors'!$N$7:$N$16,MATCH('Performance Calcs &amp; Print Out'!L$6,'Airfields &amp; Performance Factors'!$M$7:$M$16,0)),IF(AND(Variables!C$41="yes",K8=0,J8=0,I8&gt;0),I8*INDEX('Airfields &amp; Performance Factors'!$N$7:$N$16,MATCH('Performance Calcs &amp; Print Out'!L$6,'Airfields &amp; Performance Factors'!$M$7:$M$16,0)),IF(AND(Variables!C$41="yes",K8=0,J8=0,I8=0,H8&gt;0),H8*INDEX('Airfields &amp; Performance Factors'!$N$7:$N$16,MATCH('Performance Calcs &amp; Print Out'!L$6,'Airfields &amp; Performance Factors'!$M$7:$M$16,0)),IF(Variables!C$41="no",0,"ERROR")))))),"NULL")</f>
        <v>0</v>
      </c>
      <c r="M8" s="28">
        <f>IFERROR(IF(AND(Variables!C$42="yes",L8&gt;0),L8*INDEX('Airfields &amp; Performance Factors'!$N$7:$N$16,MATCH('Performance Calcs &amp; Print Out'!M$6,'Airfields &amp; Performance Factors'!$M$7:$M$16,0)),IF(AND(Variables!C$42="yes",L8=0,K8=0,J8=0,I8=0,H8=0),G8*INDEX('Airfields &amp; Performance Factors'!$N$7:$N$16,MATCH('Performance Calcs &amp; Print Out'!M$6,'Airfields &amp; Performance Factors'!$M$7:$M$16,0)),IF(AND(Variables!C$42="yes",L8=0,K8&gt;0),K8*INDEX('Airfields &amp; Performance Factors'!$N$7:$N$16,MATCH('Performance Calcs &amp; Print Out'!M$6,'Airfields &amp; Performance Factors'!$M$7:$M$16,0)),IF(AND(Variables!C$42="yes",L8=0,K8=0,J8&gt;0),J8*INDEX('Airfields &amp; Performance Factors'!$N$7:$N$16,MATCH('Performance Calcs &amp; Print Out'!M$6,'Airfields &amp; Performance Factors'!$M$7:$M$16,0)),IF(AND(Variables!C$42="yes",L8=0,K8=0,J8=0,I8&gt;0),I8*INDEX('Airfields &amp; Performance Factors'!$N$7:$N$16,MATCH('Performance Calcs &amp; Print Out'!M$6,'Airfields &amp; Performance Factors'!$M$7:$M$16,0)),IF(AND(Variables!C$42="yes",L8=0,K8=0,J8=0,I8=0,H8&gt;0),H8*INDEX('Airfields &amp; Performance Factors'!$N$7:$N$16,MATCH('Performance Calcs &amp; Print Out'!M$6,'Airfields &amp; Performance Factors'!$M$7:$M$16,0)),IF(Variables!C$42="no",0,"ERROR"))))))),"NULL")</f>
        <v>0</v>
      </c>
      <c r="N8" s="28">
        <f>IFERROR(IF(AND(Variables!C$43="yes",M8&gt;0),M8*INDEX('Airfields &amp; Performance Factors'!$N$7:$N$16,MATCH('Performance Calcs &amp; Print Out'!N$6,'Airfields &amp; Performance Factors'!$M$7:$M$16,0)),IF(AND(Variables!C$43="yes",M8=0,L8=0,K8=0,J8=0,I8=0,H8=0),G8*INDEX('Airfields &amp; Performance Factors'!$N$7:$N$16,MATCH('Performance Calcs &amp; Print Out'!N$6,'Airfields &amp; Performance Factors'!$M$7:$M$16,0)),IF(AND(Variables!C$43="yes",M8=0,L8=0,K8&gt;0),K8*INDEX('Airfields &amp; Performance Factors'!$N$7:$N$16,MATCH('Performance Calcs &amp; Print Out'!N$6,'Airfields &amp; Performance Factors'!$M$7:$M$16,0)),IF(AND(Variables!C$43="yes",M8=0,L8=0,K8=0,J8&gt;0),J8*INDEX('Airfields &amp; Performance Factors'!$N$7:$N$16,MATCH('Performance Calcs &amp; Print Out'!N$6,'Airfields &amp; Performance Factors'!$M$7:$M$16,0)),IF(AND(Variables!C$43="yes",M8=0,L8=0,K8=0,J8=0,I8&gt;0),I8*INDEX('Airfields &amp; Performance Factors'!$N$7:$N$16,MATCH('Performance Calcs &amp; Print Out'!N$6,'Airfields &amp; Performance Factors'!$M$7:$M$16,0)),IF(AND(Variables!C$43="yes",M8=0,L8=0,K8=0,J8=0,I8=0,H8&gt;0),H8*INDEX('Airfields &amp; Performance Factors'!$N$7:$N$16,MATCH('Performance Calcs &amp; Print Out'!N$6,'Airfields &amp; Performance Factors'!$M$7:$M$16,0)),IF(Variables!C$43="no",0,"ERROR"))))))),"NULL")</f>
        <v>0</v>
      </c>
      <c r="O8" s="28">
        <f>IFERROR(IF(AND(Variables!C$44="yes",N8&gt;0),N8*INDEX('Airfields &amp; Performance Factors'!$N$7:$N$16,MATCH('Performance Calcs &amp; Print Out'!O$6,'Airfields &amp; Performance Factors'!$M$7:$M$16,0)),IF(AND(Variables!C$44="yes",N8=0,M8=0,L8=0,K8=0,J8=0,I8=0,H8=0),G8*INDEX('Airfields &amp; Performance Factors'!$N$7:$N$16,MATCH('Performance Calcs &amp; Print Out'!O$6,'Airfields &amp; Performance Factors'!$M$7:$M$16,0)),IF(AND(Variables!C$44="yes",N8=0,M8&gt;0),M8*INDEX('Airfields &amp; Performance Factors'!$N$7:$N$16,MATCH('Performance Calcs &amp; Print Out'!O$6,'Airfields &amp; Performance Factors'!$M$7:$M$16,0)),IF(AND(Variables!C$44="yes",N8=0,M8=0,L8&gt;0),L8*INDEX('Airfields &amp; Performance Factors'!$N$7:$N$16,MATCH('Performance Calcs &amp; Print Out'!O$6,'Airfields &amp; Performance Factors'!$M$7:$M$16,0)),IF(AND(Variables!C$44="yes",N8=0,M8=0,L8=0,K8&gt;0),K8*INDEX('Airfields &amp; Performance Factors'!$N$7:$N$16,MATCH('Performance Calcs &amp; Print Out'!O$6,'Airfields &amp; Performance Factors'!$M$7:$M$16,0)),IF(AND(Variables!C$44="yes",N8=0,M8=0,L8=0,K8=0,J8&gt;0),J8*INDEX('Airfields &amp; Performance Factors'!$N$7:$N$16,MATCH('Performance Calcs &amp; Print Out'!O$6,'Airfields &amp; Performance Factors'!$M$7:$M$16,0)),IF(AND(Variables!C$44="yes",N8=0,M8=0,L8=0,K8=0,J8=0,I8&gt;0),I8*INDEX('Airfields &amp; Performance Factors'!$N$7:$N$16,MATCH('Performance Calcs &amp; Print Out'!O$6,'Airfields &amp; Performance Factors'!$M$7:$M$16,0)),IF(AND(Variables!C$44="yes",N8=0,M8=0,L8=0,K8=0,J8=0,I8=0,H8&gt;0),H8*INDEX('Airfields &amp; Performance Factors'!$N$7:$N$16,MATCH('Performance Calcs &amp; Print Out'!O$6,'Airfields &amp; Performance Factors'!$M$7:$M$16,0)),IF(Variables!C$44="no",0,"ERROR"))))))))),"NULL")</f>
        <v>0</v>
      </c>
      <c r="P8" s="28">
        <f>IFERROR(IF(AND(Variables!C$45="yes",O8&gt;0),O8*INDEX('Airfields &amp; Performance Factors'!$N$7:$N$16,MATCH('Performance Calcs &amp; Print Out'!P$6,'Airfields &amp; Performance Factors'!$M$7:$M$16,0)),IF(AND(Variables!C$45="yes",O8=0,N8=0,L8=0,K8=0,J8=0,I8=0,H8=0),G8*INDEX('Airfields &amp; Performance Factors'!$N$7:$N$16,MATCH('Performance Calcs &amp; Print Out'!P$6,'Airfields &amp; Performance Factors'!$M$7:$M$16,0)),IF(AND(Variables!C$45="yes",O8=0,N8&gt;0),N8*INDEX('Airfields &amp; Performance Factors'!$N$7:$N$16,MATCH('Performance Calcs &amp; Print Out'!P$6,'Airfields &amp; Performance Factors'!$M$7:$M$16,0)),IF(AND(Variables!C$45="yes",O8=0,N8=0,M8&gt;0),M8*INDEX('Airfields &amp; Performance Factors'!$N$7:$N$16,MATCH('Performance Calcs &amp; Print Out'!P$6,'Airfields &amp; Performance Factors'!$M$7:$M$16,0)),IF(AND(Variables!C$45="yes",O8=0,N8=0,M8=0,L8&gt;0),L8*INDEX('Airfields &amp; Performance Factors'!$N$7:$N$16,MATCH('Performance Calcs &amp; Print Out'!P$6,'Airfields &amp; Performance Factors'!$M$7:$M$16,0)),IF(AND(Variables!C$45="yes",O8=0,N8=0,M8=0,L8=0,K8&gt;0),K8*INDEX('Airfields &amp; Performance Factors'!$N$7:$N$16,MATCH('Performance Calcs &amp; Print Out'!P$6,'Airfields &amp; Performance Factors'!$M$7:$M$16,0)),IF(AND(Variables!C$45="yes",O8=0,N8=0,M8=0,L8=0,K8=0,J8&gt;0),J8*INDEX('Airfields &amp; Performance Factors'!$N$7:$N$16,MATCH('Performance Calcs &amp; Print Out'!P$6,'Airfields &amp; Performance Factors'!$M$7:$M$16,0)),IF(AND(Variables!C$45="yes",O8=0,N8=0,M8=0,L8=0,K8=0,J8=0,I8&gt;0),I8*INDEX('Airfields &amp; Performance Factors'!$N$7:$N$16,MATCH('Performance Calcs &amp; Print Out'!P$6,'Airfields &amp; Performance Factors'!$M$7:$M$16,0)),IF(AND(Variables!C$45="yes",O8=0,N8=0,M8=0,L8=0,K8=0,J8=0,I8=0,H8&gt;0),H8*INDEX('Airfields &amp; Performance Factors'!$N$7:$N$16,MATCH('Performance Calcs &amp; Print Out'!P$6,'Airfields &amp; Performance Factors'!$M$7:$M$16,0)),IF(Variables!C$45="no",0,"ERROR")))))))))),"NULL")</f>
        <v>0</v>
      </c>
      <c r="Q8" s="28" t="str">
        <f>IFERROR(IF(P8&gt;0,P8*INDEX('Airfields &amp; Performance Factors'!$N$7:$N$16,MATCH('Performance Calcs &amp; Print Out'!Q$6,'Airfields &amp; Performance Factors'!$M$7:$M$16,0)),IF(O8&gt;0,O8*INDEX('Airfields &amp; Performance Factors'!$N$7:$N$16,MATCH('Performance Calcs &amp; Print Out'!Q$6,'Airfields &amp; Performance Factors'!$M$7:$M$16,0)),IF(N8&gt;0,N8*INDEX('Airfields &amp; Performance Factors'!$N$7:$N$16,MATCH('Performance Calcs &amp; Print Out'!Q$6,'Airfields &amp; Performance Factors'!$M$7:$M$16,0)),IF(M8&gt;0,M8*INDEX('Airfields &amp; Performance Factors'!$N$7:$N$16,MATCH('Performance Calcs &amp; Print Out'!Q$6,'Airfields &amp; Performance Factors'!$M$7:$M$16,0)),IF(L8&gt;0,L8*INDEX('Airfields &amp; Performance Factors'!$N$7:$N$16,MATCH('Performance Calcs &amp; Print Out'!Q$6,'Airfields &amp; Performance Factors'!$M$7:$M$16,0)),IF(K8&gt;0,K8*INDEX('Airfields &amp; Performance Factors'!$N$7:$N$16,MATCH('Performance Calcs &amp; Print Out'!Q$6,'Airfields &amp; Performance Factors'!$M$7:$M$16,0)),IF(J8&gt;0,J8*INDEX('Airfields &amp; Performance Factors'!$N$7:$N$16,MATCH('Performance Calcs &amp; Print Out'!Q$6,'Airfields &amp; Performance Factors'!$M$7:$M$16,0)),IF(I8&gt;0,I8*INDEX('Airfields &amp; Performance Factors'!$N$7:$N$16,MATCH('Performance Calcs &amp; Print Out'!Q$6,'Airfields &amp; Performance Factors'!$M$7:$M$16,0)),IF(H8&gt;0,H8*INDEX('Airfields &amp; Performance Factors'!$N$7:$N$16,MATCH('Performance Calcs &amp; Print Out'!Q$6,'Airfields &amp; Performance Factors'!$M$7:$M$16,0)),IF(G8&gt;0,G8*INDEX('Airfields &amp; Performance Factors'!$N$7:$N$16,MATCH('Performance Calcs &amp; Print Out'!Q$6,'Airfields &amp; Performance Factors'!$M$7:$M$16,0)),"ERROR")))))))))),"NULL")</f>
        <v>ERROR</v>
      </c>
      <c r="R8" s="27" t="str">
        <f t="shared" ref="R8:R12" si="0">IFERROR(IF(OR(D8=0,D8="-",Q8="ERROR"),"-",IF(Q8&lt;D8,"SAFE","AVOID")),"-")</f>
        <v>-</v>
      </c>
    </row>
    <row r="9" spans="1:18" x14ac:dyDescent="0.25">
      <c r="A9" s="30"/>
      <c r="B9" s="42">
        <f t="array" ref="B9">IFERROR(INDEX('Airfields &amp; Performance Factors'!C:C,SMALL(IF('Airfields &amp; Performance Factors'!$B:$B=$C$4,ROW('Airfields &amp; Performance Factors'!$B:$B)),ROW('Airfields &amp; Performance Factors'!3:3))),"-")</f>
        <v>0</v>
      </c>
      <c r="C9" s="42">
        <f t="array" ref="C9">IFERROR(INDEX('Airfields &amp; Performance Factors'!D:D,SMALL(IF('Airfields &amp; Performance Factors'!$B:$B=$C$4,ROW('Airfields &amp; Performance Factors'!$B:$B)),ROW('Airfields &amp; Performance Factors'!3:3))),"-")</f>
        <v>0</v>
      </c>
      <c r="D9" s="42">
        <f t="array" ref="D9">IFERROR(INDEX('Airfields &amp; Performance Factors'!E:E,SMALL(IF('Airfields &amp; Performance Factors'!$B:$B=$C$4,ROW('Airfields &amp; Performance Factors'!$B:$B)),ROW('Airfields &amp; Performance Factors'!3:3))),"-")</f>
        <v>0</v>
      </c>
      <c r="E9" s="42">
        <f t="array" ref="E9">IFERROR(INDEX('Airfields &amp; Performance Factors'!F:F,SMALL(IF('Airfields &amp; Performance Factors'!$B:$B=$C$4,ROW('Airfields &amp; Performance Factors'!$B:$B)),ROW('Airfields &amp; Performance Factors'!3:3))),"-")</f>
        <v>0</v>
      </c>
      <c r="G9" s="28">
        <f>IFERROR(Variables!$C$33,"NULL")</f>
        <v>0</v>
      </c>
      <c r="H9" s="28">
        <f>IFERROR(IF(Variables!C$37="yes",G9*INDEX('Airfields &amp; Performance Factors'!$N$7:$N$16,MATCH('Performance Calcs &amp; Print Out'!H$6,'Airfields &amp; Performance Factors'!$M$7:$M$16,0)),0),"NULL")</f>
        <v>0</v>
      </c>
      <c r="I9" s="28">
        <f>IFERROR(IF(AND(Variables!C$38="yes",H9&gt;0),H9*INDEX('Airfields &amp; Performance Factors'!$N$7:$N$16,MATCH('Performance Calcs &amp; Print Out'!I$6,'Airfields &amp; Performance Factors'!$M$7:$M$16,0)),IF(Variables!C$38="no",0,G9*INDEX('Airfields &amp; Performance Factors'!$N$7:$N$16,MATCH('Performance Calcs &amp; Print Out'!I$6,'Airfields &amp; Performance Factors'!$M$7:$M$16,0)))),"NULL")</f>
        <v>0</v>
      </c>
      <c r="J9" s="28">
        <f>IFERROR(IF(AND(Variables!C$39="yes",I9&gt;0),I9*INDEX('Airfields &amp; Performance Factors'!$N$7:$N$16,MATCH('Performance Calcs &amp; Print Out'!J$6,'Airfields &amp; Performance Factors'!$M$7:$M$16,0)),IF(AND(Variables!C$39="yes",I9=0,H9=0),G9*INDEX('Airfields &amp; Performance Factors'!$N$7:$N$16,MATCH('Performance Calcs &amp; Print Out'!J$6,'Airfields &amp; Performance Factors'!$M$7:$M$16,0)),IF(AND(Variables!C$39="yes",I9=0,H9&gt;0),H9*INDEX('Airfields &amp; Performance Factors'!$N$7:$N$16,MATCH('Performance Calcs &amp; Print Out'!J$6,'Airfields &amp; Performance Factors'!$M$7:$M$16,0)),IF(Variables!C$39="no",0,"ERROR")))),"NULL")</f>
        <v>0</v>
      </c>
      <c r="K9" s="28">
        <f>IFERROR(IF(AND(Variables!C$40="yes",J9&gt;0),J9*INDEX('Airfields &amp; Performance Factors'!$N$7:$N$16,MATCH('Performance Calcs &amp; Print Out'!K$6,'Airfields &amp; Performance Factors'!$M$7:$M$16,0)),IF(AND(Variables!C$40="yes",J9=0,I9=0,H9=0),G9*INDEX('Airfields &amp; Performance Factors'!$N$7:$N$16,MATCH('Performance Calcs &amp; Print Out'!K$6,'Airfields &amp; Performance Factors'!$M$7:$M$16,0)),IF(AND(Variables!C$40="yes",J9=0,I9&gt;0),I9*INDEX('Airfields &amp; Performance Factors'!$N$7:$N$16,MATCH('Performance Calcs &amp; Print Out'!K$6,'Airfields &amp; Performance Factors'!$M$7:$M$16,0)),IF(AND(Variables!C$40="yes",J9=0,I9=0,H9&gt;0),H9*INDEX('Airfields &amp; Performance Factors'!$N$7:$N$16,MATCH('Performance Calcs &amp; Print Out'!K$6,'Airfields &amp; Performance Factors'!$M$7:$M$16,0)),IF(Variables!C$40="no",0,"ERROR"))))),"NULL")</f>
        <v>0</v>
      </c>
      <c r="L9" s="28">
        <f>IFERROR(IF(AND(Variables!C$41="yes",K9&gt;0),K9*INDEX('Airfields &amp; Performance Factors'!$N$7:$N$16,MATCH('Performance Calcs &amp; Print Out'!L$6,'Airfields &amp; Performance Factors'!$M$7:$M$16,0)),IF(AND(Variables!C$41="yes",K9=0,J9=0,I9=0,H9=0),G9*INDEX('Airfields &amp; Performance Factors'!$N$7:$N$16,MATCH('Performance Calcs &amp; Print Out'!L$6,'Airfields &amp; Performance Factors'!$M$7:$M$16,0)),IF(AND(Variables!C$41="yes",K9=0,J9&gt;0),J9*INDEX('Airfields &amp; Performance Factors'!$N$7:$N$16,MATCH('Performance Calcs &amp; Print Out'!L$6,'Airfields &amp; Performance Factors'!$M$7:$M$16,0)),IF(AND(Variables!C$41="yes",K9=0,J9=0,I9&gt;0),I9*INDEX('Airfields &amp; Performance Factors'!$N$7:$N$16,MATCH('Performance Calcs &amp; Print Out'!L$6,'Airfields &amp; Performance Factors'!$M$7:$M$16,0)),IF(AND(Variables!C$41="yes",K9=0,J9=0,I9=0,H9&gt;0),H9*INDEX('Airfields &amp; Performance Factors'!$N$7:$N$16,MATCH('Performance Calcs &amp; Print Out'!L$6,'Airfields &amp; Performance Factors'!$M$7:$M$16,0)),IF(Variables!C$41="no",0,"ERROR")))))),"NULL")</f>
        <v>0</v>
      </c>
      <c r="M9" s="28">
        <f>IFERROR(IF(AND(Variables!C$42="yes",L9&gt;0),L9*INDEX('Airfields &amp; Performance Factors'!$N$7:$N$16,MATCH('Performance Calcs &amp; Print Out'!M$6,'Airfields &amp; Performance Factors'!$M$7:$M$16,0)),IF(AND(Variables!C$42="yes",L9=0,K9=0,J9=0,I9=0,H9=0),G9*INDEX('Airfields &amp; Performance Factors'!$N$7:$N$16,MATCH('Performance Calcs &amp; Print Out'!M$6,'Airfields &amp; Performance Factors'!$M$7:$M$16,0)),IF(AND(Variables!C$42="yes",L9=0,K9&gt;0),K9*INDEX('Airfields &amp; Performance Factors'!$N$7:$N$16,MATCH('Performance Calcs &amp; Print Out'!M$6,'Airfields &amp; Performance Factors'!$M$7:$M$16,0)),IF(AND(Variables!C$42="yes",L9=0,K9=0,J9&gt;0),J9*INDEX('Airfields &amp; Performance Factors'!$N$7:$N$16,MATCH('Performance Calcs &amp; Print Out'!M$6,'Airfields &amp; Performance Factors'!$M$7:$M$16,0)),IF(AND(Variables!C$42="yes",L9=0,K9=0,J9=0,I9&gt;0),I9*INDEX('Airfields &amp; Performance Factors'!$N$7:$N$16,MATCH('Performance Calcs &amp; Print Out'!M$6,'Airfields &amp; Performance Factors'!$M$7:$M$16,0)),IF(AND(Variables!C$42="yes",L9=0,K9=0,J9=0,I9=0,H9&gt;0),H9*INDEX('Airfields &amp; Performance Factors'!$N$7:$N$16,MATCH('Performance Calcs &amp; Print Out'!M$6,'Airfields &amp; Performance Factors'!$M$7:$M$16,0)),IF(Variables!C$42="no",0,"ERROR"))))))),"NULL")</f>
        <v>0</v>
      </c>
      <c r="N9" s="28">
        <f>IFERROR(IF(AND(Variables!C$43="yes",M9&gt;0),M9*INDEX('Airfields &amp; Performance Factors'!$N$7:$N$16,MATCH('Performance Calcs &amp; Print Out'!N$6,'Airfields &amp; Performance Factors'!$M$7:$M$16,0)),IF(AND(Variables!C$43="yes",M9=0,L9=0,K9=0,J9=0,I9=0,H9=0),G9*INDEX('Airfields &amp; Performance Factors'!$N$7:$N$16,MATCH('Performance Calcs &amp; Print Out'!N$6,'Airfields &amp; Performance Factors'!$M$7:$M$16,0)),IF(AND(Variables!C$43="yes",M9=0,L9=0,K9&gt;0),K9*INDEX('Airfields &amp; Performance Factors'!$N$7:$N$16,MATCH('Performance Calcs &amp; Print Out'!N$6,'Airfields &amp; Performance Factors'!$M$7:$M$16,0)),IF(AND(Variables!C$43="yes",M9=0,L9=0,K9=0,J9&gt;0),J9*INDEX('Airfields &amp; Performance Factors'!$N$7:$N$16,MATCH('Performance Calcs &amp; Print Out'!N$6,'Airfields &amp; Performance Factors'!$M$7:$M$16,0)),IF(AND(Variables!C$43="yes",M9=0,L9=0,K9=0,J9=0,I9&gt;0),I9*INDEX('Airfields &amp; Performance Factors'!$N$7:$N$16,MATCH('Performance Calcs &amp; Print Out'!N$6,'Airfields &amp; Performance Factors'!$M$7:$M$16,0)),IF(AND(Variables!C$43="yes",M9=0,L9=0,K9=0,J9=0,I9=0,H9&gt;0),H9*INDEX('Airfields &amp; Performance Factors'!$N$7:$N$16,MATCH('Performance Calcs &amp; Print Out'!N$6,'Airfields &amp; Performance Factors'!$M$7:$M$16,0)),IF(Variables!C$43="no",0,"ERROR"))))))),"NULL")</f>
        <v>0</v>
      </c>
      <c r="O9" s="28">
        <f>IFERROR(IF(AND(Variables!C$44="yes",N9&gt;0),N9*INDEX('Airfields &amp; Performance Factors'!$N$7:$N$16,MATCH('Performance Calcs &amp; Print Out'!O$6,'Airfields &amp; Performance Factors'!$M$7:$M$16,0)),IF(AND(Variables!C$44="yes",N9=0,M9=0,L9=0,K9=0,J9=0,I9=0,H9=0),G9*INDEX('Airfields &amp; Performance Factors'!$N$7:$N$16,MATCH('Performance Calcs &amp; Print Out'!O$6,'Airfields &amp; Performance Factors'!$M$7:$M$16,0)),IF(AND(Variables!C$44="yes",N9=0,M9&gt;0),M9*INDEX('Airfields &amp; Performance Factors'!$N$7:$N$16,MATCH('Performance Calcs &amp; Print Out'!O$6,'Airfields &amp; Performance Factors'!$M$7:$M$16,0)),IF(AND(Variables!C$44="yes",N9=0,M9=0,L9&gt;0),L9*INDEX('Airfields &amp; Performance Factors'!$N$7:$N$16,MATCH('Performance Calcs &amp; Print Out'!O$6,'Airfields &amp; Performance Factors'!$M$7:$M$16,0)),IF(AND(Variables!C$44="yes",N9=0,M9=0,L9=0,K9&gt;0),K9*INDEX('Airfields &amp; Performance Factors'!$N$7:$N$16,MATCH('Performance Calcs &amp; Print Out'!O$6,'Airfields &amp; Performance Factors'!$M$7:$M$16,0)),IF(AND(Variables!C$44="yes",N9=0,M9=0,L9=0,K9=0,J9&gt;0),J9*INDEX('Airfields &amp; Performance Factors'!$N$7:$N$16,MATCH('Performance Calcs &amp; Print Out'!O$6,'Airfields &amp; Performance Factors'!$M$7:$M$16,0)),IF(AND(Variables!C$44="yes",N9=0,M9=0,L9=0,K9=0,J9=0,I9&gt;0),I9*INDEX('Airfields &amp; Performance Factors'!$N$7:$N$16,MATCH('Performance Calcs &amp; Print Out'!O$6,'Airfields &amp; Performance Factors'!$M$7:$M$16,0)),IF(AND(Variables!C$44="yes",N9=0,M9=0,L9=0,K9=0,J9=0,I9=0,H9&gt;0),H9*INDEX('Airfields &amp; Performance Factors'!$N$7:$N$16,MATCH('Performance Calcs &amp; Print Out'!O$6,'Airfields &amp; Performance Factors'!$M$7:$M$16,0)),IF(Variables!C$44="no",0,"ERROR"))))))))),"NULL")</f>
        <v>0</v>
      </c>
      <c r="P9" s="28">
        <f>IFERROR(IF(AND(Variables!C$45="yes",O9&gt;0),O9*INDEX('Airfields &amp; Performance Factors'!$N$7:$N$16,MATCH('Performance Calcs &amp; Print Out'!P$6,'Airfields &amp; Performance Factors'!$M$7:$M$16,0)),IF(AND(Variables!C$45="yes",O9=0,N9=0,L9=0,K9=0,J9=0,I9=0,H9=0),G9*INDEX('Airfields &amp; Performance Factors'!$N$7:$N$16,MATCH('Performance Calcs &amp; Print Out'!P$6,'Airfields &amp; Performance Factors'!$M$7:$M$16,0)),IF(AND(Variables!C$45="yes",O9=0,N9&gt;0),N9*INDEX('Airfields &amp; Performance Factors'!$N$7:$N$16,MATCH('Performance Calcs &amp; Print Out'!P$6,'Airfields &amp; Performance Factors'!$M$7:$M$16,0)),IF(AND(Variables!C$45="yes",O9=0,N9=0,M9&gt;0),M9*INDEX('Airfields &amp; Performance Factors'!$N$7:$N$16,MATCH('Performance Calcs &amp; Print Out'!P$6,'Airfields &amp; Performance Factors'!$M$7:$M$16,0)),IF(AND(Variables!C$45="yes",O9=0,N9=0,M9=0,L9&gt;0),L9*INDEX('Airfields &amp; Performance Factors'!$N$7:$N$16,MATCH('Performance Calcs &amp; Print Out'!P$6,'Airfields &amp; Performance Factors'!$M$7:$M$16,0)),IF(AND(Variables!C$45="yes",O9=0,N9=0,M9=0,L9=0,K9&gt;0),K9*INDEX('Airfields &amp; Performance Factors'!$N$7:$N$16,MATCH('Performance Calcs &amp; Print Out'!P$6,'Airfields &amp; Performance Factors'!$M$7:$M$16,0)),IF(AND(Variables!C$45="yes",O9=0,N9=0,M9=0,L9=0,K9=0,J9&gt;0),J9*INDEX('Airfields &amp; Performance Factors'!$N$7:$N$16,MATCH('Performance Calcs &amp; Print Out'!P$6,'Airfields &amp; Performance Factors'!$M$7:$M$16,0)),IF(AND(Variables!C$45="yes",O9=0,N9=0,M9=0,L9=0,K9=0,J9=0,I9&gt;0),I9*INDEX('Airfields &amp; Performance Factors'!$N$7:$N$16,MATCH('Performance Calcs &amp; Print Out'!P$6,'Airfields &amp; Performance Factors'!$M$7:$M$16,0)),IF(AND(Variables!C$45="yes",O9=0,N9=0,M9=0,L9=0,K9=0,J9=0,I9=0,H9&gt;0),H9*INDEX('Airfields &amp; Performance Factors'!$N$7:$N$16,MATCH('Performance Calcs &amp; Print Out'!P$6,'Airfields &amp; Performance Factors'!$M$7:$M$16,0)),IF(Variables!C$45="no",0,"ERROR")))))))))),"NULL")</f>
        <v>0</v>
      </c>
      <c r="Q9" s="28" t="str">
        <f>IFERROR(IF(P9&gt;0,P9*INDEX('Airfields &amp; Performance Factors'!$N$7:$N$16,MATCH('Performance Calcs &amp; Print Out'!Q$6,'Airfields &amp; Performance Factors'!$M$7:$M$16,0)),IF(O9&gt;0,O9*INDEX('Airfields &amp; Performance Factors'!$N$7:$N$16,MATCH('Performance Calcs &amp; Print Out'!Q$6,'Airfields &amp; Performance Factors'!$M$7:$M$16,0)),IF(N9&gt;0,N9*INDEX('Airfields &amp; Performance Factors'!$N$7:$N$16,MATCH('Performance Calcs &amp; Print Out'!Q$6,'Airfields &amp; Performance Factors'!$M$7:$M$16,0)),IF(M9&gt;0,M9*INDEX('Airfields &amp; Performance Factors'!$N$7:$N$16,MATCH('Performance Calcs &amp; Print Out'!Q$6,'Airfields &amp; Performance Factors'!$M$7:$M$16,0)),IF(L9&gt;0,L9*INDEX('Airfields &amp; Performance Factors'!$N$7:$N$16,MATCH('Performance Calcs &amp; Print Out'!Q$6,'Airfields &amp; Performance Factors'!$M$7:$M$16,0)),IF(K9&gt;0,K9*INDEX('Airfields &amp; Performance Factors'!$N$7:$N$16,MATCH('Performance Calcs &amp; Print Out'!Q$6,'Airfields &amp; Performance Factors'!$M$7:$M$16,0)),IF(J9&gt;0,J9*INDEX('Airfields &amp; Performance Factors'!$N$7:$N$16,MATCH('Performance Calcs &amp; Print Out'!Q$6,'Airfields &amp; Performance Factors'!$M$7:$M$16,0)),IF(I9&gt;0,I9*INDEX('Airfields &amp; Performance Factors'!$N$7:$N$16,MATCH('Performance Calcs &amp; Print Out'!Q$6,'Airfields &amp; Performance Factors'!$M$7:$M$16,0)),IF(H9&gt;0,H9*INDEX('Airfields &amp; Performance Factors'!$N$7:$N$16,MATCH('Performance Calcs &amp; Print Out'!Q$6,'Airfields &amp; Performance Factors'!$M$7:$M$16,0)),IF(G9&gt;0,G9*INDEX('Airfields &amp; Performance Factors'!$N$7:$N$16,MATCH('Performance Calcs &amp; Print Out'!Q$6,'Airfields &amp; Performance Factors'!$M$7:$M$16,0)),"ERROR")))))))))),"NULL")</f>
        <v>ERROR</v>
      </c>
      <c r="R9" s="27" t="str">
        <f t="shared" si="0"/>
        <v>-</v>
      </c>
    </row>
    <row r="10" spans="1:18" x14ac:dyDescent="0.25">
      <c r="A10" s="30"/>
      <c r="B10" s="42">
        <f t="array" ref="B10">IFERROR(INDEX('Airfields &amp; Performance Factors'!C:C,SMALL(IF('Airfields &amp; Performance Factors'!$B:$B=$C$4,ROW('Airfields &amp; Performance Factors'!$B:$B)),ROW('Airfields &amp; Performance Factors'!4:4))),"-")</f>
        <v>0</v>
      </c>
      <c r="C10" s="42">
        <f t="array" ref="C10">IFERROR(INDEX('Airfields &amp; Performance Factors'!D:D,SMALL(IF('Airfields &amp; Performance Factors'!$B:$B=$C$4,ROW('Airfields &amp; Performance Factors'!$B:$B)),ROW('Airfields &amp; Performance Factors'!4:4))),"-")</f>
        <v>0</v>
      </c>
      <c r="D10" s="42">
        <f t="array" ref="D10">IFERROR(INDEX('Airfields &amp; Performance Factors'!E:E,SMALL(IF('Airfields &amp; Performance Factors'!$B:$B=$C$4,ROW('Airfields &amp; Performance Factors'!$B:$B)),ROW('Airfields &amp; Performance Factors'!4:4))),"-")</f>
        <v>0</v>
      </c>
      <c r="E10" s="42">
        <f t="array" ref="E10">IFERROR(INDEX('Airfields &amp; Performance Factors'!F:F,SMALL(IF('Airfields &amp; Performance Factors'!$B:$B=$C$4,ROW('Airfields &amp; Performance Factors'!$B:$B)),ROW('Airfields &amp; Performance Factors'!4:4))),"-")</f>
        <v>0</v>
      </c>
      <c r="G10" s="28">
        <f>IFERROR(Variables!$C$33,"NULL")</f>
        <v>0</v>
      </c>
      <c r="H10" s="28">
        <f>IFERROR(IF(Variables!C$37="yes",G10*INDEX('Airfields &amp; Performance Factors'!$N$7:$N$16,MATCH('Performance Calcs &amp; Print Out'!H$6,'Airfields &amp; Performance Factors'!$M$7:$M$16,0)),0),"NULL")</f>
        <v>0</v>
      </c>
      <c r="I10" s="28">
        <f>IFERROR(IF(AND(Variables!C$38="yes",H10&gt;0),H10*INDEX('Airfields &amp; Performance Factors'!$N$7:$N$16,MATCH('Performance Calcs &amp; Print Out'!I$6,'Airfields &amp; Performance Factors'!$M$7:$M$16,0)),IF(Variables!C$38="no",0,G10*INDEX('Airfields &amp; Performance Factors'!$N$7:$N$16,MATCH('Performance Calcs &amp; Print Out'!I$6,'Airfields &amp; Performance Factors'!$M$7:$M$16,0)))),"NULL")</f>
        <v>0</v>
      </c>
      <c r="J10" s="28">
        <f>IFERROR(IF(AND(Variables!C$39="yes",I10&gt;0),I10*INDEX('Airfields &amp; Performance Factors'!$N$7:$N$16,MATCH('Performance Calcs &amp; Print Out'!J$6,'Airfields &amp; Performance Factors'!$M$7:$M$16,0)),IF(AND(Variables!C$39="yes",I10=0,H10=0),G10*INDEX('Airfields &amp; Performance Factors'!$N$7:$N$16,MATCH('Performance Calcs &amp; Print Out'!J$6,'Airfields &amp; Performance Factors'!$M$7:$M$16,0)),IF(AND(Variables!C$39="yes",I10=0,H10&gt;0),H10*INDEX('Airfields &amp; Performance Factors'!$N$7:$N$16,MATCH('Performance Calcs &amp; Print Out'!J$6,'Airfields &amp; Performance Factors'!$M$7:$M$16,0)),IF(Variables!C$39="no",0,"ERROR")))),"NULL")</f>
        <v>0</v>
      </c>
      <c r="K10" s="28">
        <f>IFERROR(IF(AND(Variables!C$40="yes",J10&gt;0),J10*INDEX('Airfields &amp; Performance Factors'!$N$7:$N$16,MATCH('Performance Calcs &amp; Print Out'!K$6,'Airfields &amp; Performance Factors'!$M$7:$M$16,0)),IF(AND(Variables!C$40="yes",J10=0,I10=0,H10=0),G10*INDEX('Airfields &amp; Performance Factors'!$N$7:$N$16,MATCH('Performance Calcs &amp; Print Out'!K$6,'Airfields &amp; Performance Factors'!$M$7:$M$16,0)),IF(AND(Variables!C$40="yes",J10=0,I10&gt;0),I10*INDEX('Airfields &amp; Performance Factors'!$N$7:$N$16,MATCH('Performance Calcs &amp; Print Out'!K$6,'Airfields &amp; Performance Factors'!$M$7:$M$16,0)),IF(AND(Variables!C$40="yes",J10=0,I10=0,H10&gt;0),H10*INDEX('Airfields &amp; Performance Factors'!$N$7:$N$16,MATCH('Performance Calcs &amp; Print Out'!K$6,'Airfields &amp; Performance Factors'!$M$7:$M$16,0)),IF(Variables!C$40="no",0,"ERROR"))))),"NULL")</f>
        <v>0</v>
      </c>
      <c r="L10" s="28">
        <f>IFERROR(IF(AND(Variables!C$41="yes",K10&gt;0),K10*INDEX('Airfields &amp; Performance Factors'!$N$7:$N$16,MATCH('Performance Calcs &amp; Print Out'!L$6,'Airfields &amp; Performance Factors'!$M$7:$M$16,0)),IF(AND(Variables!C$41="yes",K10=0,J10=0,I10=0,H10=0),G10*INDEX('Airfields &amp; Performance Factors'!$N$7:$N$16,MATCH('Performance Calcs &amp; Print Out'!L$6,'Airfields &amp; Performance Factors'!$M$7:$M$16,0)),IF(AND(Variables!C$41="yes",K10=0,J10&gt;0),J10*INDEX('Airfields &amp; Performance Factors'!$N$7:$N$16,MATCH('Performance Calcs &amp; Print Out'!L$6,'Airfields &amp; Performance Factors'!$M$7:$M$16,0)),IF(AND(Variables!C$41="yes",K10=0,J10=0,I10&gt;0),I10*INDEX('Airfields &amp; Performance Factors'!$N$7:$N$16,MATCH('Performance Calcs &amp; Print Out'!L$6,'Airfields &amp; Performance Factors'!$M$7:$M$16,0)),IF(AND(Variables!C$41="yes",K10=0,J10=0,I10=0,H10&gt;0),H10*INDEX('Airfields &amp; Performance Factors'!$N$7:$N$16,MATCH('Performance Calcs &amp; Print Out'!L$6,'Airfields &amp; Performance Factors'!$M$7:$M$16,0)),IF(Variables!C$41="no",0,"ERROR")))))),"NULL")</f>
        <v>0</v>
      </c>
      <c r="M10" s="28">
        <f>IFERROR(IF(AND(Variables!C$42="yes",L10&gt;0),L10*INDEX('Airfields &amp; Performance Factors'!$N$7:$N$16,MATCH('Performance Calcs &amp; Print Out'!M$6,'Airfields &amp; Performance Factors'!$M$7:$M$16,0)),IF(AND(Variables!C$42="yes",L10=0,K10=0,J10=0,I10=0,H10=0),G10*INDEX('Airfields &amp; Performance Factors'!$N$7:$N$16,MATCH('Performance Calcs &amp; Print Out'!M$6,'Airfields &amp; Performance Factors'!$M$7:$M$16,0)),IF(AND(Variables!C$42="yes",L10=0,K10&gt;0),K10*INDEX('Airfields &amp; Performance Factors'!$N$7:$N$16,MATCH('Performance Calcs &amp; Print Out'!M$6,'Airfields &amp; Performance Factors'!$M$7:$M$16,0)),IF(AND(Variables!C$42="yes",L10=0,K10=0,J10&gt;0),J10*INDEX('Airfields &amp; Performance Factors'!$N$7:$N$16,MATCH('Performance Calcs &amp; Print Out'!M$6,'Airfields &amp; Performance Factors'!$M$7:$M$16,0)),IF(AND(Variables!C$42="yes",L10=0,K10=0,J10=0,I10&gt;0),I10*INDEX('Airfields &amp; Performance Factors'!$N$7:$N$16,MATCH('Performance Calcs &amp; Print Out'!M$6,'Airfields &amp; Performance Factors'!$M$7:$M$16,0)),IF(AND(Variables!C$42="yes",L10=0,K10=0,J10=0,I10=0,H10&gt;0),H10*INDEX('Airfields &amp; Performance Factors'!$N$7:$N$16,MATCH('Performance Calcs &amp; Print Out'!M$6,'Airfields &amp; Performance Factors'!$M$7:$M$16,0)),IF(Variables!C$42="no",0,"ERROR"))))))),"NULL")</f>
        <v>0</v>
      </c>
      <c r="N10" s="28">
        <f>IFERROR(IF(AND(Variables!C$43="yes",M10&gt;0),M10*INDEX('Airfields &amp; Performance Factors'!$N$7:$N$16,MATCH('Performance Calcs &amp; Print Out'!N$6,'Airfields &amp; Performance Factors'!$M$7:$M$16,0)),IF(AND(Variables!C$43="yes",M10=0,L10=0,K10=0,J10=0,I10=0,H10=0),G10*INDEX('Airfields &amp; Performance Factors'!$N$7:$N$16,MATCH('Performance Calcs &amp; Print Out'!N$6,'Airfields &amp; Performance Factors'!$M$7:$M$16,0)),IF(AND(Variables!C$43="yes",M10=0,L10=0,K10&gt;0),K10*INDEX('Airfields &amp; Performance Factors'!$N$7:$N$16,MATCH('Performance Calcs &amp; Print Out'!N$6,'Airfields &amp; Performance Factors'!$M$7:$M$16,0)),IF(AND(Variables!C$43="yes",M10=0,L10=0,K10=0,J10&gt;0),J10*INDEX('Airfields &amp; Performance Factors'!$N$7:$N$16,MATCH('Performance Calcs &amp; Print Out'!N$6,'Airfields &amp; Performance Factors'!$M$7:$M$16,0)),IF(AND(Variables!C$43="yes",M10=0,L10=0,K10=0,J10=0,I10&gt;0),I10*INDEX('Airfields &amp; Performance Factors'!$N$7:$N$16,MATCH('Performance Calcs &amp; Print Out'!N$6,'Airfields &amp; Performance Factors'!$M$7:$M$16,0)),IF(AND(Variables!C$43="yes",M10=0,L10=0,K10=0,J10=0,I10=0,H10&gt;0),H10*INDEX('Airfields &amp; Performance Factors'!$N$7:$N$16,MATCH('Performance Calcs &amp; Print Out'!N$6,'Airfields &amp; Performance Factors'!$M$7:$M$16,0)),IF(Variables!C$43="no",0,"ERROR"))))))),"NULL")</f>
        <v>0</v>
      </c>
      <c r="O10" s="28">
        <f>IFERROR(IF(AND(Variables!C$44="yes",N10&gt;0),N10*INDEX('Airfields &amp; Performance Factors'!$N$7:$N$16,MATCH('Performance Calcs &amp; Print Out'!O$6,'Airfields &amp; Performance Factors'!$M$7:$M$16,0)),IF(AND(Variables!C$44="yes",N10=0,M10=0,L10=0,K10=0,J10=0,I10=0,H10=0),G10*INDEX('Airfields &amp; Performance Factors'!$N$7:$N$16,MATCH('Performance Calcs &amp; Print Out'!O$6,'Airfields &amp; Performance Factors'!$M$7:$M$16,0)),IF(AND(Variables!C$44="yes",N10=0,M10&gt;0),M10*INDEX('Airfields &amp; Performance Factors'!$N$7:$N$16,MATCH('Performance Calcs &amp; Print Out'!O$6,'Airfields &amp; Performance Factors'!$M$7:$M$16,0)),IF(AND(Variables!C$44="yes",N10=0,M10=0,L10&gt;0),L10*INDEX('Airfields &amp; Performance Factors'!$N$7:$N$16,MATCH('Performance Calcs &amp; Print Out'!O$6,'Airfields &amp; Performance Factors'!$M$7:$M$16,0)),IF(AND(Variables!C$44="yes",N10=0,M10=0,L10=0,K10&gt;0),K10*INDEX('Airfields &amp; Performance Factors'!$N$7:$N$16,MATCH('Performance Calcs &amp; Print Out'!O$6,'Airfields &amp; Performance Factors'!$M$7:$M$16,0)),IF(AND(Variables!C$44="yes",N10=0,M10=0,L10=0,K10=0,J10&gt;0),J10*INDEX('Airfields &amp; Performance Factors'!$N$7:$N$16,MATCH('Performance Calcs &amp; Print Out'!O$6,'Airfields &amp; Performance Factors'!$M$7:$M$16,0)),IF(AND(Variables!C$44="yes",N10=0,M10=0,L10=0,K10=0,J10=0,I10&gt;0),I10*INDEX('Airfields &amp; Performance Factors'!$N$7:$N$16,MATCH('Performance Calcs &amp; Print Out'!O$6,'Airfields &amp; Performance Factors'!$M$7:$M$16,0)),IF(AND(Variables!C$44="yes",N10=0,M10=0,L10=0,K10=0,J10=0,I10=0,H10&gt;0),H10*INDEX('Airfields &amp; Performance Factors'!$N$7:$N$16,MATCH('Performance Calcs &amp; Print Out'!O$6,'Airfields &amp; Performance Factors'!$M$7:$M$16,0)),IF(Variables!C$44="no",0,"ERROR"))))))))),"NULL")</f>
        <v>0</v>
      </c>
      <c r="P10" s="28">
        <f>IFERROR(IF(AND(Variables!C$45="yes",O10&gt;0),O10*INDEX('Airfields &amp; Performance Factors'!$N$7:$N$16,MATCH('Performance Calcs &amp; Print Out'!P$6,'Airfields &amp; Performance Factors'!$M$7:$M$16,0)),IF(AND(Variables!C$45="yes",O10=0,N10=0,L10=0,K10=0,J10=0,I10=0,H10=0),G10*INDEX('Airfields &amp; Performance Factors'!$N$7:$N$16,MATCH('Performance Calcs &amp; Print Out'!P$6,'Airfields &amp; Performance Factors'!$M$7:$M$16,0)),IF(AND(Variables!C$45="yes",O10=0,N10&gt;0),N10*INDEX('Airfields &amp; Performance Factors'!$N$7:$N$16,MATCH('Performance Calcs &amp; Print Out'!P$6,'Airfields &amp; Performance Factors'!$M$7:$M$16,0)),IF(AND(Variables!C$45="yes",O10=0,N10=0,M10&gt;0),M10*INDEX('Airfields &amp; Performance Factors'!$N$7:$N$16,MATCH('Performance Calcs &amp; Print Out'!P$6,'Airfields &amp; Performance Factors'!$M$7:$M$16,0)),IF(AND(Variables!C$45="yes",O10=0,N10=0,M10=0,L10&gt;0),L10*INDEX('Airfields &amp; Performance Factors'!$N$7:$N$16,MATCH('Performance Calcs &amp; Print Out'!P$6,'Airfields &amp; Performance Factors'!$M$7:$M$16,0)),IF(AND(Variables!C$45="yes",O10=0,N10=0,M10=0,L10=0,K10&gt;0),K10*INDEX('Airfields &amp; Performance Factors'!$N$7:$N$16,MATCH('Performance Calcs &amp; Print Out'!P$6,'Airfields &amp; Performance Factors'!$M$7:$M$16,0)),IF(AND(Variables!C$45="yes",O10=0,N10=0,M10=0,L10=0,K10=0,J10&gt;0),J10*INDEX('Airfields &amp; Performance Factors'!$N$7:$N$16,MATCH('Performance Calcs &amp; Print Out'!P$6,'Airfields &amp; Performance Factors'!$M$7:$M$16,0)),IF(AND(Variables!C$45="yes",O10=0,N10=0,M10=0,L10=0,K10=0,J10=0,I10&gt;0),I10*INDEX('Airfields &amp; Performance Factors'!$N$7:$N$16,MATCH('Performance Calcs &amp; Print Out'!P$6,'Airfields &amp; Performance Factors'!$M$7:$M$16,0)),IF(AND(Variables!C$45="yes",O10=0,N10=0,M10=0,L10=0,K10=0,J10=0,I10=0,H10&gt;0),H10*INDEX('Airfields &amp; Performance Factors'!$N$7:$N$16,MATCH('Performance Calcs &amp; Print Out'!P$6,'Airfields &amp; Performance Factors'!$M$7:$M$16,0)),IF(Variables!C$45="no",0,"ERROR")))))))))),"NULL")</f>
        <v>0</v>
      </c>
      <c r="Q10" s="28" t="str">
        <f>IFERROR(IF(P10&gt;0,P10*INDEX('Airfields &amp; Performance Factors'!$N$7:$N$16,MATCH('Performance Calcs &amp; Print Out'!Q$6,'Airfields &amp; Performance Factors'!$M$7:$M$16,0)),IF(O10&gt;0,O10*INDEX('Airfields &amp; Performance Factors'!$N$7:$N$16,MATCH('Performance Calcs &amp; Print Out'!Q$6,'Airfields &amp; Performance Factors'!$M$7:$M$16,0)),IF(N10&gt;0,N10*INDEX('Airfields &amp; Performance Factors'!$N$7:$N$16,MATCH('Performance Calcs &amp; Print Out'!Q$6,'Airfields &amp; Performance Factors'!$M$7:$M$16,0)),IF(M10&gt;0,M10*INDEX('Airfields &amp; Performance Factors'!$N$7:$N$16,MATCH('Performance Calcs &amp; Print Out'!Q$6,'Airfields &amp; Performance Factors'!$M$7:$M$16,0)),IF(L10&gt;0,L10*INDEX('Airfields &amp; Performance Factors'!$N$7:$N$16,MATCH('Performance Calcs &amp; Print Out'!Q$6,'Airfields &amp; Performance Factors'!$M$7:$M$16,0)),IF(K10&gt;0,K10*INDEX('Airfields &amp; Performance Factors'!$N$7:$N$16,MATCH('Performance Calcs &amp; Print Out'!Q$6,'Airfields &amp; Performance Factors'!$M$7:$M$16,0)),IF(J10&gt;0,J10*INDEX('Airfields &amp; Performance Factors'!$N$7:$N$16,MATCH('Performance Calcs &amp; Print Out'!Q$6,'Airfields &amp; Performance Factors'!$M$7:$M$16,0)),IF(I10&gt;0,I10*INDEX('Airfields &amp; Performance Factors'!$N$7:$N$16,MATCH('Performance Calcs &amp; Print Out'!Q$6,'Airfields &amp; Performance Factors'!$M$7:$M$16,0)),IF(H10&gt;0,H10*INDEX('Airfields &amp; Performance Factors'!$N$7:$N$16,MATCH('Performance Calcs &amp; Print Out'!Q$6,'Airfields &amp; Performance Factors'!$M$7:$M$16,0)),IF(G10&gt;0,G10*INDEX('Airfields &amp; Performance Factors'!$N$7:$N$16,MATCH('Performance Calcs &amp; Print Out'!Q$6,'Airfields &amp; Performance Factors'!$M$7:$M$16,0)),"ERROR")))))))))),"NULL")</f>
        <v>ERROR</v>
      </c>
      <c r="R10" s="27" t="str">
        <f t="shared" si="0"/>
        <v>-</v>
      </c>
    </row>
    <row r="11" spans="1:18" x14ac:dyDescent="0.25">
      <c r="A11" s="30"/>
      <c r="B11" s="42">
        <f t="array" ref="B11">IFERROR(INDEX('Airfields &amp; Performance Factors'!C:C,SMALL(IF('Airfields &amp; Performance Factors'!$B:$B=$C$4,ROW('Airfields &amp; Performance Factors'!$B:$B)),ROW('Airfields &amp; Performance Factors'!5:5))),"-")</f>
        <v>0</v>
      </c>
      <c r="C11" s="42">
        <f t="array" ref="C11">IFERROR(INDEX('Airfields &amp; Performance Factors'!D:D,SMALL(IF('Airfields &amp; Performance Factors'!$B:$B=$C$4,ROW('Airfields &amp; Performance Factors'!$B:$B)),ROW('Airfields &amp; Performance Factors'!5:5))),"-")</f>
        <v>0</v>
      </c>
      <c r="D11" s="42">
        <f t="array" ref="D11">IFERROR(INDEX('Airfields &amp; Performance Factors'!E:E,SMALL(IF('Airfields &amp; Performance Factors'!$B:$B=$C$4,ROW('Airfields &amp; Performance Factors'!$B:$B)),ROW('Airfields &amp; Performance Factors'!5:5))),"-")</f>
        <v>0</v>
      </c>
      <c r="E11" s="42">
        <f t="array" ref="E11">IFERROR(INDEX('Airfields &amp; Performance Factors'!F:F,SMALL(IF('Airfields &amp; Performance Factors'!$B:$B=$C$4,ROW('Airfields &amp; Performance Factors'!$B:$B)),ROW('Airfields &amp; Performance Factors'!5:5))),"-")</f>
        <v>0</v>
      </c>
      <c r="G11" s="28">
        <f>IFERROR(Variables!$C$33,"NULL")</f>
        <v>0</v>
      </c>
      <c r="H11" s="28">
        <f>IFERROR(IF(Variables!C$37="yes",G11*INDEX('Airfields &amp; Performance Factors'!$N$7:$N$16,MATCH('Performance Calcs &amp; Print Out'!H$6,'Airfields &amp; Performance Factors'!$M$7:$M$16,0)),0),"NULL")</f>
        <v>0</v>
      </c>
      <c r="I11" s="28">
        <f>IFERROR(IF(AND(Variables!C$38="yes",H11&gt;0),H11*INDEX('Airfields &amp; Performance Factors'!$N$7:$N$16,MATCH('Performance Calcs &amp; Print Out'!I$6,'Airfields &amp; Performance Factors'!$M$7:$M$16,0)),IF(Variables!C$38="no",0,G11*INDEX('Airfields &amp; Performance Factors'!$N$7:$N$16,MATCH('Performance Calcs &amp; Print Out'!I$6,'Airfields &amp; Performance Factors'!$M$7:$M$16,0)))),"NULL")</f>
        <v>0</v>
      </c>
      <c r="J11" s="28">
        <f>IFERROR(IF(AND(Variables!C$39="yes",I11&gt;0),I11*INDEX('Airfields &amp; Performance Factors'!$N$7:$N$16,MATCH('Performance Calcs &amp; Print Out'!J$6,'Airfields &amp; Performance Factors'!$M$7:$M$16,0)),IF(AND(Variables!C$39="yes",I11=0,H11=0),G11*INDEX('Airfields &amp; Performance Factors'!$N$7:$N$16,MATCH('Performance Calcs &amp; Print Out'!J$6,'Airfields &amp; Performance Factors'!$M$7:$M$16,0)),IF(AND(Variables!C$39="yes",I11=0,H11&gt;0),H11*INDEX('Airfields &amp; Performance Factors'!$N$7:$N$16,MATCH('Performance Calcs &amp; Print Out'!J$6,'Airfields &amp; Performance Factors'!$M$7:$M$16,0)),IF(Variables!C$39="no",0,"ERROR")))),"NULL")</f>
        <v>0</v>
      </c>
      <c r="K11" s="28">
        <f>IFERROR(IF(AND(Variables!C$40="yes",J11&gt;0),J11*INDEX('Airfields &amp; Performance Factors'!$N$7:$N$16,MATCH('Performance Calcs &amp; Print Out'!K$6,'Airfields &amp; Performance Factors'!$M$7:$M$16,0)),IF(AND(Variables!C$40="yes",J11=0,I11=0,H11=0),G11*INDEX('Airfields &amp; Performance Factors'!$N$7:$N$16,MATCH('Performance Calcs &amp; Print Out'!K$6,'Airfields &amp; Performance Factors'!$M$7:$M$16,0)),IF(AND(Variables!C$40="yes",J11=0,I11&gt;0),I11*INDEX('Airfields &amp; Performance Factors'!$N$7:$N$16,MATCH('Performance Calcs &amp; Print Out'!K$6,'Airfields &amp; Performance Factors'!$M$7:$M$16,0)),IF(AND(Variables!C$40="yes",J11=0,I11=0,H11&gt;0),H11*INDEX('Airfields &amp; Performance Factors'!$N$7:$N$16,MATCH('Performance Calcs &amp; Print Out'!K$6,'Airfields &amp; Performance Factors'!$M$7:$M$16,0)),IF(Variables!C$40="no",0,"ERROR"))))),"NULL")</f>
        <v>0</v>
      </c>
      <c r="L11" s="28">
        <f>IFERROR(IF(AND(Variables!C$41="yes",K11&gt;0),K11*INDEX('Airfields &amp; Performance Factors'!$N$7:$N$16,MATCH('Performance Calcs &amp; Print Out'!L$6,'Airfields &amp; Performance Factors'!$M$7:$M$16,0)),IF(AND(Variables!C$41="yes",K11=0,J11=0,I11=0,H11=0),G11*INDEX('Airfields &amp; Performance Factors'!$N$7:$N$16,MATCH('Performance Calcs &amp; Print Out'!L$6,'Airfields &amp; Performance Factors'!$M$7:$M$16,0)),IF(AND(Variables!C$41="yes",K11=0,J11&gt;0),J11*INDEX('Airfields &amp; Performance Factors'!$N$7:$N$16,MATCH('Performance Calcs &amp; Print Out'!L$6,'Airfields &amp; Performance Factors'!$M$7:$M$16,0)),IF(AND(Variables!C$41="yes",K11=0,J11=0,I11&gt;0),I11*INDEX('Airfields &amp; Performance Factors'!$N$7:$N$16,MATCH('Performance Calcs &amp; Print Out'!L$6,'Airfields &amp; Performance Factors'!$M$7:$M$16,0)),IF(AND(Variables!C$41="yes",K11=0,J11=0,I11=0,H11&gt;0),H11*INDEX('Airfields &amp; Performance Factors'!$N$7:$N$16,MATCH('Performance Calcs &amp; Print Out'!L$6,'Airfields &amp; Performance Factors'!$M$7:$M$16,0)),IF(Variables!C$41="no",0,"ERROR")))))),"NULL")</f>
        <v>0</v>
      </c>
      <c r="M11" s="28">
        <f>IFERROR(IF(AND(Variables!C$42="yes",L11&gt;0),L11*INDEX('Airfields &amp; Performance Factors'!$N$7:$N$16,MATCH('Performance Calcs &amp; Print Out'!M$6,'Airfields &amp; Performance Factors'!$M$7:$M$16,0)),IF(AND(Variables!C$42="yes",L11=0,K11=0,J11=0,I11=0,H11=0),G11*INDEX('Airfields &amp; Performance Factors'!$N$7:$N$16,MATCH('Performance Calcs &amp; Print Out'!M$6,'Airfields &amp; Performance Factors'!$M$7:$M$16,0)),IF(AND(Variables!C$42="yes",L11=0,K11&gt;0),K11*INDEX('Airfields &amp; Performance Factors'!$N$7:$N$16,MATCH('Performance Calcs &amp; Print Out'!M$6,'Airfields &amp; Performance Factors'!$M$7:$M$16,0)),IF(AND(Variables!C$42="yes",L11=0,K11=0,J11&gt;0),J11*INDEX('Airfields &amp; Performance Factors'!$N$7:$N$16,MATCH('Performance Calcs &amp; Print Out'!M$6,'Airfields &amp; Performance Factors'!$M$7:$M$16,0)),IF(AND(Variables!C$42="yes",L11=0,K11=0,J11=0,I11&gt;0),I11*INDEX('Airfields &amp; Performance Factors'!$N$7:$N$16,MATCH('Performance Calcs &amp; Print Out'!M$6,'Airfields &amp; Performance Factors'!$M$7:$M$16,0)),IF(AND(Variables!C$42="yes",L11=0,K11=0,J11=0,I11=0,H11&gt;0),H11*INDEX('Airfields &amp; Performance Factors'!$N$7:$N$16,MATCH('Performance Calcs &amp; Print Out'!M$6,'Airfields &amp; Performance Factors'!$M$7:$M$16,0)),IF(Variables!C$42="no",0,"ERROR"))))))),"NULL")</f>
        <v>0</v>
      </c>
      <c r="N11" s="28">
        <f>IFERROR(IF(AND(Variables!C$43="yes",M11&gt;0),M11*INDEX('Airfields &amp; Performance Factors'!$N$7:$N$16,MATCH('Performance Calcs &amp; Print Out'!N$6,'Airfields &amp; Performance Factors'!$M$7:$M$16,0)),IF(AND(Variables!C$43="yes",M11=0,L11=0,K11=0,J11=0,I11=0,H11=0),G11*INDEX('Airfields &amp; Performance Factors'!$N$7:$N$16,MATCH('Performance Calcs &amp; Print Out'!N$6,'Airfields &amp; Performance Factors'!$M$7:$M$16,0)),IF(AND(Variables!C$43="yes",M11=0,L11=0,K11&gt;0),K11*INDEX('Airfields &amp; Performance Factors'!$N$7:$N$16,MATCH('Performance Calcs &amp; Print Out'!N$6,'Airfields &amp; Performance Factors'!$M$7:$M$16,0)),IF(AND(Variables!C$43="yes",M11=0,L11=0,K11=0,J11&gt;0),J11*INDEX('Airfields &amp; Performance Factors'!$N$7:$N$16,MATCH('Performance Calcs &amp; Print Out'!N$6,'Airfields &amp; Performance Factors'!$M$7:$M$16,0)),IF(AND(Variables!C$43="yes",M11=0,L11=0,K11=0,J11=0,I11&gt;0),I11*INDEX('Airfields &amp; Performance Factors'!$N$7:$N$16,MATCH('Performance Calcs &amp; Print Out'!N$6,'Airfields &amp; Performance Factors'!$M$7:$M$16,0)),IF(AND(Variables!C$43="yes",M11=0,L11=0,K11=0,J11=0,I11=0,H11&gt;0),H11*INDEX('Airfields &amp; Performance Factors'!$N$7:$N$16,MATCH('Performance Calcs &amp; Print Out'!N$6,'Airfields &amp; Performance Factors'!$M$7:$M$16,0)),IF(Variables!C$43="no",0,"ERROR"))))))),"NULL")</f>
        <v>0</v>
      </c>
      <c r="O11" s="28">
        <f>IFERROR(IF(AND(Variables!C$44="yes",N11&gt;0),N11*INDEX('Airfields &amp; Performance Factors'!$N$7:$N$16,MATCH('Performance Calcs &amp; Print Out'!O$6,'Airfields &amp; Performance Factors'!$M$7:$M$16,0)),IF(AND(Variables!C$44="yes",N11=0,M11=0,L11=0,K11=0,J11=0,I11=0,H11=0),G11*INDEX('Airfields &amp; Performance Factors'!$N$7:$N$16,MATCH('Performance Calcs &amp; Print Out'!O$6,'Airfields &amp; Performance Factors'!$M$7:$M$16,0)),IF(AND(Variables!C$44="yes",N11=0,M11&gt;0),M11*INDEX('Airfields &amp; Performance Factors'!$N$7:$N$16,MATCH('Performance Calcs &amp; Print Out'!O$6,'Airfields &amp; Performance Factors'!$M$7:$M$16,0)),IF(AND(Variables!C$44="yes",N11=0,M11=0,L11&gt;0),L11*INDEX('Airfields &amp; Performance Factors'!$N$7:$N$16,MATCH('Performance Calcs &amp; Print Out'!O$6,'Airfields &amp; Performance Factors'!$M$7:$M$16,0)),IF(AND(Variables!C$44="yes",N11=0,M11=0,L11=0,K11&gt;0),K11*INDEX('Airfields &amp; Performance Factors'!$N$7:$N$16,MATCH('Performance Calcs &amp; Print Out'!O$6,'Airfields &amp; Performance Factors'!$M$7:$M$16,0)),IF(AND(Variables!C$44="yes",N11=0,M11=0,L11=0,K11=0,J11&gt;0),J11*INDEX('Airfields &amp; Performance Factors'!$N$7:$N$16,MATCH('Performance Calcs &amp; Print Out'!O$6,'Airfields &amp; Performance Factors'!$M$7:$M$16,0)),IF(AND(Variables!C$44="yes",N11=0,M11=0,L11=0,K11=0,J11=0,I11&gt;0),I11*INDEX('Airfields &amp; Performance Factors'!$N$7:$N$16,MATCH('Performance Calcs &amp; Print Out'!O$6,'Airfields &amp; Performance Factors'!$M$7:$M$16,0)),IF(AND(Variables!C$44="yes",N11=0,M11=0,L11=0,K11=0,J11=0,I11=0,H11&gt;0),H11*INDEX('Airfields &amp; Performance Factors'!$N$7:$N$16,MATCH('Performance Calcs &amp; Print Out'!O$6,'Airfields &amp; Performance Factors'!$M$7:$M$16,0)),IF(Variables!C$44="no",0,"ERROR"))))))))),"NULL")</f>
        <v>0</v>
      </c>
      <c r="P11" s="28">
        <f>IFERROR(IF(AND(Variables!C$45="yes",O11&gt;0),O11*INDEX('Airfields &amp; Performance Factors'!$N$7:$N$16,MATCH('Performance Calcs &amp; Print Out'!P$6,'Airfields &amp; Performance Factors'!$M$7:$M$16,0)),IF(AND(Variables!C$45="yes",O11=0,N11=0,L11=0,K11=0,J11=0,I11=0,H11=0),G11*INDEX('Airfields &amp; Performance Factors'!$N$7:$N$16,MATCH('Performance Calcs &amp; Print Out'!P$6,'Airfields &amp; Performance Factors'!$M$7:$M$16,0)),IF(AND(Variables!C$45="yes",O11=0,N11&gt;0),N11*INDEX('Airfields &amp; Performance Factors'!$N$7:$N$16,MATCH('Performance Calcs &amp; Print Out'!P$6,'Airfields &amp; Performance Factors'!$M$7:$M$16,0)),IF(AND(Variables!C$45="yes",O11=0,N11=0,M11&gt;0),M11*INDEX('Airfields &amp; Performance Factors'!$N$7:$N$16,MATCH('Performance Calcs &amp; Print Out'!P$6,'Airfields &amp; Performance Factors'!$M$7:$M$16,0)),IF(AND(Variables!C$45="yes",O11=0,N11=0,M11=0,L11&gt;0),L11*INDEX('Airfields &amp; Performance Factors'!$N$7:$N$16,MATCH('Performance Calcs &amp; Print Out'!P$6,'Airfields &amp; Performance Factors'!$M$7:$M$16,0)),IF(AND(Variables!C$45="yes",O11=0,N11=0,M11=0,L11=0,K11&gt;0),K11*INDEX('Airfields &amp; Performance Factors'!$N$7:$N$16,MATCH('Performance Calcs &amp; Print Out'!P$6,'Airfields &amp; Performance Factors'!$M$7:$M$16,0)),IF(AND(Variables!C$45="yes",O11=0,N11=0,M11=0,L11=0,K11=0,J11&gt;0),J11*INDEX('Airfields &amp; Performance Factors'!$N$7:$N$16,MATCH('Performance Calcs &amp; Print Out'!P$6,'Airfields &amp; Performance Factors'!$M$7:$M$16,0)),IF(AND(Variables!C$45="yes",O11=0,N11=0,M11=0,L11=0,K11=0,J11=0,I11&gt;0),I11*INDEX('Airfields &amp; Performance Factors'!$N$7:$N$16,MATCH('Performance Calcs &amp; Print Out'!P$6,'Airfields &amp; Performance Factors'!$M$7:$M$16,0)),IF(AND(Variables!C$45="yes",O11=0,N11=0,M11=0,L11=0,K11=0,J11=0,I11=0,H11&gt;0),H11*INDEX('Airfields &amp; Performance Factors'!$N$7:$N$16,MATCH('Performance Calcs &amp; Print Out'!P$6,'Airfields &amp; Performance Factors'!$M$7:$M$16,0)),IF(Variables!C$45="no",0,"ERROR")))))))))),"NULL")</f>
        <v>0</v>
      </c>
      <c r="Q11" s="28" t="str">
        <f>IFERROR(IF(P11&gt;0,P11*INDEX('Airfields &amp; Performance Factors'!$N$7:$N$16,MATCH('Performance Calcs &amp; Print Out'!Q$6,'Airfields &amp; Performance Factors'!$M$7:$M$16,0)),IF(O11&gt;0,O11*INDEX('Airfields &amp; Performance Factors'!$N$7:$N$16,MATCH('Performance Calcs &amp; Print Out'!Q$6,'Airfields &amp; Performance Factors'!$M$7:$M$16,0)),IF(N11&gt;0,N11*INDEX('Airfields &amp; Performance Factors'!$N$7:$N$16,MATCH('Performance Calcs &amp; Print Out'!Q$6,'Airfields &amp; Performance Factors'!$M$7:$M$16,0)),IF(M11&gt;0,M11*INDEX('Airfields &amp; Performance Factors'!$N$7:$N$16,MATCH('Performance Calcs &amp; Print Out'!Q$6,'Airfields &amp; Performance Factors'!$M$7:$M$16,0)),IF(L11&gt;0,L11*INDEX('Airfields &amp; Performance Factors'!$N$7:$N$16,MATCH('Performance Calcs &amp; Print Out'!Q$6,'Airfields &amp; Performance Factors'!$M$7:$M$16,0)),IF(K11&gt;0,K11*INDEX('Airfields &amp; Performance Factors'!$N$7:$N$16,MATCH('Performance Calcs &amp; Print Out'!Q$6,'Airfields &amp; Performance Factors'!$M$7:$M$16,0)),IF(J11&gt;0,J11*INDEX('Airfields &amp; Performance Factors'!$N$7:$N$16,MATCH('Performance Calcs &amp; Print Out'!Q$6,'Airfields &amp; Performance Factors'!$M$7:$M$16,0)),IF(I11&gt;0,I11*INDEX('Airfields &amp; Performance Factors'!$N$7:$N$16,MATCH('Performance Calcs &amp; Print Out'!Q$6,'Airfields &amp; Performance Factors'!$M$7:$M$16,0)),IF(H11&gt;0,H11*INDEX('Airfields &amp; Performance Factors'!$N$7:$N$16,MATCH('Performance Calcs &amp; Print Out'!Q$6,'Airfields &amp; Performance Factors'!$M$7:$M$16,0)),IF(G11&gt;0,G11*INDEX('Airfields &amp; Performance Factors'!$N$7:$N$16,MATCH('Performance Calcs &amp; Print Out'!Q$6,'Airfields &amp; Performance Factors'!$M$7:$M$16,0)),"ERROR")))))))))),"NULL")</f>
        <v>ERROR</v>
      </c>
      <c r="R11" s="27" t="str">
        <f t="shared" si="0"/>
        <v>-</v>
      </c>
    </row>
    <row r="12" spans="1:18" x14ac:dyDescent="0.25">
      <c r="A12" s="30"/>
      <c r="B12" s="42">
        <f t="array" ref="B12">IFERROR(INDEX('Airfields &amp; Performance Factors'!C:C,SMALL(IF('Airfields &amp; Performance Factors'!$B:$B=$C$4,ROW('Airfields &amp; Performance Factors'!$B:$B)),ROW('Airfields &amp; Performance Factors'!6:6))),"-")</f>
        <v>0</v>
      </c>
      <c r="C12" s="42">
        <f t="array" ref="C12">IFERROR(INDEX('Airfields &amp; Performance Factors'!D:D,SMALL(IF('Airfields &amp; Performance Factors'!$B:$B=$C$4,ROW('Airfields &amp; Performance Factors'!$B:$B)),ROW('Airfields &amp; Performance Factors'!6:6))),"-")</f>
        <v>0</v>
      </c>
      <c r="D12" s="42">
        <f t="array" ref="D12">IFERROR(INDEX('Airfields &amp; Performance Factors'!E:E,SMALL(IF('Airfields &amp; Performance Factors'!$B:$B=$C$4,ROW('Airfields &amp; Performance Factors'!$B:$B)),ROW('Airfields &amp; Performance Factors'!6:6))),"-")</f>
        <v>0</v>
      </c>
      <c r="E12" s="42">
        <f t="array" ref="E12">IFERROR(INDEX('Airfields &amp; Performance Factors'!F:F,SMALL(IF('Airfields &amp; Performance Factors'!$B:$B=$C$4,ROW('Airfields &amp; Performance Factors'!$B:$B)),ROW('Airfields &amp; Performance Factors'!6:6))),"-")</f>
        <v>0</v>
      </c>
      <c r="G12" s="28">
        <f>IFERROR(Variables!$C$33,"NULL")</f>
        <v>0</v>
      </c>
      <c r="H12" s="28">
        <f>IFERROR(IF(Variables!C$37="yes",G12*INDEX('Airfields &amp; Performance Factors'!$N$7:$N$16,MATCH('Performance Calcs &amp; Print Out'!H$6,'Airfields &amp; Performance Factors'!$M$7:$M$16,0)),0),"NULL")</f>
        <v>0</v>
      </c>
      <c r="I12" s="28">
        <f>IFERROR(IF(AND(Variables!C$38="yes",H12&gt;0),H12*INDEX('Airfields &amp; Performance Factors'!$N$7:$N$16,MATCH('Performance Calcs &amp; Print Out'!I$6,'Airfields &amp; Performance Factors'!$M$7:$M$16,0)),IF(Variables!C$38="no",0,G12*INDEX('Airfields &amp; Performance Factors'!$N$7:$N$16,MATCH('Performance Calcs &amp; Print Out'!I$6,'Airfields &amp; Performance Factors'!$M$7:$M$16,0)))),"NULL")</f>
        <v>0</v>
      </c>
      <c r="J12" s="28">
        <f>IFERROR(IF(AND(Variables!C$39="yes",I12&gt;0),I12*INDEX('Airfields &amp; Performance Factors'!$N$7:$N$16,MATCH('Performance Calcs &amp; Print Out'!J$6,'Airfields &amp; Performance Factors'!$M$7:$M$16,0)),IF(AND(Variables!C$39="yes",I12=0,H12=0),G12*INDEX('Airfields &amp; Performance Factors'!$N$7:$N$16,MATCH('Performance Calcs &amp; Print Out'!J$6,'Airfields &amp; Performance Factors'!$M$7:$M$16,0)),IF(AND(Variables!C$39="yes",I12=0,H12&gt;0),H12*INDEX('Airfields &amp; Performance Factors'!$N$7:$N$16,MATCH('Performance Calcs &amp; Print Out'!J$6,'Airfields &amp; Performance Factors'!$M$7:$M$16,0)),IF(Variables!C$39="no",0,"ERROR")))),"NULL")</f>
        <v>0</v>
      </c>
      <c r="K12" s="28">
        <f>IFERROR(IF(AND(Variables!C$40="yes",J12&gt;0),J12*INDEX('Airfields &amp; Performance Factors'!$N$7:$N$16,MATCH('Performance Calcs &amp; Print Out'!K$6,'Airfields &amp; Performance Factors'!$M$7:$M$16,0)),IF(AND(Variables!C$40="yes",J12=0,I12=0,H12=0),G12*INDEX('Airfields &amp; Performance Factors'!$N$7:$N$16,MATCH('Performance Calcs &amp; Print Out'!K$6,'Airfields &amp; Performance Factors'!$M$7:$M$16,0)),IF(AND(Variables!C$40="yes",J12=0,I12&gt;0),I12*INDEX('Airfields &amp; Performance Factors'!$N$7:$N$16,MATCH('Performance Calcs &amp; Print Out'!K$6,'Airfields &amp; Performance Factors'!$M$7:$M$16,0)),IF(AND(Variables!C$40="yes",J12=0,I12=0,H12&gt;0),H12*INDEX('Airfields &amp; Performance Factors'!$N$7:$N$16,MATCH('Performance Calcs &amp; Print Out'!K$6,'Airfields &amp; Performance Factors'!$M$7:$M$16,0)),IF(Variables!C$40="no",0,"ERROR"))))),"NULL")</f>
        <v>0</v>
      </c>
      <c r="L12" s="28">
        <f>IFERROR(IF(AND(Variables!C$41="yes",K12&gt;0),K12*INDEX('Airfields &amp; Performance Factors'!$N$7:$N$16,MATCH('Performance Calcs &amp; Print Out'!L$6,'Airfields &amp; Performance Factors'!$M$7:$M$16,0)),IF(AND(Variables!C$41="yes",K12=0,J12=0,I12=0,H12=0),G12*INDEX('Airfields &amp; Performance Factors'!$N$7:$N$16,MATCH('Performance Calcs &amp; Print Out'!L$6,'Airfields &amp; Performance Factors'!$M$7:$M$16,0)),IF(AND(Variables!C$41="yes",K12=0,J12&gt;0),J12*INDEX('Airfields &amp; Performance Factors'!$N$7:$N$16,MATCH('Performance Calcs &amp; Print Out'!L$6,'Airfields &amp; Performance Factors'!$M$7:$M$16,0)),IF(AND(Variables!C$41="yes",K12=0,J12=0,I12&gt;0),I12*INDEX('Airfields &amp; Performance Factors'!$N$7:$N$16,MATCH('Performance Calcs &amp; Print Out'!L$6,'Airfields &amp; Performance Factors'!$M$7:$M$16,0)),IF(AND(Variables!C$41="yes",K12=0,J12=0,I12=0,H12&gt;0),H12*INDEX('Airfields &amp; Performance Factors'!$N$7:$N$16,MATCH('Performance Calcs &amp; Print Out'!L$6,'Airfields &amp; Performance Factors'!$M$7:$M$16,0)),IF(Variables!C$41="no",0,"ERROR")))))),"NULL")</f>
        <v>0</v>
      </c>
      <c r="M12" s="28">
        <f>IFERROR(IF(AND(Variables!C$42="yes",L12&gt;0),L12*INDEX('Airfields &amp; Performance Factors'!$N$7:$N$16,MATCH('Performance Calcs &amp; Print Out'!M$6,'Airfields &amp; Performance Factors'!$M$7:$M$16,0)),IF(AND(Variables!C$42="yes",L12=0,K12=0,J12=0,I12=0,H12=0),G12*INDEX('Airfields &amp; Performance Factors'!$N$7:$N$16,MATCH('Performance Calcs &amp; Print Out'!M$6,'Airfields &amp; Performance Factors'!$M$7:$M$16,0)),IF(AND(Variables!C$42="yes",L12=0,K12&gt;0),K12*INDEX('Airfields &amp; Performance Factors'!$N$7:$N$16,MATCH('Performance Calcs &amp; Print Out'!M$6,'Airfields &amp; Performance Factors'!$M$7:$M$16,0)),IF(AND(Variables!C$42="yes",L12=0,K12=0,J12&gt;0),J12*INDEX('Airfields &amp; Performance Factors'!$N$7:$N$16,MATCH('Performance Calcs &amp; Print Out'!M$6,'Airfields &amp; Performance Factors'!$M$7:$M$16,0)),IF(AND(Variables!C$42="yes",L12=0,K12=0,J12=0,I12&gt;0),I12*INDEX('Airfields &amp; Performance Factors'!$N$7:$N$16,MATCH('Performance Calcs &amp; Print Out'!M$6,'Airfields &amp; Performance Factors'!$M$7:$M$16,0)),IF(AND(Variables!C$42="yes",L12=0,K12=0,J12=0,I12=0,H12&gt;0),H12*INDEX('Airfields &amp; Performance Factors'!$N$7:$N$16,MATCH('Performance Calcs &amp; Print Out'!M$6,'Airfields &amp; Performance Factors'!$M$7:$M$16,0)),IF(Variables!C$42="no",0,"ERROR"))))))),"NULL")</f>
        <v>0</v>
      </c>
      <c r="N12" s="28">
        <f>IFERROR(IF(AND(Variables!C$43="yes",M12&gt;0),M12*INDEX('Airfields &amp; Performance Factors'!$N$7:$N$16,MATCH('Performance Calcs &amp; Print Out'!N$6,'Airfields &amp; Performance Factors'!$M$7:$M$16,0)),IF(AND(Variables!C$43="yes",M12=0,L12=0,K12=0,J12=0,I12=0,H12=0),G12*INDEX('Airfields &amp; Performance Factors'!$N$7:$N$16,MATCH('Performance Calcs &amp; Print Out'!N$6,'Airfields &amp; Performance Factors'!$M$7:$M$16,0)),IF(AND(Variables!C$43="yes",M12=0,L12=0,K12&gt;0),K12*INDEX('Airfields &amp; Performance Factors'!$N$7:$N$16,MATCH('Performance Calcs &amp; Print Out'!N$6,'Airfields &amp; Performance Factors'!$M$7:$M$16,0)),IF(AND(Variables!C$43="yes",M12=0,L12=0,K12=0,J12&gt;0),J12*INDEX('Airfields &amp; Performance Factors'!$N$7:$N$16,MATCH('Performance Calcs &amp; Print Out'!N$6,'Airfields &amp; Performance Factors'!$M$7:$M$16,0)),IF(AND(Variables!C$43="yes",M12=0,L12=0,K12=0,J12=0,I12&gt;0),I12*INDEX('Airfields &amp; Performance Factors'!$N$7:$N$16,MATCH('Performance Calcs &amp; Print Out'!N$6,'Airfields &amp; Performance Factors'!$M$7:$M$16,0)),IF(AND(Variables!C$43="yes",M12=0,L12=0,K12=0,J12=0,I12=0,H12&gt;0),H12*INDEX('Airfields &amp; Performance Factors'!$N$7:$N$16,MATCH('Performance Calcs &amp; Print Out'!N$6,'Airfields &amp; Performance Factors'!$M$7:$M$16,0)),IF(Variables!C$43="no",0,"ERROR"))))))),"NULL")</f>
        <v>0</v>
      </c>
      <c r="O12" s="28">
        <f>IFERROR(IF(AND(Variables!C$44="yes",N12&gt;0),N12*INDEX('Airfields &amp; Performance Factors'!$N$7:$N$16,MATCH('Performance Calcs &amp; Print Out'!O$6,'Airfields &amp; Performance Factors'!$M$7:$M$16,0)),IF(AND(Variables!C$44="yes",N12=0,M12=0,L12=0,K12=0,J12=0,I12=0,H12=0),G12*INDEX('Airfields &amp; Performance Factors'!$N$7:$N$16,MATCH('Performance Calcs &amp; Print Out'!O$6,'Airfields &amp; Performance Factors'!$M$7:$M$16,0)),IF(AND(Variables!C$44="yes",N12=0,M12&gt;0),M12*INDEX('Airfields &amp; Performance Factors'!$N$7:$N$16,MATCH('Performance Calcs &amp; Print Out'!O$6,'Airfields &amp; Performance Factors'!$M$7:$M$16,0)),IF(AND(Variables!C$44="yes",N12=0,M12=0,L12&gt;0),L12*INDEX('Airfields &amp; Performance Factors'!$N$7:$N$16,MATCH('Performance Calcs &amp; Print Out'!O$6,'Airfields &amp; Performance Factors'!$M$7:$M$16,0)),IF(AND(Variables!C$44="yes",N12=0,M12=0,L12=0,K12&gt;0),K12*INDEX('Airfields &amp; Performance Factors'!$N$7:$N$16,MATCH('Performance Calcs &amp; Print Out'!O$6,'Airfields &amp; Performance Factors'!$M$7:$M$16,0)),IF(AND(Variables!C$44="yes",N12=0,M12=0,L12=0,K12=0,J12&gt;0),J12*INDEX('Airfields &amp; Performance Factors'!$N$7:$N$16,MATCH('Performance Calcs &amp; Print Out'!O$6,'Airfields &amp; Performance Factors'!$M$7:$M$16,0)),IF(AND(Variables!C$44="yes",N12=0,M12=0,L12=0,K12=0,J12=0,I12&gt;0),I12*INDEX('Airfields &amp; Performance Factors'!$N$7:$N$16,MATCH('Performance Calcs &amp; Print Out'!O$6,'Airfields &amp; Performance Factors'!$M$7:$M$16,0)),IF(AND(Variables!C$44="yes",N12=0,M12=0,L12=0,K12=0,J12=0,I12=0,H12&gt;0),H12*INDEX('Airfields &amp; Performance Factors'!$N$7:$N$16,MATCH('Performance Calcs &amp; Print Out'!O$6,'Airfields &amp; Performance Factors'!$M$7:$M$16,0)),IF(Variables!C$44="no",0,"ERROR"))))))))),"NULL")</f>
        <v>0</v>
      </c>
      <c r="P12" s="28">
        <f>IFERROR(IF(AND(Variables!C$45="yes",O12&gt;0),O12*INDEX('Airfields &amp; Performance Factors'!$N$7:$N$16,MATCH('Performance Calcs &amp; Print Out'!P$6,'Airfields &amp; Performance Factors'!$M$7:$M$16,0)),IF(AND(Variables!C$45="yes",O12=0,N12=0,L12=0,K12=0,J12=0,I12=0,H12=0),G12*INDEX('Airfields &amp; Performance Factors'!$N$7:$N$16,MATCH('Performance Calcs &amp; Print Out'!P$6,'Airfields &amp; Performance Factors'!$M$7:$M$16,0)),IF(AND(Variables!C$45="yes",O12=0,N12&gt;0),N12*INDEX('Airfields &amp; Performance Factors'!$N$7:$N$16,MATCH('Performance Calcs &amp; Print Out'!P$6,'Airfields &amp; Performance Factors'!$M$7:$M$16,0)),IF(AND(Variables!C$45="yes",O12=0,N12=0,M12&gt;0),M12*INDEX('Airfields &amp; Performance Factors'!$N$7:$N$16,MATCH('Performance Calcs &amp; Print Out'!P$6,'Airfields &amp; Performance Factors'!$M$7:$M$16,0)),IF(AND(Variables!C$45="yes",O12=0,N12=0,M12=0,L12&gt;0),L12*INDEX('Airfields &amp; Performance Factors'!$N$7:$N$16,MATCH('Performance Calcs &amp; Print Out'!P$6,'Airfields &amp; Performance Factors'!$M$7:$M$16,0)),IF(AND(Variables!C$45="yes",O12=0,N12=0,M12=0,L12=0,K12&gt;0),K12*INDEX('Airfields &amp; Performance Factors'!$N$7:$N$16,MATCH('Performance Calcs &amp; Print Out'!P$6,'Airfields &amp; Performance Factors'!$M$7:$M$16,0)),IF(AND(Variables!C$45="yes",O12=0,N12=0,M12=0,L12=0,K12=0,J12&gt;0),J12*INDEX('Airfields &amp; Performance Factors'!$N$7:$N$16,MATCH('Performance Calcs &amp; Print Out'!P$6,'Airfields &amp; Performance Factors'!$M$7:$M$16,0)),IF(AND(Variables!C$45="yes",O12=0,N12=0,M12=0,L12=0,K12=0,J12=0,I12&gt;0),I12*INDEX('Airfields &amp; Performance Factors'!$N$7:$N$16,MATCH('Performance Calcs &amp; Print Out'!P$6,'Airfields &amp; Performance Factors'!$M$7:$M$16,0)),IF(AND(Variables!C$45="yes",O12=0,N12=0,M12=0,L12=0,K12=0,J12=0,I12=0,H12&gt;0),H12*INDEX('Airfields &amp; Performance Factors'!$N$7:$N$16,MATCH('Performance Calcs &amp; Print Out'!P$6,'Airfields &amp; Performance Factors'!$M$7:$M$16,0)),IF(Variables!C$45="no",0,"ERROR")))))))))),"NULL")</f>
        <v>0</v>
      </c>
      <c r="Q12" s="28" t="str">
        <f>IFERROR(IF(P12&gt;0,P12*INDEX('Airfields &amp; Performance Factors'!$N$7:$N$16,MATCH('Performance Calcs &amp; Print Out'!Q$6,'Airfields &amp; Performance Factors'!$M$7:$M$16,0)),IF(O12&gt;0,O12*INDEX('Airfields &amp; Performance Factors'!$N$7:$N$16,MATCH('Performance Calcs &amp; Print Out'!Q$6,'Airfields &amp; Performance Factors'!$M$7:$M$16,0)),IF(N12&gt;0,N12*INDEX('Airfields &amp; Performance Factors'!$N$7:$N$16,MATCH('Performance Calcs &amp; Print Out'!Q$6,'Airfields &amp; Performance Factors'!$M$7:$M$16,0)),IF(M12&gt;0,M12*INDEX('Airfields &amp; Performance Factors'!$N$7:$N$16,MATCH('Performance Calcs &amp; Print Out'!Q$6,'Airfields &amp; Performance Factors'!$M$7:$M$16,0)),IF(L12&gt;0,L12*INDEX('Airfields &amp; Performance Factors'!$N$7:$N$16,MATCH('Performance Calcs &amp; Print Out'!Q$6,'Airfields &amp; Performance Factors'!$M$7:$M$16,0)),IF(K12&gt;0,K12*INDEX('Airfields &amp; Performance Factors'!$N$7:$N$16,MATCH('Performance Calcs &amp; Print Out'!Q$6,'Airfields &amp; Performance Factors'!$M$7:$M$16,0)),IF(J12&gt;0,J12*INDEX('Airfields &amp; Performance Factors'!$N$7:$N$16,MATCH('Performance Calcs &amp; Print Out'!Q$6,'Airfields &amp; Performance Factors'!$M$7:$M$16,0)),IF(I12&gt;0,I12*INDEX('Airfields &amp; Performance Factors'!$N$7:$N$16,MATCH('Performance Calcs &amp; Print Out'!Q$6,'Airfields &amp; Performance Factors'!$M$7:$M$16,0)),IF(H12&gt;0,H12*INDEX('Airfields &amp; Performance Factors'!$N$7:$N$16,MATCH('Performance Calcs &amp; Print Out'!Q$6,'Airfields &amp; Performance Factors'!$M$7:$M$16,0)),IF(G12&gt;0,G12*INDEX('Airfields &amp; Performance Factors'!$N$7:$N$16,MATCH('Performance Calcs &amp; Print Out'!Q$6,'Airfields &amp; Performance Factors'!$M$7:$M$16,0)),"ERROR")))))))))),"NULL")</f>
        <v>ERROR</v>
      </c>
      <c r="R12" s="27" t="str">
        <f t="shared" si="0"/>
        <v>-</v>
      </c>
    </row>
    <row r="13" spans="1:18" s="9" customFormat="1" x14ac:dyDescent="0.25">
      <c r="A13" s="30"/>
      <c r="B13" s="42">
        <f t="array" ref="B13">IFERROR(INDEX('Airfields &amp; Performance Factors'!C:C,SMALL(IF('Airfields &amp; Performance Factors'!$B:$B=$C$4,ROW('Airfields &amp; Performance Factors'!$B:$B)),ROW('Airfields &amp; Performance Factors'!7:7))),"-")</f>
        <v>0</v>
      </c>
      <c r="C13" s="42">
        <f t="array" ref="C13">IFERROR(INDEX('Airfields &amp; Performance Factors'!D:D,SMALL(IF('Airfields &amp; Performance Factors'!$B:$B=$C$4,ROW('Airfields &amp; Performance Factors'!$B:$B)),ROW('Airfields &amp; Performance Factors'!7:7))),"-")</f>
        <v>0</v>
      </c>
      <c r="D13" s="42">
        <f t="array" ref="D13">IFERROR(INDEX('Airfields &amp; Performance Factors'!E:E,SMALL(IF('Airfields &amp; Performance Factors'!$B:$B=$C$4,ROW('Airfields &amp; Performance Factors'!$B:$B)),ROW('Airfields &amp; Performance Factors'!7:7))),"-")</f>
        <v>0</v>
      </c>
      <c r="E13" s="42">
        <f t="array" ref="E13">IFERROR(INDEX('Airfields &amp; Performance Factors'!F:F,SMALL(IF('Airfields &amp; Performance Factors'!$B:$B=$C$4,ROW('Airfields &amp; Performance Factors'!$B:$B)),ROW('Airfields &amp; Performance Factors'!7:7))),"-")</f>
        <v>0</v>
      </c>
      <c r="G13" s="28">
        <f>IFERROR(Variables!$C$33,"NULL")</f>
        <v>0</v>
      </c>
      <c r="H13" s="28">
        <f>IFERROR(IF(Variables!C$37="yes",G13*INDEX('Airfields &amp; Performance Factors'!$N$7:$N$16,MATCH('Performance Calcs &amp; Print Out'!H$6,'Airfields &amp; Performance Factors'!$M$7:$M$16,0)),0),"NULL")</f>
        <v>0</v>
      </c>
      <c r="I13" s="28">
        <f>IFERROR(IF(AND(Variables!C$38="yes",H13&gt;0),H13*INDEX('Airfields &amp; Performance Factors'!$N$7:$N$16,MATCH('Performance Calcs &amp; Print Out'!I$6,'Airfields &amp; Performance Factors'!$M$7:$M$16,0)),IF(Variables!C$38="no",0,G13*INDEX('Airfields &amp; Performance Factors'!$N$7:$N$16,MATCH('Performance Calcs &amp; Print Out'!I$6,'Airfields &amp; Performance Factors'!$M$7:$M$16,0)))),"NULL")</f>
        <v>0</v>
      </c>
      <c r="J13" s="28">
        <f>IFERROR(IF(AND(Variables!C$39="yes",I13&gt;0),I13*INDEX('Airfields &amp; Performance Factors'!$N$7:$N$16,MATCH('Performance Calcs &amp; Print Out'!J$6,'Airfields &amp; Performance Factors'!$M$7:$M$16,0)),IF(AND(Variables!C$39="yes",I13=0,H13=0),G13*INDEX('Airfields &amp; Performance Factors'!$N$7:$N$16,MATCH('Performance Calcs &amp; Print Out'!J$6,'Airfields &amp; Performance Factors'!$M$7:$M$16,0)),IF(AND(Variables!C$39="yes",I13=0,H13&gt;0),H13*INDEX('Airfields &amp; Performance Factors'!$N$7:$N$16,MATCH('Performance Calcs &amp; Print Out'!J$6,'Airfields &amp; Performance Factors'!$M$7:$M$16,0)),IF(Variables!C$39="no",0,"ERROR")))),"NULL")</f>
        <v>0</v>
      </c>
      <c r="K13" s="28">
        <f>IFERROR(IF(AND(Variables!C$40="yes",J13&gt;0),J13*INDEX('Airfields &amp; Performance Factors'!$N$7:$N$16,MATCH('Performance Calcs &amp; Print Out'!K$6,'Airfields &amp; Performance Factors'!$M$7:$M$16,0)),IF(AND(Variables!C$40="yes",J13=0,I13=0,H13=0),G13*INDEX('Airfields &amp; Performance Factors'!$N$7:$N$16,MATCH('Performance Calcs &amp; Print Out'!K$6,'Airfields &amp; Performance Factors'!$M$7:$M$16,0)),IF(AND(Variables!C$40="yes",J13=0,I13&gt;0),I13*INDEX('Airfields &amp; Performance Factors'!$N$7:$N$16,MATCH('Performance Calcs &amp; Print Out'!K$6,'Airfields &amp; Performance Factors'!$M$7:$M$16,0)),IF(AND(Variables!C$40="yes",J13=0,I13=0,H13&gt;0),H13*INDEX('Airfields &amp; Performance Factors'!$N$7:$N$16,MATCH('Performance Calcs &amp; Print Out'!K$6,'Airfields &amp; Performance Factors'!$M$7:$M$16,0)),IF(Variables!C$40="no",0,"ERROR"))))),"NULL")</f>
        <v>0</v>
      </c>
      <c r="L13" s="28">
        <f>IFERROR(IF(AND(Variables!C$41="yes",K13&gt;0),K13*INDEX('Airfields &amp; Performance Factors'!$N$7:$N$16,MATCH('Performance Calcs &amp; Print Out'!L$6,'Airfields &amp; Performance Factors'!$M$7:$M$16,0)),IF(AND(Variables!C$41="yes",K13=0,J13=0,I13=0,H13=0),G13*INDEX('Airfields &amp; Performance Factors'!$N$7:$N$16,MATCH('Performance Calcs &amp; Print Out'!L$6,'Airfields &amp; Performance Factors'!$M$7:$M$16,0)),IF(AND(Variables!C$41="yes",K13=0,J13&gt;0),J13*INDEX('Airfields &amp; Performance Factors'!$N$7:$N$16,MATCH('Performance Calcs &amp; Print Out'!L$6,'Airfields &amp; Performance Factors'!$M$7:$M$16,0)),IF(AND(Variables!C$41="yes",K13=0,J13=0,I13&gt;0),I13*INDEX('Airfields &amp; Performance Factors'!$N$7:$N$16,MATCH('Performance Calcs &amp; Print Out'!L$6,'Airfields &amp; Performance Factors'!$M$7:$M$16,0)),IF(AND(Variables!C$41="yes",K13=0,J13=0,I13=0,H13&gt;0),H13*INDEX('Airfields &amp; Performance Factors'!$N$7:$N$16,MATCH('Performance Calcs &amp; Print Out'!L$6,'Airfields &amp; Performance Factors'!$M$7:$M$16,0)),IF(Variables!C$41="no",0,"ERROR")))))),"NULL")</f>
        <v>0</v>
      </c>
      <c r="M13" s="28">
        <f>IFERROR(IF(AND(Variables!C$42="yes",L13&gt;0),L13*INDEX('Airfields &amp; Performance Factors'!$N$7:$N$16,MATCH('Performance Calcs &amp; Print Out'!M$6,'Airfields &amp; Performance Factors'!$M$7:$M$16,0)),IF(AND(Variables!C$42="yes",L13=0,K13=0,J13=0,I13=0,H13=0),G13*INDEX('Airfields &amp; Performance Factors'!$N$7:$N$16,MATCH('Performance Calcs &amp; Print Out'!M$6,'Airfields &amp; Performance Factors'!$M$7:$M$16,0)),IF(AND(Variables!C$42="yes",L13=0,K13&gt;0),K13*INDEX('Airfields &amp; Performance Factors'!$N$7:$N$16,MATCH('Performance Calcs &amp; Print Out'!M$6,'Airfields &amp; Performance Factors'!$M$7:$M$16,0)),IF(AND(Variables!C$42="yes",L13=0,K13=0,J13&gt;0),J13*INDEX('Airfields &amp; Performance Factors'!$N$7:$N$16,MATCH('Performance Calcs &amp; Print Out'!M$6,'Airfields &amp; Performance Factors'!$M$7:$M$16,0)),IF(AND(Variables!C$42="yes",L13=0,K13=0,J13=0,I13&gt;0),I13*INDEX('Airfields &amp; Performance Factors'!$N$7:$N$16,MATCH('Performance Calcs &amp; Print Out'!M$6,'Airfields &amp; Performance Factors'!$M$7:$M$16,0)),IF(AND(Variables!C$42="yes",L13=0,K13=0,J13=0,I13=0,H13&gt;0),H13*INDEX('Airfields &amp; Performance Factors'!$N$7:$N$16,MATCH('Performance Calcs &amp; Print Out'!M$6,'Airfields &amp; Performance Factors'!$M$7:$M$16,0)),IF(Variables!C$42="no",0,"ERROR"))))))),"NULL")</f>
        <v>0</v>
      </c>
      <c r="N13" s="28">
        <f>IFERROR(IF(AND(Variables!C$43="yes",M13&gt;0),M13*INDEX('Airfields &amp; Performance Factors'!$N$7:$N$16,MATCH('Performance Calcs &amp; Print Out'!N$6,'Airfields &amp; Performance Factors'!$M$7:$M$16,0)),IF(AND(Variables!C$43="yes",M13=0,L13=0,K13=0,J13=0,I13=0,H13=0),G13*INDEX('Airfields &amp; Performance Factors'!$N$7:$N$16,MATCH('Performance Calcs &amp; Print Out'!N$6,'Airfields &amp; Performance Factors'!$M$7:$M$16,0)),IF(AND(Variables!C$43="yes",M13=0,L13=0,K13&gt;0),K13*INDEX('Airfields &amp; Performance Factors'!$N$7:$N$16,MATCH('Performance Calcs &amp; Print Out'!N$6,'Airfields &amp; Performance Factors'!$M$7:$M$16,0)),IF(AND(Variables!C$43="yes",M13=0,L13=0,K13=0,J13&gt;0),J13*INDEX('Airfields &amp; Performance Factors'!$N$7:$N$16,MATCH('Performance Calcs &amp; Print Out'!N$6,'Airfields &amp; Performance Factors'!$M$7:$M$16,0)),IF(AND(Variables!C$43="yes",M13=0,L13=0,K13=0,J13=0,I13&gt;0),I13*INDEX('Airfields &amp; Performance Factors'!$N$7:$N$16,MATCH('Performance Calcs &amp; Print Out'!N$6,'Airfields &amp; Performance Factors'!$M$7:$M$16,0)),IF(AND(Variables!C$43="yes",M13=0,L13=0,K13=0,J13=0,I13=0,H13&gt;0),H13*INDEX('Airfields &amp; Performance Factors'!$N$7:$N$16,MATCH('Performance Calcs &amp; Print Out'!N$6,'Airfields &amp; Performance Factors'!$M$7:$M$16,0)),IF(Variables!C$43="no",0,"ERROR"))))))),"NULL")</f>
        <v>0</v>
      </c>
      <c r="O13" s="28">
        <f>IFERROR(IF(AND(Variables!C$44="yes",N13&gt;0),N13*INDEX('Airfields &amp; Performance Factors'!$N$7:$N$16,MATCH('Performance Calcs &amp; Print Out'!O$6,'Airfields &amp; Performance Factors'!$M$7:$M$16,0)),IF(AND(Variables!C$44="yes",N13=0,M13=0,L13=0,K13=0,J13=0,I13=0,H13=0),G13*INDEX('Airfields &amp; Performance Factors'!$N$7:$N$16,MATCH('Performance Calcs &amp; Print Out'!O$6,'Airfields &amp; Performance Factors'!$M$7:$M$16,0)),IF(AND(Variables!C$44="yes",N13=0,M13&gt;0),M13*INDEX('Airfields &amp; Performance Factors'!$N$7:$N$16,MATCH('Performance Calcs &amp; Print Out'!O$6,'Airfields &amp; Performance Factors'!$M$7:$M$16,0)),IF(AND(Variables!C$44="yes",N13=0,M13=0,L13&gt;0),L13*INDEX('Airfields &amp; Performance Factors'!$N$7:$N$16,MATCH('Performance Calcs &amp; Print Out'!O$6,'Airfields &amp; Performance Factors'!$M$7:$M$16,0)),IF(AND(Variables!C$44="yes",N13=0,M13=0,L13=0,K13&gt;0),K13*INDEX('Airfields &amp; Performance Factors'!$N$7:$N$16,MATCH('Performance Calcs &amp; Print Out'!O$6,'Airfields &amp; Performance Factors'!$M$7:$M$16,0)),IF(AND(Variables!C$44="yes",N13=0,M13=0,L13=0,K13=0,J13&gt;0),J13*INDEX('Airfields &amp; Performance Factors'!$N$7:$N$16,MATCH('Performance Calcs &amp; Print Out'!O$6,'Airfields &amp; Performance Factors'!$M$7:$M$16,0)),IF(AND(Variables!C$44="yes",N13=0,M13=0,L13=0,K13=0,J13=0,I13&gt;0),I13*INDEX('Airfields &amp; Performance Factors'!$N$7:$N$16,MATCH('Performance Calcs &amp; Print Out'!O$6,'Airfields &amp; Performance Factors'!$M$7:$M$16,0)),IF(AND(Variables!C$44="yes",N13=0,M13=0,L13=0,K13=0,J13=0,I13=0,H13&gt;0),H13*INDEX('Airfields &amp; Performance Factors'!$N$7:$N$16,MATCH('Performance Calcs &amp; Print Out'!O$6,'Airfields &amp; Performance Factors'!$M$7:$M$16,0)),IF(Variables!C$44="no",0,"ERROR"))))))))),"NULL")</f>
        <v>0</v>
      </c>
      <c r="P13" s="28">
        <f>IFERROR(IF(AND(Variables!C$45="yes",O13&gt;0),O13*INDEX('Airfields &amp; Performance Factors'!$N$7:$N$16,MATCH('Performance Calcs &amp; Print Out'!P$6,'Airfields &amp; Performance Factors'!$M$7:$M$16,0)),IF(AND(Variables!C$45="yes",O13=0,N13=0,L13=0,K13=0,J13=0,I13=0,H13=0),G13*INDEX('Airfields &amp; Performance Factors'!$N$7:$N$16,MATCH('Performance Calcs &amp; Print Out'!P$6,'Airfields &amp; Performance Factors'!$M$7:$M$16,0)),IF(AND(Variables!C$45="yes",O13=0,N13&gt;0),N13*INDEX('Airfields &amp; Performance Factors'!$N$7:$N$16,MATCH('Performance Calcs &amp; Print Out'!P$6,'Airfields &amp; Performance Factors'!$M$7:$M$16,0)),IF(AND(Variables!C$45="yes",O13=0,N13=0,M13&gt;0),M13*INDEX('Airfields &amp; Performance Factors'!$N$7:$N$16,MATCH('Performance Calcs &amp; Print Out'!P$6,'Airfields &amp; Performance Factors'!$M$7:$M$16,0)),IF(AND(Variables!C$45="yes",O13=0,N13=0,M13=0,L13&gt;0),L13*INDEX('Airfields &amp; Performance Factors'!$N$7:$N$16,MATCH('Performance Calcs &amp; Print Out'!P$6,'Airfields &amp; Performance Factors'!$M$7:$M$16,0)),IF(AND(Variables!C$45="yes",O13=0,N13=0,M13=0,L13=0,K13&gt;0),K13*INDEX('Airfields &amp; Performance Factors'!$N$7:$N$16,MATCH('Performance Calcs &amp; Print Out'!P$6,'Airfields &amp; Performance Factors'!$M$7:$M$16,0)),IF(AND(Variables!C$45="yes",O13=0,N13=0,M13=0,L13=0,K13=0,J13&gt;0),J13*INDEX('Airfields &amp; Performance Factors'!$N$7:$N$16,MATCH('Performance Calcs &amp; Print Out'!P$6,'Airfields &amp; Performance Factors'!$M$7:$M$16,0)),IF(AND(Variables!C$45="yes",O13=0,N13=0,M13=0,L13=0,K13=0,J13=0,I13&gt;0),I13*INDEX('Airfields &amp; Performance Factors'!$N$7:$N$16,MATCH('Performance Calcs &amp; Print Out'!P$6,'Airfields &amp; Performance Factors'!$M$7:$M$16,0)),IF(AND(Variables!C$45="yes",O13=0,N13=0,M13=0,L13=0,K13=0,J13=0,I13=0,H13&gt;0),H13*INDEX('Airfields &amp; Performance Factors'!$N$7:$N$16,MATCH('Performance Calcs &amp; Print Out'!P$6,'Airfields &amp; Performance Factors'!$M$7:$M$16,0)),IF(Variables!C$45="no",0,"ERROR")))))))))),"NULL")</f>
        <v>0</v>
      </c>
      <c r="Q13" s="28" t="str">
        <f>IFERROR(IF(P13&gt;0,P13*INDEX('Airfields &amp; Performance Factors'!$N$7:$N$16,MATCH('Performance Calcs &amp; Print Out'!Q$6,'Airfields &amp; Performance Factors'!$M$7:$M$16,0)),IF(O13&gt;0,O13*INDEX('Airfields &amp; Performance Factors'!$N$7:$N$16,MATCH('Performance Calcs &amp; Print Out'!Q$6,'Airfields &amp; Performance Factors'!$M$7:$M$16,0)),IF(N13&gt;0,N13*INDEX('Airfields &amp; Performance Factors'!$N$7:$N$16,MATCH('Performance Calcs &amp; Print Out'!Q$6,'Airfields &amp; Performance Factors'!$M$7:$M$16,0)),IF(M13&gt;0,M13*INDEX('Airfields &amp; Performance Factors'!$N$7:$N$16,MATCH('Performance Calcs &amp; Print Out'!Q$6,'Airfields &amp; Performance Factors'!$M$7:$M$16,0)),IF(L13&gt;0,L13*INDEX('Airfields &amp; Performance Factors'!$N$7:$N$16,MATCH('Performance Calcs &amp; Print Out'!Q$6,'Airfields &amp; Performance Factors'!$M$7:$M$16,0)),IF(K13&gt;0,K13*INDEX('Airfields &amp; Performance Factors'!$N$7:$N$16,MATCH('Performance Calcs &amp; Print Out'!Q$6,'Airfields &amp; Performance Factors'!$M$7:$M$16,0)),IF(J13&gt;0,J13*INDEX('Airfields &amp; Performance Factors'!$N$7:$N$16,MATCH('Performance Calcs &amp; Print Out'!Q$6,'Airfields &amp; Performance Factors'!$M$7:$M$16,0)),IF(I13&gt;0,I13*INDEX('Airfields &amp; Performance Factors'!$N$7:$N$16,MATCH('Performance Calcs &amp; Print Out'!Q$6,'Airfields &amp; Performance Factors'!$M$7:$M$16,0)),IF(H13&gt;0,H13*INDEX('Airfields &amp; Performance Factors'!$N$7:$N$16,MATCH('Performance Calcs &amp; Print Out'!Q$6,'Airfields &amp; Performance Factors'!$M$7:$M$16,0)),IF(G13&gt;0,G13*INDEX('Airfields &amp; Performance Factors'!$N$7:$N$16,MATCH('Performance Calcs &amp; Print Out'!Q$6,'Airfields &amp; Performance Factors'!$M$7:$M$16,0)),"ERROR")))))))))),"NULL")</f>
        <v>ERROR</v>
      </c>
      <c r="R13" s="27" t="str">
        <f t="shared" ref="R13:R16" si="1">IFERROR(IF(OR(D13=0,D13="-",Q13="ERROR"),"-",IF(Q13&lt;D13,"SAFE","AVOID")),"-")</f>
        <v>-</v>
      </c>
    </row>
    <row r="14" spans="1:18" s="9" customFormat="1" x14ac:dyDescent="0.25">
      <c r="A14" s="30"/>
      <c r="B14" s="42">
        <f t="array" ref="B14">IFERROR(INDEX('Airfields &amp; Performance Factors'!C:C,SMALL(IF('Airfields &amp; Performance Factors'!$B:$B=$C$4,ROW('Airfields &amp; Performance Factors'!$B:$B)),ROW('Airfields &amp; Performance Factors'!8:8))),"-")</f>
        <v>0</v>
      </c>
      <c r="C14" s="42">
        <f t="array" ref="C14">IFERROR(INDEX('Airfields &amp; Performance Factors'!D:D,SMALL(IF('Airfields &amp; Performance Factors'!$B:$B=$C$4,ROW('Airfields &amp; Performance Factors'!$B:$B)),ROW('Airfields &amp; Performance Factors'!8:8))),"-")</f>
        <v>0</v>
      </c>
      <c r="D14" s="42">
        <f t="array" ref="D14">IFERROR(INDEX('Airfields &amp; Performance Factors'!E:E,SMALL(IF('Airfields &amp; Performance Factors'!$B:$B=$C$4,ROW('Airfields &amp; Performance Factors'!$B:$B)),ROW('Airfields &amp; Performance Factors'!8:8))),"-")</f>
        <v>0</v>
      </c>
      <c r="E14" s="42">
        <f t="array" ref="E14">IFERROR(INDEX('Airfields &amp; Performance Factors'!F:F,SMALL(IF('Airfields &amp; Performance Factors'!$B:$B=$C$4,ROW('Airfields &amp; Performance Factors'!$B:$B)),ROW('Airfields &amp; Performance Factors'!8:8))),"-")</f>
        <v>0</v>
      </c>
      <c r="G14" s="28">
        <f>IFERROR(Variables!$C$33,"NULL")</f>
        <v>0</v>
      </c>
      <c r="H14" s="28">
        <f>IFERROR(IF(Variables!C$37="yes",G14*INDEX('Airfields &amp; Performance Factors'!$N$7:$N$16,MATCH('Performance Calcs &amp; Print Out'!H$6,'Airfields &amp; Performance Factors'!$M$7:$M$16,0)),0),"NULL")</f>
        <v>0</v>
      </c>
      <c r="I14" s="28">
        <f>IFERROR(IF(AND(Variables!C$38="yes",H14&gt;0),H14*INDEX('Airfields &amp; Performance Factors'!$N$7:$N$16,MATCH('Performance Calcs &amp; Print Out'!I$6,'Airfields &amp; Performance Factors'!$M$7:$M$16,0)),IF(Variables!C$38="no",0,G14*INDEX('Airfields &amp; Performance Factors'!$N$7:$N$16,MATCH('Performance Calcs &amp; Print Out'!I$6,'Airfields &amp; Performance Factors'!$M$7:$M$16,0)))),"NULL")</f>
        <v>0</v>
      </c>
      <c r="J14" s="28">
        <f>IFERROR(IF(AND(Variables!C$39="yes",I14&gt;0),I14*INDEX('Airfields &amp; Performance Factors'!$N$7:$N$16,MATCH('Performance Calcs &amp; Print Out'!J$6,'Airfields &amp; Performance Factors'!$M$7:$M$16,0)),IF(AND(Variables!C$39="yes",I14=0,H14=0),G14*INDEX('Airfields &amp; Performance Factors'!$N$7:$N$16,MATCH('Performance Calcs &amp; Print Out'!J$6,'Airfields &amp; Performance Factors'!$M$7:$M$16,0)),IF(AND(Variables!C$39="yes",I14=0,H14&gt;0),H14*INDEX('Airfields &amp; Performance Factors'!$N$7:$N$16,MATCH('Performance Calcs &amp; Print Out'!J$6,'Airfields &amp; Performance Factors'!$M$7:$M$16,0)),IF(Variables!C$39="no",0,"ERROR")))),"NULL")</f>
        <v>0</v>
      </c>
      <c r="K14" s="28">
        <f>IFERROR(IF(AND(Variables!C$40="yes",J14&gt;0),J14*INDEX('Airfields &amp; Performance Factors'!$N$7:$N$16,MATCH('Performance Calcs &amp; Print Out'!K$6,'Airfields &amp; Performance Factors'!$M$7:$M$16,0)),IF(AND(Variables!C$40="yes",J14=0,I14=0,H14=0),G14*INDEX('Airfields &amp; Performance Factors'!$N$7:$N$16,MATCH('Performance Calcs &amp; Print Out'!K$6,'Airfields &amp; Performance Factors'!$M$7:$M$16,0)),IF(AND(Variables!C$40="yes",J14=0,I14&gt;0),I14*INDEX('Airfields &amp; Performance Factors'!$N$7:$N$16,MATCH('Performance Calcs &amp; Print Out'!K$6,'Airfields &amp; Performance Factors'!$M$7:$M$16,0)),IF(AND(Variables!C$40="yes",J14=0,I14=0,H14&gt;0),H14*INDEX('Airfields &amp; Performance Factors'!$N$7:$N$16,MATCH('Performance Calcs &amp; Print Out'!K$6,'Airfields &amp; Performance Factors'!$M$7:$M$16,0)),IF(Variables!C$40="no",0,"ERROR"))))),"NULL")</f>
        <v>0</v>
      </c>
      <c r="L14" s="28">
        <f>IFERROR(IF(AND(Variables!C$41="yes",K14&gt;0),K14*INDEX('Airfields &amp; Performance Factors'!$N$7:$N$16,MATCH('Performance Calcs &amp; Print Out'!L$6,'Airfields &amp; Performance Factors'!$M$7:$M$16,0)),IF(AND(Variables!C$41="yes",K14=0,J14=0,I14=0,H14=0),G14*INDEX('Airfields &amp; Performance Factors'!$N$7:$N$16,MATCH('Performance Calcs &amp; Print Out'!L$6,'Airfields &amp; Performance Factors'!$M$7:$M$16,0)),IF(AND(Variables!C$41="yes",K14=0,J14&gt;0),J14*INDEX('Airfields &amp; Performance Factors'!$N$7:$N$16,MATCH('Performance Calcs &amp; Print Out'!L$6,'Airfields &amp; Performance Factors'!$M$7:$M$16,0)),IF(AND(Variables!C$41="yes",K14=0,J14=0,I14&gt;0),I14*INDEX('Airfields &amp; Performance Factors'!$N$7:$N$16,MATCH('Performance Calcs &amp; Print Out'!L$6,'Airfields &amp; Performance Factors'!$M$7:$M$16,0)),IF(AND(Variables!C$41="yes",K14=0,J14=0,I14=0,H14&gt;0),H14*INDEX('Airfields &amp; Performance Factors'!$N$7:$N$16,MATCH('Performance Calcs &amp; Print Out'!L$6,'Airfields &amp; Performance Factors'!$M$7:$M$16,0)),IF(Variables!C$41="no",0,"ERROR")))))),"NULL")</f>
        <v>0</v>
      </c>
      <c r="M14" s="28">
        <f>IFERROR(IF(AND(Variables!C$42="yes",L14&gt;0),L14*INDEX('Airfields &amp; Performance Factors'!$N$7:$N$16,MATCH('Performance Calcs &amp; Print Out'!M$6,'Airfields &amp; Performance Factors'!$M$7:$M$16,0)),IF(AND(Variables!C$42="yes",L14=0,K14=0,J14=0,I14=0,H14=0),G14*INDEX('Airfields &amp; Performance Factors'!$N$7:$N$16,MATCH('Performance Calcs &amp; Print Out'!M$6,'Airfields &amp; Performance Factors'!$M$7:$M$16,0)),IF(AND(Variables!C$42="yes",L14=0,K14&gt;0),K14*INDEX('Airfields &amp; Performance Factors'!$N$7:$N$16,MATCH('Performance Calcs &amp; Print Out'!M$6,'Airfields &amp; Performance Factors'!$M$7:$M$16,0)),IF(AND(Variables!C$42="yes",L14=0,K14=0,J14&gt;0),J14*INDEX('Airfields &amp; Performance Factors'!$N$7:$N$16,MATCH('Performance Calcs &amp; Print Out'!M$6,'Airfields &amp; Performance Factors'!$M$7:$M$16,0)),IF(AND(Variables!C$42="yes",L14=0,K14=0,J14=0,I14&gt;0),I14*INDEX('Airfields &amp; Performance Factors'!$N$7:$N$16,MATCH('Performance Calcs &amp; Print Out'!M$6,'Airfields &amp; Performance Factors'!$M$7:$M$16,0)),IF(AND(Variables!C$42="yes",L14=0,K14=0,J14=0,I14=0,H14&gt;0),H14*INDEX('Airfields &amp; Performance Factors'!$N$7:$N$16,MATCH('Performance Calcs &amp; Print Out'!M$6,'Airfields &amp; Performance Factors'!$M$7:$M$16,0)),IF(Variables!C$42="no",0,"ERROR"))))))),"NULL")</f>
        <v>0</v>
      </c>
      <c r="N14" s="28">
        <f>IFERROR(IF(AND(Variables!C$43="yes",M14&gt;0),M14*INDEX('Airfields &amp; Performance Factors'!$N$7:$N$16,MATCH('Performance Calcs &amp; Print Out'!N$6,'Airfields &amp; Performance Factors'!$M$7:$M$16,0)),IF(AND(Variables!C$43="yes",M14=0,L14=0,K14=0,J14=0,I14=0,H14=0),G14*INDEX('Airfields &amp; Performance Factors'!$N$7:$N$16,MATCH('Performance Calcs &amp; Print Out'!N$6,'Airfields &amp; Performance Factors'!$M$7:$M$16,0)),IF(AND(Variables!C$43="yes",M14=0,L14=0,K14&gt;0),K14*INDEX('Airfields &amp; Performance Factors'!$N$7:$N$16,MATCH('Performance Calcs &amp; Print Out'!N$6,'Airfields &amp; Performance Factors'!$M$7:$M$16,0)),IF(AND(Variables!C$43="yes",M14=0,L14=0,K14=0,J14&gt;0),J14*INDEX('Airfields &amp; Performance Factors'!$N$7:$N$16,MATCH('Performance Calcs &amp; Print Out'!N$6,'Airfields &amp; Performance Factors'!$M$7:$M$16,0)),IF(AND(Variables!C$43="yes",M14=0,L14=0,K14=0,J14=0,I14&gt;0),I14*INDEX('Airfields &amp; Performance Factors'!$N$7:$N$16,MATCH('Performance Calcs &amp; Print Out'!N$6,'Airfields &amp; Performance Factors'!$M$7:$M$16,0)),IF(AND(Variables!C$43="yes",M14=0,L14=0,K14=0,J14=0,I14=0,H14&gt;0),H14*INDEX('Airfields &amp; Performance Factors'!$N$7:$N$16,MATCH('Performance Calcs &amp; Print Out'!N$6,'Airfields &amp; Performance Factors'!$M$7:$M$16,0)),IF(Variables!C$43="no",0,"ERROR"))))))),"NULL")</f>
        <v>0</v>
      </c>
      <c r="O14" s="28">
        <f>IFERROR(IF(AND(Variables!C$44="yes",N14&gt;0),N14*INDEX('Airfields &amp; Performance Factors'!$N$7:$N$16,MATCH('Performance Calcs &amp; Print Out'!O$6,'Airfields &amp; Performance Factors'!$M$7:$M$16,0)),IF(AND(Variables!C$44="yes",N14=0,M14=0,L14=0,K14=0,J14=0,I14=0,H14=0),G14*INDEX('Airfields &amp; Performance Factors'!$N$7:$N$16,MATCH('Performance Calcs &amp; Print Out'!O$6,'Airfields &amp; Performance Factors'!$M$7:$M$16,0)),IF(AND(Variables!C$44="yes",N14=0,M14&gt;0),M14*INDEX('Airfields &amp; Performance Factors'!$N$7:$N$16,MATCH('Performance Calcs &amp; Print Out'!O$6,'Airfields &amp; Performance Factors'!$M$7:$M$16,0)),IF(AND(Variables!C$44="yes",N14=0,M14=0,L14&gt;0),L14*INDEX('Airfields &amp; Performance Factors'!$N$7:$N$16,MATCH('Performance Calcs &amp; Print Out'!O$6,'Airfields &amp; Performance Factors'!$M$7:$M$16,0)),IF(AND(Variables!C$44="yes",N14=0,M14=0,L14=0,K14&gt;0),K14*INDEX('Airfields &amp; Performance Factors'!$N$7:$N$16,MATCH('Performance Calcs &amp; Print Out'!O$6,'Airfields &amp; Performance Factors'!$M$7:$M$16,0)),IF(AND(Variables!C$44="yes",N14=0,M14=0,L14=0,K14=0,J14&gt;0),J14*INDEX('Airfields &amp; Performance Factors'!$N$7:$N$16,MATCH('Performance Calcs &amp; Print Out'!O$6,'Airfields &amp; Performance Factors'!$M$7:$M$16,0)),IF(AND(Variables!C$44="yes",N14=0,M14=0,L14=0,K14=0,J14=0,I14&gt;0),I14*INDEX('Airfields &amp; Performance Factors'!$N$7:$N$16,MATCH('Performance Calcs &amp; Print Out'!O$6,'Airfields &amp; Performance Factors'!$M$7:$M$16,0)),IF(AND(Variables!C$44="yes",N14=0,M14=0,L14=0,K14=0,J14=0,I14=0,H14&gt;0),H14*INDEX('Airfields &amp; Performance Factors'!$N$7:$N$16,MATCH('Performance Calcs &amp; Print Out'!O$6,'Airfields &amp; Performance Factors'!$M$7:$M$16,0)),IF(Variables!C$44="no",0,"ERROR"))))))))),"NULL")</f>
        <v>0</v>
      </c>
      <c r="P14" s="28">
        <f>IFERROR(IF(AND(Variables!C$45="yes",O14&gt;0),O14*INDEX('Airfields &amp; Performance Factors'!$N$7:$N$16,MATCH('Performance Calcs &amp; Print Out'!P$6,'Airfields &amp; Performance Factors'!$M$7:$M$16,0)),IF(AND(Variables!C$45="yes",O14=0,N14=0,L14=0,K14=0,J14=0,I14=0,H14=0),G14*INDEX('Airfields &amp; Performance Factors'!$N$7:$N$16,MATCH('Performance Calcs &amp; Print Out'!P$6,'Airfields &amp; Performance Factors'!$M$7:$M$16,0)),IF(AND(Variables!C$45="yes",O14=0,N14&gt;0),N14*INDEX('Airfields &amp; Performance Factors'!$N$7:$N$16,MATCH('Performance Calcs &amp; Print Out'!P$6,'Airfields &amp; Performance Factors'!$M$7:$M$16,0)),IF(AND(Variables!C$45="yes",O14=0,N14=0,M14&gt;0),M14*INDEX('Airfields &amp; Performance Factors'!$N$7:$N$16,MATCH('Performance Calcs &amp; Print Out'!P$6,'Airfields &amp; Performance Factors'!$M$7:$M$16,0)),IF(AND(Variables!C$45="yes",O14=0,N14=0,M14=0,L14&gt;0),L14*INDEX('Airfields &amp; Performance Factors'!$N$7:$N$16,MATCH('Performance Calcs &amp; Print Out'!P$6,'Airfields &amp; Performance Factors'!$M$7:$M$16,0)),IF(AND(Variables!C$45="yes",O14=0,N14=0,M14=0,L14=0,K14&gt;0),K14*INDEX('Airfields &amp; Performance Factors'!$N$7:$N$16,MATCH('Performance Calcs &amp; Print Out'!P$6,'Airfields &amp; Performance Factors'!$M$7:$M$16,0)),IF(AND(Variables!C$45="yes",O14=0,N14=0,M14=0,L14=0,K14=0,J14&gt;0),J14*INDEX('Airfields &amp; Performance Factors'!$N$7:$N$16,MATCH('Performance Calcs &amp; Print Out'!P$6,'Airfields &amp; Performance Factors'!$M$7:$M$16,0)),IF(AND(Variables!C$45="yes",O14=0,N14=0,M14=0,L14=0,K14=0,J14=0,I14&gt;0),I14*INDEX('Airfields &amp; Performance Factors'!$N$7:$N$16,MATCH('Performance Calcs &amp; Print Out'!P$6,'Airfields &amp; Performance Factors'!$M$7:$M$16,0)),IF(AND(Variables!C$45="yes",O14=0,N14=0,M14=0,L14=0,K14=0,J14=0,I14=0,H14&gt;0),H14*INDEX('Airfields &amp; Performance Factors'!$N$7:$N$16,MATCH('Performance Calcs &amp; Print Out'!P$6,'Airfields &amp; Performance Factors'!$M$7:$M$16,0)),IF(Variables!C$45="no",0,"ERROR")))))))))),"NULL")</f>
        <v>0</v>
      </c>
      <c r="Q14" s="28" t="str">
        <f>IFERROR(IF(P14&gt;0,P14*INDEX('Airfields &amp; Performance Factors'!$N$7:$N$16,MATCH('Performance Calcs &amp; Print Out'!Q$6,'Airfields &amp; Performance Factors'!$M$7:$M$16,0)),IF(O14&gt;0,O14*INDEX('Airfields &amp; Performance Factors'!$N$7:$N$16,MATCH('Performance Calcs &amp; Print Out'!Q$6,'Airfields &amp; Performance Factors'!$M$7:$M$16,0)),IF(N14&gt;0,N14*INDEX('Airfields &amp; Performance Factors'!$N$7:$N$16,MATCH('Performance Calcs &amp; Print Out'!Q$6,'Airfields &amp; Performance Factors'!$M$7:$M$16,0)),IF(M14&gt;0,M14*INDEX('Airfields &amp; Performance Factors'!$N$7:$N$16,MATCH('Performance Calcs &amp; Print Out'!Q$6,'Airfields &amp; Performance Factors'!$M$7:$M$16,0)),IF(L14&gt;0,L14*INDEX('Airfields &amp; Performance Factors'!$N$7:$N$16,MATCH('Performance Calcs &amp; Print Out'!Q$6,'Airfields &amp; Performance Factors'!$M$7:$M$16,0)),IF(K14&gt;0,K14*INDEX('Airfields &amp; Performance Factors'!$N$7:$N$16,MATCH('Performance Calcs &amp; Print Out'!Q$6,'Airfields &amp; Performance Factors'!$M$7:$M$16,0)),IF(J14&gt;0,J14*INDEX('Airfields &amp; Performance Factors'!$N$7:$N$16,MATCH('Performance Calcs &amp; Print Out'!Q$6,'Airfields &amp; Performance Factors'!$M$7:$M$16,0)),IF(I14&gt;0,I14*INDEX('Airfields &amp; Performance Factors'!$N$7:$N$16,MATCH('Performance Calcs &amp; Print Out'!Q$6,'Airfields &amp; Performance Factors'!$M$7:$M$16,0)),IF(H14&gt;0,H14*INDEX('Airfields &amp; Performance Factors'!$N$7:$N$16,MATCH('Performance Calcs &amp; Print Out'!Q$6,'Airfields &amp; Performance Factors'!$M$7:$M$16,0)),IF(G14&gt;0,G14*INDEX('Airfields &amp; Performance Factors'!$N$7:$N$16,MATCH('Performance Calcs &amp; Print Out'!Q$6,'Airfields &amp; Performance Factors'!$M$7:$M$16,0)),"ERROR")))))))))),"NULL")</f>
        <v>ERROR</v>
      </c>
      <c r="R14" s="27" t="str">
        <f t="shared" si="1"/>
        <v>-</v>
      </c>
    </row>
    <row r="15" spans="1:18" s="9" customFormat="1" x14ac:dyDescent="0.25">
      <c r="A15" s="30"/>
      <c r="B15" s="42">
        <f t="array" ref="B15">IFERROR(INDEX('Airfields &amp; Performance Factors'!C:C,SMALL(IF('Airfields &amp; Performance Factors'!$B:$B=$C$4,ROW('Airfields &amp; Performance Factors'!$B:$B)),ROW('Airfields &amp; Performance Factors'!9:9))),"-")</f>
        <v>0</v>
      </c>
      <c r="C15" s="42">
        <f t="array" ref="C15">IFERROR(INDEX('Airfields &amp; Performance Factors'!D:D,SMALL(IF('Airfields &amp; Performance Factors'!$B:$B=$C$4,ROW('Airfields &amp; Performance Factors'!$B:$B)),ROW('Airfields &amp; Performance Factors'!9:9))),"-")</f>
        <v>0</v>
      </c>
      <c r="D15" s="42">
        <f t="array" ref="D15">IFERROR(INDEX('Airfields &amp; Performance Factors'!E:E,SMALL(IF('Airfields &amp; Performance Factors'!$B:$B=$C$4,ROW('Airfields &amp; Performance Factors'!$B:$B)),ROW('Airfields &amp; Performance Factors'!9:9))),"-")</f>
        <v>0</v>
      </c>
      <c r="E15" s="42">
        <f t="array" ref="E15">IFERROR(INDEX('Airfields &amp; Performance Factors'!F:F,SMALL(IF('Airfields &amp; Performance Factors'!$B:$B=$C$4,ROW('Airfields &amp; Performance Factors'!$B:$B)),ROW('Airfields &amp; Performance Factors'!9:9))),"-")</f>
        <v>0</v>
      </c>
      <c r="G15" s="28">
        <f>IFERROR(Variables!$C$33,"NULL")</f>
        <v>0</v>
      </c>
      <c r="H15" s="28">
        <f>IFERROR(IF(Variables!C$37="yes",G15*INDEX('Airfields &amp; Performance Factors'!$N$7:$N$16,MATCH('Performance Calcs &amp; Print Out'!H$6,'Airfields &amp; Performance Factors'!$M$7:$M$16,0)),0),"NULL")</f>
        <v>0</v>
      </c>
      <c r="I15" s="28">
        <f>IFERROR(IF(AND(Variables!C$38="yes",H15&gt;0),H15*INDEX('Airfields &amp; Performance Factors'!$N$7:$N$16,MATCH('Performance Calcs &amp; Print Out'!I$6,'Airfields &amp; Performance Factors'!$M$7:$M$16,0)),IF(Variables!C$38="no",0,G15*INDEX('Airfields &amp; Performance Factors'!$N$7:$N$16,MATCH('Performance Calcs &amp; Print Out'!I$6,'Airfields &amp; Performance Factors'!$M$7:$M$16,0)))),"NULL")</f>
        <v>0</v>
      </c>
      <c r="J15" s="28">
        <f>IFERROR(IF(AND(Variables!C$39="yes",I15&gt;0),I15*INDEX('Airfields &amp; Performance Factors'!$N$7:$N$16,MATCH('Performance Calcs &amp; Print Out'!J$6,'Airfields &amp; Performance Factors'!$M$7:$M$16,0)),IF(AND(Variables!C$39="yes",I15=0,H15=0),G15*INDEX('Airfields &amp; Performance Factors'!$N$7:$N$16,MATCH('Performance Calcs &amp; Print Out'!J$6,'Airfields &amp; Performance Factors'!$M$7:$M$16,0)),IF(AND(Variables!C$39="yes",I15=0,H15&gt;0),H15*INDEX('Airfields &amp; Performance Factors'!$N$7:$N$16,MATCH('Performance Calcs &amp; Print Out'!J$6,'Airfields &amp; Performance Factors'!$M$7:$M$16,0)),IF(Variables!C$39="no",0,"ERROR")))),"NULL")</f>
        <v>0</v>
      </c>
      <c r="K15" s="28">
        <f>IFERROR(IF(AND(Variables!C$40="yes",J15&gt;0),J15*INDEX('Airfields &amp; Performance Factors'!$N$7:$N$16,MATCH('Performance Calcs &amp; Print Out'!K$6,'Airfields &amp; Performance Factors'!$M$7:$M$16,0)),IF(AND(Variables!C$40="yes",J15=0,I15=0,H15=0),G15*INDEX('Airfields &amp; Performance Factors'!$N$7:$N$16,MATCH('Performance Calcs &amp; Print Out'!K$6,'Airfields &amp; Performance Factors'!$M$7:$M$16,0)),IF(AND(Variables!C$40="yes",J15=0,I15&gt;0),I15*INDEX('Airfields &amp; Performance Factors'!$N$7:$N$16,MATCH('Performance Calcs &amp; Print Out'!K$6,'Airfields &amp; Performance Factors'!$M$7:$M$16,0)),IF(AND(Variables!C$40="yes",J15=0,I15=0,H15&gt;0),H15*INDEX('Airfields &amp; Performance Factors'!$N$7:$N$16,MATCH('Performance Calcs &amp; Print Out'!K$6,'Airfields &amp; Performance Factors'!$M$7:$M$16,0)),IF(Variables!C$40="no",0,"ERROR"))))),"NULL")</f>
        <v>0</v>
      </c>
      <c r="L15" s="28">
        <f>IFERROR(IF(AND(Variables!C$41="yes",K15&gt;0),K15*INDEX('Airfields &amp; Performance Factors'!$N$7:$N$16,MATCH('Performance Calcs &amp; Print Out'!L$6,'Airfields &amp; Performance Factors'!$M$7:$M$16,0)),IF(AND(Variables!C$41="yes",K15=0,J15=0,I15=0,H15=0),G15*INDEX('Airfields &amp; Performance Factors'!$N$7:$N$16,MATCH('Performance Calcs &amp; Print Out'!L$6,'Airfields &amp; Performance Factors'!$M$7:$M$16,0)),IF(AND(Variables!C$41="yes",K15=0,J15&gt;0),J15*INDEX('Airfields &amp; Performance Factors'!$N$7:$N$16,MATCH('Performance Calcs &amp; Print Out'!L$6,'Airfields &amp; Performance Factors'!$M$7:$M$16,0)),IF(AND(Variables!C$41="yes",K15=0,J15=0,I15&gt;0),I15*INDEX('Airfields &amp; Performance Factors'!$N$7:$N$16,MATCH('Performance Calcs &amp; Print Out'!L$6,'Airfields &amp; Performance Factors'!$M$7:$M$16,0)),IF(AND(Variables!C$41="yes",K15=0,J15=0,I15=0,H15&gt;0),H15*INDEX('Airfields &amp; Performance Factors'!$N$7:$N$16,MATCH('Performance Calcs &amp; Print Out'!L$6,'Airfields &amp; Performance Factors'!$M$7:$M$16,0)),IF(Variables!C$41="no",0,"ERROR")))))),"NULL")</f>
        <v>0</v>
      </c>
      <c r="M15" s="28">
        <f>IFERROR(IF(AND(Variables!C$42="yes",L15&gt;0),L15*INDEX('Airfields &amp; Performance Factors'!$N$7:$N$16,MATCH('Performance Calcs &amp; Print Out'!M$6,'Airfields &amp; Performance Factors'!$M$7:$M$16,0)),IF(AND(Variables!C$42="yes",L15=0,K15=0,J15=0,I15=0,H15=0),G15*INDEX('Airfields &amp; Performance Factors'!$N$7:$N$16,MATCH('Performance Calcs &amp; Print Out'!M$6,'Airfields &amp; Performance Factors'!$M$7:$M$16,0)),IF(AND(Variables!C$42="yes",L15=0,K15&gt;0),K15*INDEX('Airfields &amp; Performance Factors'!$N$7:$N$16,MATCH('Performance Calcs &amp; Print Out'!M$6,'Airfields &amp; Performance Factors'!$M$7:$M$16,0)),IF(AND(Variables!C$42="yes",L15=0,K15=0,J15&gt;0),J15*INDEX('Airfields &amp; Performance Factors'!$N$7:$N$16,MATCH('Performance Calcs &amp; Print Out'!M$6,'Airfields &amp; Performance Factors'!$M$7:$M$16,0)),IF(AND(Variables!C$42="yes",L15=0,K15=0,J15=0,I15&gt;0),I15*INDEX('Airfields &amp; Performance Factors'!$N$7:$N$16,MATCH('Performance Calcs &amp; Print Out'!M$6,'Airfields &amp; Performance Factors'!$M$7:$M$16,0)),IF(AND(Variables!C$42="yes",L15=0,K15=0,J15=0,I15=0,H15&gt;0),H15*INDEX('Airfields &amp; Performance Factors'!$N$7:$N$16,MATCH('Performance Calcs &amp; Print Out'!M$6,'Airfields &amp; Performance Factors'!$M$7:$M$16,0)),IF(Variables!C$42="no",0,"ERROR"))))))),"NULL")</f>
        <v>0</v>
      </c>
      <c r="N15" s="28">
        <f>IFERROR(IF(AND(Variables!C$43="yes",M15&gt;0),M15*INDEX('Airfields &amp; Performance Factors'!$N$7:$N$16,MATCH('Performance Calcs &amp; Print Out'!N$6,'Airfields &amp; Performance Factors'!$M$7:$M$16,0)),IF(AND(Variables!C$43="yes",M15=0,L15=0,K15=0,J15=0,I15=0,H15=0),G15*INDEX('Airfields &amp; Performance Factors'!$N$7:$N$16,MATCH('Performance Calcs &amp; Print Out'!N$6,'Airfields &amp; Performance Factors'!$M$7:$M$16,0)),IF(AND(Variables!C$43="yes",M15=0,L15=0,K15&gt;0),K15*INDEX('Airfields &amp; Performance Factors'!$N$7:$N$16,MATCH('Performance Calcs &amp; Print Out'!N$6,'Airfields &amp; Performance Factors'!$M$7:$M$16,0)),IF(AND(Variables!C$43="yes",M15=0,L15=0,K15=0,J15&gt;0),J15*INDEX('Airfields &amp; Performance Factors'!$N$7:$N$16,MATCH('Performance Calcs &amp; Print Out'!N$6,'Airfields &amp; Performance Factors'!$M$7:$M$16,0)),IF(AND(Variables!C$43="yes",M15=0,L15=0,K15=0,J15=0,I15&gt;0),I15*INDEX('Airfields &amp; Performance Factors'!$N$7:$N$16,MATCH('Performance Calcs &amp; Print Out'!N$6,'Airfields &amp; Performance Factors'!$M$7:$M$16,0)),IF(AND(Variables!C$43="yes",M15=0,L15=0,K15=0,J15=0,I15=0,H15&gt;0),H15*INDEX('Airfields &amp; Performance Factors'!$N$7:$N$16,MATCH('Performance Calcs &amp; Print Out'!N$6,'Airfields &amp; Performance Factors'!$M$7:$M$16,0)),IF(Variables!C$43="no",0,"ERROR"))))))),"NULL")</f>
        <v>0</v>
      </c>
      <c r="O15" s="28">
        <f>IFERROR(IF(AND(Variables!C$44="yes",N15&gt;0),N15*INDEX('Airfields &amp; Performance Factors'!$N$7:$N$16,MATCH('Performance Calcs &amp; Print Out'!O$6,'Airfields &amp; Performance Factors'!$M$7:$M$16,0)),IF(AND(Variables!C$44="yes",N15=0,M15=0,L15=0,K15=0,J15=0,I15=0,H15=0),G15*INDEX('Airfields &amp; Performance Factors'!$N$7:$N$16,MATCH('Performance Calcs &amp; Print Out'!O$6,'Airfields &amp; Performance Factors'!$M$7:$M$16,0)),IF(AND(Variables!C$44="yes",N15=0,M15&gt;0),M15*INDEX('Airfields &amp; Performance Factors'!$N$7:$N$16,MATCH('Performance Calcs &amp; Print Out'!O$6,'Airfields &amp; Performance Factors'!$M$7:$M$16,0)),IF(AND(Variables!C$44="yes",N15=0,M15=0,L15&gt;0),L15*INDEX('Airfields &amp; Performance Factors'!$N$7:$N$16,MATCH('Performance Calcs &amp; Print Out'!O$6,'Airfields &amp; Performance Factors'!$M$7:$M$16,0)),IF(AND(Variables!C$44="yes",N15=0,M15=0,L15=0,K15&gt;0),K15*INDEX('Airfields &amp; Performance Factors'!$N$7:$N$16,MATCH('Performance Calcs &amp; Print Out'!O$6,'Airfields &amp; Performance Factors'!$M$7:$M$16,0)),IF(AND(Variables!C$44="yes",N15=0,M15=0,L15=0,K15=0,J15&gt;0),J15*INDEX('Airfields &amp; Performance Factors'!$N$7:$N$16,MATCH('Performance Calcs &amp; Print Out'!O$6,'Airfields &amp; Performance Factors'!$M$7:$M$16,0)),IF(AND(Variables!C$44="yes",N15=0,M15=0,L15=0,K15=0,J15=0,I15&gt;0),I15*INDEX('Airfields &amp; Performance Factors'!$N$7:$N$16,MATCH('Performance Calcs &amp; Print Out'!O$6,'Airfields &amp; Performance Factors'!$M$7:$M$16,0)),IF(AND(Variables!C$44="yes",N15=0,M15=0,L15=0,K15=0,J15=0,I15=0,H15&gt;0),H15*INDEX('Airfields &amp; Performance Factors'!$N$7:$N$16,MATCH('Performance Calcs &amp; Print Out'!O$6,'Airfields &amp; Performance Factors'!$M$7:$M$16,0)),IF(Variables!C$44="no",0,"ERROR"))))))))),"NULL")</f>
        <v>0</v>
      </c>
      <c r="P15" s="28">
        <f>IFERROR(IF(AND(Variables!C$45="yes",O15&gt;0),O15*INDEX('Airfields &amp; Performance Factors'!$N$7:$N$16,MATCH('Performance Calcs &amp; Print Out'!P$6,'Airfields &amp; Performance Factors'!$M$7:$M$16,0)),IF(AND(Variables!C$45="yes",O15=0,N15=0,L15=0,K15=0,J15=0,I15=0,H15=0),G15*INDEX('Airfields &amp; Performance Factors'!$N$7:$N$16,MATCH('Performance Calcs &amp; Print Out'!P$6,'Airfields &amp; Performance Factors'!$M$7:$M$16,0)),IF(AND(Variables!C$45="yes",O15=0,N15&gt;0),N15*INDEX('Airfields &amp; Performance Factors'!$N$7:$N$16,MATCH('Performance Calcs &amp; Print Out'!P$6,'Airfields &amp; Performance Factors'!$M$7:$M$16,0)),IF(AND(Variables!C$45="yes",O15=0,N15=0,M15&gt;0),M15*INDEX('Airfields &amp; Performance Factors'!$N$7:$N$16,MATCH('Performance Calcs &amp; Print Out'!P$6,'Airfields &amp; Performance Factors'!$M$7:$M$16,0)),IF(AND(Variables!C$45="yes",O15=0,N15=0,M15=0,L15&gt;0),L15*INDEX('Airfields &amp; Performance Factors'!$N$7:$N$16,MATCH('Performance Calcs &amp; Print Out'!P$6,'Airfields &amp; Performance Factors'!$M$7:$M$16,0)),IF(AND(Variables!C$45="yes",O15=0,N15=0,M15=0,L15=0,K15&gt;0),K15*INDEX('Airfields &amp; Performance Factors'!$N$7:$N$16,MATCH('Performance Calcs &amp; Print Out'!P$6,'Airfields &amp; Performance Factors'!$M$7:$M$16,0)),IF(AND(Variables!C$45="yes",O15=0,N15=0,M15=0,L15=0,K15=0,J15&gt;0),J15*INDEX('Airfields &amp; Performance Factors'!$N$7:$N$16,MATCH('Performance Calcs &amp; Print Out'!P$6,'Airfields &amp; Performance Factors'!$M$7:$M$16,0)),IF(AND(Variables!C$45="yes",O15=0,N15=0,M15=0,L15=0,K15=0,J15=0,I15&gt;0),I15*INDEX('Airfields &amp; Performance Factors'!$N$7:$N$16,MATCH('Performance Calcs &amp; Print Out'!P$6,'Airfields &amp; Performance Factors'!$M$7:$M$16,0)),IF(AND(Variables!C$45="yes",O15=0,N15=0,M15=0,L15=0,K15=0,J15=0,I15=0,H15&gt;0),H15*INDEX('Airfields &amp; Performance Factors'!$N$7:$N$16,MATCH('Performance Calcs &amp; Print Out'!P$6,'Airfields &amp; Performance Factors'!$M$7:$M$16,0)),IF(Variables!C$45="no",0,"ERROR")))))))))),"NULL")</f>
        <v>0</v>
      </c>
      <c r="Q15" s="28" t="str">
        <f>IFERROR(IF(P15&gt;0,P15*INDEX('Airfields &amp; Performance Factors'!$N$7:$N$16,MATCH('Performance Calcs &amp; Print Out'!Q$6,'Airfields &amp; Performance Factors'!$M$7:$M$16,0)),IF(O15&gt;0,O15*INDEX('Airfields &amp; Performance Factors'!$N$7:$N$16,MATCH('Performance Calcs &amp; Print Out'!Q$6,'Airfields &amp; Performance Factors'!$M$7:$M$16,0)),IF(N15&gt;0,N15*INDEX('Airfields &amp; Performance Factors'!$N$7:$N$16,MATCH('Performance Calcs &amp; Print Out'!Q$6,'Airfields &amp; Performance Factors'!$M$7:$M$16,0)),IF(M15&gt;0,M15*INDEX('Airfields &amp; Performance Factors'!$N$7:$N$16,MATCH('Performance Calcs &amp; Print Out'!Q$6,'Airfields &amp; Performance Factors'!$M$7:$M$16,0)),IF(L15&gt;0,L15*INDEX('Airfields &amp; Performance Factors'!$N$7:$N$16,MATCH('Performance Calcs &amp; Print Out'!Q$6,'Airfields &amp; Performance Factors'!$M$7:$M$16,0)),IF(K15&gt;0,K15*INDEX('Airfields &amp; Performance Factors'!$N$7:$N$16,MATCH('Performance Calcs &amp; Print Out'!Q$6,'Airfields &amp; Performance Factors'!$M$7:$M$16,0)),IF(J15&gt;0,J15*INDEX('Airfields &amp; Performance Factors'!$N$7:$N$16,MATCH('Performance Calcs &amp; Print Out'!Q$6,'Airfields &amp; Performance Factors'!$M$7:$M$16,0)),IF(I15&gt;0,I15*INDEX('Airfields &amp; Performance Factors'!$N$7:$N$16,MATCH('Performance Calcs &amp; Print Out'!Q$6,'Airfields &amp; Performance Factors'!$M$7:$M$16,0)),IF(H15&gt;0,H15*INDEX('Airfields &amp; Performance Factors'!$N$7:$N$16,MATCH('Performance Calcs &amp; Print Out'!Q$6,'Airfields &amp; Performance Factors'!$M$7:$M$16,0)),IF(G15&gt;0,G15*INDEX('Airfields &amp; Performance Factors'!$N$7:$N$16,MATCH('Performance Calcs &amp; Print Out'!Q$6,'Airfields &amp; Performance Factors'!$M$7:$M$16,0)),"ERROR")))))))))),"NULL")</f>
        <v>ERROR</v>
      </c>
      <c r="R15" s="27" t="str">
        <f t="shared" si="1"/>
        <v>-</v>
      </c>
    </row>
    <row r="16" spans="1:18" s="9" customFormat="1" x14ac:dyDescent="0.25">
      <c r="A16" s="30"/>
      <c r="B16" s="42">
        <f t="array" ref="B16">IFERROR(INDEX('Airfields &amp; Performance Factors'!C:C,SMALL(IF('Airfields &amp; Performance Factors'!$B:$B=$C$4,ROW('Airfields &amp; Performance Factors'!$B:$B)),ROW('Airfields &amp; Performance Factors'!10:10))),"-")</f>
        <v>0</v>
      </c>
      <c r="C16" s="42">
        <f t="array" ref="C16">IFERROR(INDEX('Airfields &amp; Performance Factors'!D:D,SMALL(IF('Airfields &amp; Performance Factors'!$B:$B=$C$4,ROW('Airfields &amp; Performance Factors'!$B:$B)),ROW('Airfields &amp; Performance Factors'!10:10))),"-")</f>
        <v>0</v>
      </c>
      <c r="D16" s="42">
        <f t="array" ref="D16">IFERROR(INDEX('Airfields &amp; Performance Factors'!E:E,SMALL(IF('Airfields &amp; Performance Factors'!$B:$B=$C$4,ROW('Airfields &amp; Performance Factors'!$B:$B)),ROW('Airfields &amp; Performance Factors'!10:10))),"-")</f>
        <v>0</v>
      </c>
      <c r="E16" s="42">
        <f t="array" ref="E16">IFERROR(INDEX('Airfields &amp; Performance Factors'!F:F,SMALL(IF('Airfields &amp; Performance Factors'!$B:$B=$C$4,ROW('Airfields &amp; Performance Factors'!$B:$B)),ROW('Airfields &amp; Performance Factors'!10:10))),"-")</f>
        <v>0</v>
      </c>
      <c r="G16" s="28">
        <f>IFERROR(Variables!$C$33,"NULL")</f>
        <v>0</v>
      </c>
      <c r="H16" s="28">
        <f>IFERROR(IF(Variables!C$37="yes",G16*INDEX('Airfields &amp; Performance Factors'!$N$7:$N$16,MATCH('Performance Calcs &amp; Print Out'!H$6,'Airfields &amp; Performance Factors'!$M$7:$M$16,0)),0),"NULL")</f>
        <v>0</v>
      </c>
      <c r="I16" s="28">
        <f>IFERROR(IF(AND(Variables!C$38="yes",H16&gt;0),H16*INDEX('Airfields &amp; Performance Factors'!$N$7:$N$16,MATCH('Performance Calcs &amp; Print Out'!I$6,'Airfields &amp; Performance Factors'!$M$7:$M$16,0)),IF(Variables!C$38="no",0,G16*INDEX('Airfields &amp; Performance Factors'!$N$7:$N$16,MATCH('Performance Calcs &amp; Print Out'!I$6,'Airfields &amp; Performance Factors'!$M$7:$M$16,0)))),"NULL")</f>
        <v>0</v>
      </c>
      <c r="J16" s="28">
        <f>IFERROR(IF(AND(Variables!C$39="yes",I16&gt;0),I16*INDEX('Airfields &amp; Performance Factors'!$N$7:$N$16,MATCH('Performance Calcs &amp; Print Out'!J$6,'Airfields &amp; Performance Factors'!$M$7:$M$16,0)),IF(AND(Variables!C$39="yes",I16=0,H16=0),G16*INDEX('Airfields &amp; Performance Factors'!$N$7:$N$16,MATCH('Performance Calcs &amp; Print Out'!J$6,'Airfields &amp; Performance Factors'!$M$7:$M$16,0)),IF(AND(Variables!C$39="yes",I16=0,H16&gt;0),H16*INDEX('Airfields &amp; Performance Factors'!$N$7:$N$16,MATCH('Performance Calcs &amp; Print Out'!J$6,'Airfields &amp; Performance Factors'!$M$7:$M$16,0)),IF(Variables!C$39="no",0,"ERROR")))),"NULL")</f>
        <v>0</v>
      </c>
      <c r="K16" s="28">
        <f>IFERROR(IF(AND(Variables!C$40="yes",J16&gt;0),J16*INDEX('Airfields &amp; Performance Factors'!$N$7:$N$16,MATCH('Performance Calcs &amp; Print Out'!K$6,'Airfields &amp; Performance Factors'!$M$7:$M$16,0)),IF(AND(Variables!C$40="yes",J16=0,I16=0,H16=0),G16*INDEX('Airfields &amp; Performance Factors'!$N$7:$N$16,MATCH('Performance Calcs &amp; Print Out'!K$6,'Airfields &amp; Performance Factors'!$M$7:$M$16,0)),IF(AND(Variables!C$40="yes",J16=0,I16&gt;0),I16*INDEX('Airfields &amp; Performance Factors'!$N$7:$N$16,MATCH('Performance Calcs &amp; Print Out'!K$6,'Airfields &amp; Performance Factors'!$M$7:$M$16,0)),IF(AND(Variables!C$40="yes",J16=0,I16=0,H16&gt;0),H16*INDEX('Airfields &amp; Performance Factors'!$N$7:$N$16,MATCH('Performance Calcs &amp; Print Out'!K$6,'Airfields &amp; Performance Factors'!$M$7:$M$16,0)),IF(Variables!C$40="no",0,"ERROR"))))),"NULL")</f>
        <v>0</v>
      </c>
      <c r="L16" s="28">
        <f>IFERROR(IF(AND(Variables!C$41="yes",K16&gt;0),K16*INDEX('Airfields &amp; Performance Factors'!$N$7:$N$16,MATCH('Performance Calcs &amp; Print Out'!L$6,'Airfields &amp; Performance Factors'!$M$7:$M$16,0)),IF(AND(Variables!C$41="yes",K16=0,J16=0,I16=0,H16=0),G16*INDEX('Airfields &amp; Performance Factors'!$N$7:$N$16,MATCH('Performance Calcs &amp; Print Out'!L$6,'Airfields &amp; Performance Factors'!$M$7:$M$16,0)),IF(AND(Variables!C$41="yes",K16=0,J16&gt;0),J16*INDEX('Airfields &amp; Performance Factors'!$N$7:$N$16,MATCH('Performance Calcs &amp; Print Out'!L$6,'Airfields &amp; Performance Factors'!$M$7:$M$16,0)),IF(AND(Variables!C$41="yes",K16=0,J16=0,I16&gt;0),I16*INDEX('Airfields &amp; Performance Factors'!$N$7:$N$16,MATCH('Performance Calcs &amp; Print Out'!L$6,'Airfields &amp; Performance Factors'!$M$7:$M$16,0)),IF(AND(Variables!C$41="yes",K16=0,J16=0,I16=0,H16&gt;0),H16*INDEX('Airfields &amp; Performance Factors'!$N$7:$N$16,MATCH('Performance Calcs &amp; Print Out'!L$6,'Airfields &amp; Performance Factors'!$M$7:$M$16,0)),IF(Variables!C$41="no",0,"ERROR")))))),"NULL")</f>
        <v>0</v>
      </c>
      <c r="M16" s="28">
        <f>IFERROR(IF(AND(Variables!C$42="yes",L16&gt;0),L16*INDEX('Airfields &amp; Performance Factors'!$N$7:$N$16,MATCH('Performance Calcs &amp; Print Out'!M$6,'Airfields &amp; Performance Factors'!$M$7:$M$16,0)),IF(AND(Variables!C$42="yes",L16=0,K16=0,J16=0,I16=0,H16=0),G16*INDEX('Airfields &amp; Performance Factors'!$N$7:$N$16,MATCH('Performance Calcs &amp; Print Out'!M$6,'Airfields &amp; Performance Factors'!$M$7:$M$16,0)),IF(AND(Variables!C$42="yes",L16=0,K16&gt;0),K16*INDEX('Airfields &amp; Performance Factors'!$N$7:$N$16,MATCH('Performance Calcs &amp; Print Out'!M$6,'Airfields &amp; Performance Factors'!$M$7:$M$16,0)),IF(AND(Variables!C$42="yes",L16=0,K16=0,J16&gt;0),J16*INDEX('Airfields &amp; Performance Factors'!$N$7:$N$16,MATCH('Performance Calcs &amp; Print Out'!M$6,'Airfields &amp; Performance Factors'!$M$7:$M$16,0)),IF(AND(Variables!C$42="yes",L16=0,K16=0,J16=0,I16&gt;0),I16*INDEX('Airfields &amp; Performance Factors'!$N$7:$N$16,MATCH('Performance Calcs &amp; Print Out'!M$6,'Airfields &amp; Performance Factors'!$M$7:$M$16,0)),IF(AND(Variables!C$42="yes",L16=0,K16=0,J16=0,I16=0,H16&gt;0),H16*INDEX('Airfields &amp; Performance Factors'!$N$7:$N$16,MATCH('Performance Calcs &amp; Print Out'!M$6,'Airfields &amp; Performance Factors'!$M$7:$M$16,0)),IF(Variables!C$42="no",0,"ERROR"))))))),"NULL")</f>
        <v>0</v>
      </c>
      <c r="N16" s="28">
        <f>IFERROR(IF(AND(Variables!C$43="yes",M16&gt;0),M16*INDEX('Airfields &amp; Performance Factors'!$N$7:$N$16,MATCH('Performance Calcs &amp; Print Out'!N$6,'Airfields &amp; Performance Factors'!$M$7:$M$16,0)),IF(AND(Variables!C$43="yes",M16=0,L16=0,K16=0,J16=0,I16=0,H16=0),G16*INDEX('Airfields &amp; Performance Factors'!$N$7:$N$16,MATCH('Performance Calcs &amp; Print Out'!N$6,'Airfields &amp; Performance Factors'!$M$7:$M$16,0)),IF(AND(Variables!C$43="yes",M16=0,L16=0,K16&gt;0),K16*INDEX('Airfields &amp; Performance Factors'!$N$7:$N$16,MATCH('Performance Calcs &amp; Print Out'!N$6,'Airfields &amp; Performance Factors'!$M$7:$M$16,0)),IF(AND(Variables!C$43="yes",M16=0,L16=0,K16=0,J16&gt;0),J16*INDEX('Airfields &amp; Performance Factors'!$N$7:$N$16,MATCH('Performance Calcs &amp; Print Out'!N$6,'Airfields &amp; Performance Factors'!$M$7:$M$16,0)),IF(AND(Variables!C$43="yes",M16=0,L16=0,K16=0,J16=0,I16&gt;0),I16*INDEX('Airfields &amp; Performance Factors'!$N$7:$N$16,MATCH('Performance Calcs &amp; Print Out'!N$6,'Airfields &amp; Performance Factors'!$M$7:$M$16,0)),IF(AND(Variables!C$43="yes",M16=0,L16=0,K16=0,J16=0,I16=0,H16&gt;0),H16*INDEX('Airfields &amp; Performance Factors'!$N$7:$N$16,MATCH('Performance Calcs &amp; Print Out'!N$6,'Airfields &amp; Performance Factors'!$M$7:$M$16,0)),IF(Variables!C$43="no",0,"ERROR"))))))),"NULL")</f>
        <v>0</v>
      </c>
      <c r="O16" s="28">
        <f>IFERROR(IF(AND(Variables!C$44="yes",N16&gt;0),N16*INDEX('Airfields &amp; Performance Factors'!$N$7:$N$16,MATCH('Performance Calcs &amp; Print Out'!O$6,'Airfields &amp; Performance Factors'!$M$7:$M$16,0)),IF(AND(Variables!C$44="yes",N16=0,M16=0,L16=0,K16=0,J16=0,I16=0,H16=0),G16*INDEX('Airfields &amp; Performance Factors'!$N$7:$N$16,MATCH('Performance Calcs &amp; Print Out'!O$6,'Airfields &amp; Performance Factors'!$M$7:$M$16,0)),IF(AND(Variables!C$44="yes",N16=0,M16&gt;0),M16*INDEX('Airfields &amp; Performance Factors'!$N$7:$N$16,MATCH('Performance Calcs &amp; Print Out'!O$6,'Airfields &amp; Performance Factors'!$M$7:$M$16,0)),IF(AND(Variables!C$44="yes",N16=0,M16=0,L16&gt;0),L16*INDEX('Airfields &amp; Performance Factors'!$N$7:$N$16,MATCH('Performance Calcs &amp; Print Out'!O$6,'Airfields &amp; Performance Factors'!$M$7:$M$16,0)),IF(AND(Variables!C$44="yes",N16=0,M16=0,L16=0,K16&gt;0),K16*INDEX('Airfields &amp; Performance Factors'!$N$7:$N$16,MATCH('Performance Calcs &amp; Print Out'!O$6,'Airfields &amp; Performance Factors'!$M$7:$M$16,0)),IF(AND(Variables!C$44="yes",N16=0,M16=0,L16=0,K16=0,J16&gt;0),J16*INDEX('Airfields &amp; Performance Factors'!$N$7:$N$16,MATCH('Performance Calcs &amp; Print Out'!O$6,'Airfields &amp; Performance Factors'!$M$7:$M$16,0)),IF(AND(Variables!C$44="yes",N16=0,M16=0,L16=0,K16=0,J16=0,I16&gt;0),I16*INDEX('Airfields &amp; Performance Factors'!$N$7:$N$16,MATCH('Performance Calcs &amp; Print Out'!O$6,'Airfields &amp; Performance Factors'!$M$7:$M$16,0)),IF(AND(Variables!C$44="yes",N16=0,M16=0,L16=0,K16=0,J16=0,I16=0,H16&gt;0),H16*INDEX('Airfields &amp; Performance Factors'!$N$7:$N$16,MATCH('Performance Calcs &amp; Print Out'!O$6,'Airfields &amp; Performance Factors'!$M$7:$M$16,0)),IF(Variables!C$44="no",0,"ERROR"))))))))),"NULL")</f>
        <v>0</v>
      </c>
      <c r="P16" s="28">
        <f>IFERROR(IF(AND(Variables!C$45="yes",O16&gt;0),O16*INDEX('Airfields &amp; Performance Factors'!$N$7:$N$16,MATCH('Performance Calcs &amp; Print Out'!P$6,'Airfields &amp; Performance Factors'!$M$7:$M$16,0)),IF(AND(Variables!C$45="yes",O16=0,N16=0,L16=0,K16=0,J16=0,I16=0,H16=0),G16*INDEX('Airfields &amp; Performance Factors'!$N$7:$N$16,MATCH('Performance Calcs &amp; Print Out'!P$6,'Airfields &amp; Performance Factors'!$M$7:$M$16,0)),IF(AND(Variables!C$45="yes",O16=0,N16&gt;0),N16*INDEX('Airfields &amp; Performance Factors'!$N$7:$N$16,MATCH('Performance Calcs &amp; Print Out'!P$6,'Airfields &amp; Performance Factors'!$M$7:$M$16,0)),IF(AND(Variables!C$45="yes",O16=0,N16=0,M16&gt;0),M16*INDEX('Airfields &amp; Performance Factors'!$N$7:$N$16,MATCH('Performance Calcs &amp; Print Out'!P$6,'Airfields &amp; Performance Factors'!$M$7:$M$16,0)),IF(AND(Variables!C$45="yes",O16=0,N16=0,M16=0,L16&gt;0),L16*INDEX('Airfields &amp; Performance Factors'!$N$7:$N$16,MATCH('Performance Calcs &amp; Print Out'!P$6,'Airfields &amp; Performance Factors'!$M$7:$M$16,0)),IF(AND(Variables!C$45="yes",O16=0,N16=0,M16=0,L16=0,K16&gt;0),K16*INDEX('Airfields &amp; Performance Factors'!$N$7:$N$16,MATCH('Performance Calcs &amp; Print Out'!P$6,'Airfields &amp; Performance Factors'!$M$7:$M$16,0)),IF(AND(Variables!C$45="yes",O16=0,N16=0,M16=0,L16=0,K16=0,J16&gt;0),J16*INDEX('Airfields &amp; Performance Factors'!$N$7:$N$16,MATCH('Performance Calcs &amp; Print Out'!P$6,'Airfields &amp; Performance Factors'!$M$7:$M$16,0)),IF(AND(Variables!C$45="yes",O16=0,N16=0,M16=0,L16=0,K16=0,J16=0,I16&gt;0),I16*INDEX('Airfields &amp; Performance Factors'!$N$7:$N$16,MATCH('Performance Calcs &amp; Print Out'!P$6,'Airfields &amp; Performance Factors'!$M$7:$M$16,0)),IF(AND(Variables!C$45="yes",O16=0,N16=0,M16=0,L16=0,K16=0,J16=0,I16=0,H16&gt;0),H16*INDEX('Airfields &amp; Performance Factors'!$N$7:$N$16,MATCH('Performance Calcs &amp; Print Out'!P$6,'Airfields &amp; Performance Factors'!$M$7:$M$16,0)),IF(Variables!C$45="no",0,"ERROR")))))))))),"NULL")</f>
        <v>0</v>
      </c>
      <c r="Q16" s="28" t="str">
        <f>IFERROR(IF(P16&gt;0,P16*INDEX('Airfields &amp; Performance Factors'!$N$7:$N$16,MATCH('Performance Calcs &amp; Print Out'!Q$6,'Airfields &amp; Performance Factors'!$M$7:$M$16,0)),IF(O16&gt;0,O16*INDEX('Airfields &amp; Performance Factors'!$N$7:$N$16,MATCH('Performance Calcs &amp; Print Out'!Q$6,'Airfields &amp; Performance Factors'!$M$7:$M$16,0)),IF(N16&gt;0,N16*INDEX('Airfields &amp; Performance Factors'!$N$7:$N$16,MATCH('Performance Calcs &amp; Print Out'!Q$6,'Airfields &amp; Performance Factors'!$M$7:$M$16,0)),IF(M16&gt;0,M16*INDEX('Airfields &amp; Performance Factors'!$N$7:$N$16,MATCH('Performance Calcs &amp; Print Out'!Q$6,'Airfields &amp; Performance Factors'!$M$7:$M$16,0)),IF(L16&gt;0,L16*INDEX('Airfields &amp; Performance Factors'!$N$7:$N$16,MATCH('Performance Calcs &amp; Print Out'!Q$6,'Airfields &amp; Performance Factors'!$M$7:$M$16,0)),IF(K16&gt;0,K16*INDEX('Airfields &amp; Performance Factors'!$N$7:$N$16,MATCH('Performance Calcs &amp; Print Out'!Q$6,'Airfields &amp; Performance Factors'!$M$7:$M$16,0)),IF(J16&gt;0,J16*INDEX('Airfields &amp; Performance Factors'!$N$7:$N$16,MATCH('Performance Calcs &amp; Print Out'!Q$6,'Airfields &amp; Performance Factors'!$M$7:$M$16,0)),IF(I16&gt;0,I16*INDEX('Airfields &amp; Performance Factors'!$N$7:$N$16,MATCH('Performance Calcs &amp; Print Out'!Q$6,'Airfields &amp; Performance Factors'!$M$7:$M$16,0)),IF(H16&gt;0,H16*INDEX('Airfields &amp; Performance Factors'!$N$7:$N$16,MATCH('Performance Calcs &amp; Print Out'!Q$6,'Airfields &amp; Performance Factors'!$M$7:$M$16,0)),IF(G16&gt;0,G16*INDEX('Airfields &amp; Performance Factors'!$N$7:$N$16,MATCH('Performance Calcs &amp; Print Out'!Q$6,'Airfields &amp; Performance Factors'!$M$7:$M$16,0)),"ERROR")))))))))),"NULL")</f>
        <v>ERROR</v>
      </c>
      <c r="R16" s="27" t="str">
        <f t="shared" si="1"/>
        <v>-</v>
      </c>
    </row>
    <row r="17" spans="1:18" s="9" customFormat="1" x14ac:dyDescent="0.25">
      <c r="A17" s="30"/>
      <c r="G17" s="22"/>
      <c r="H17" s="22"/>
      <c r="I17" s="22"/>
      <c r="J17" s="22"/>
      <c r="K17" s="22"/>
      <c r="L17" s="22"/>
      <c r="M17" s="22"/>
      <c r="N17" s="22"/>
      <c r="O17" s="22"/>
      <c r="P17" s="22"/>
      <c r="Q17" s="22"/>
    </row>
    <row r="18" spans="1:18" s="9" customFormat="1" x14ac:dyDescent="0.25">
      <c r="A18" s="30"/>
      <c r="B18" s="10" t="s">
        <v>294</v>
      </c>
      <c r="C18" s="46" t="str">
        <f>IFERROR(IF(AND(Variables!$C$25&gt;ISA_Pressure,'Airfields &amp; Performance Factors'!S7&gt;0),VLOOKUP($C$4,'Airfields &amp; Performance Factors'!$I$7:$K$70,3,FALSE)-('Airfields &amp; Performance Factors'!$S$7*30),VLOOKUP($C$4,'Airfields &amp; Performance Factors'!$I$7:$K$70,3,FALSE)-('Airfields &amp; Performance Factors'!$S$7*30)),"")</f>
        <v/>
      </c>
      <c r="G18" s="22"/>
      <c r="H18" s="22"/>
      <c r="I18" s="22"/>
      <c r="J18" s="22"/>
      <c r="K18" s="22"/>
      <c r="L18" s="22"/>
      <c r="M18" s="22"/>
      <c r="N18" s="22"/>
      <c r="O18" s="22"/>
      <c r="P18" s="22"/>
      <c r="Q18" s="22"/>
    </row>
    <row r="19" spans="1:18" s="9" customFormat="1" x14ac:dyDescent="0.25">
      <c r="A19" s="30"/>
      <c r="B19" s="10" t="s">
        <v>295</v>
      </c>
      <c r="C19" s="46" t="str">
        <f>IFERROR(C18+(120*'Airfields &amp; Performance Factors'!S8),"")</f>
        <v/>
      </c>
      <c r="G19" s="22"/>
      <c r="H19" s="22"/>
      <c r="I19" s="22"/>
      <c r="J19" s="22"/>
      <c r="K19" s="22"/>
      <c r="L19" s="22"/>
      <c r="M19" s="22"/>
      <c r="N19" s="22"/>
      <c r="O19" s="22"/>
      <c r="P19" s="22"/>
      <c r="Q19" s="22"/>
    </row>
    <row r="20" spans="1:18" s="9" customFormat="1" x14ac:dyDescent="0.25">
      <c r="A20" s="30"/>
      <c r="G20" s="22"/>
      <c r="H20" s="22"/>
      <c r="I20" s="22"/>
      <c r="J20" s="22"/>
      <c r="K20" s="22"/>
      <c r="L20" s="22"/>
      <c r="M20" s="22"/>
      <c r="N20" s="22"/>
      <c r="O20" s="22"/>
      <c r="P20" s="22"/>
      <c r="Q20" s="22"/>
    </row>
    <row r="21" spans="1:18" s="9" customFormat="1" x14ac:dyDescent="0.25">
      <c r="A21" s="30"/>
      <c r="B21" s="10" t="s">
        <v>147</v>
      </c>
      <c r="C21" s="18">
        <f>Variables!$C$32</f>
        <v>0</v>
      </c>
      <c r="D21" s="30">
        <f>COUNTIF('Airfields &amp; Performance Factors'!B7:B327,'Performance Calcs &amp; Print Out'!$C$21)</f>
        <v>0</v>
      </c>
      <c r="E21" s="22"/>
      <c r="G21" s="22"/>
      <c r="H21" s="22"/>
      <c r="I21" s="22"/>
      <c r="J21" s="22"/>
      <c r="K21" s="22"/>
      <c r="L21" s="22"/>
      <c r="M21" s="22"/>
      <c r="N21" s="22"/>
      <c r="O21" s="22"/>
      <c r="P21" s="22"/>
      <c r="Q21" s="22"/>
    </row>
    <row r="22" spans="1:18" s="9" customFormat="1" x14ac:dyDescent="0.25">
      <c r="A22" s="30"/>
      <c r="C22" s="22"/>
      <c r="D22" s="22"/>
      <c r="E22" s="22"/>
      <c r="G22" s="22"/>
      <c r="H22" s="22"/>
      <c r="I22" s="22"/>
      <c r="J22" s="22"/>
      <c r="K22" s="22"/>
      <c r="L22" s="22"/>
      <c r="M22" s="22"/>
      <c r="N22" s="22"/>
      <c r="O22" s="22"/>
      <c r="P22" s="22"/>
      <c r="Q22" s="22"/>
    </row>
    <row r="23" spans="1:18" s="9" customFormat="1" x14ac:dyDescent="0.25">
      <c r="A23" s="30"/>
      <c r="B23" s="6" t="s">
        <v>52</v>
      </c>
      <c r="C23" s="6" t="s">
        <v>161</v>
      </c>
      <c r="D23" s="6" t="s">
        <v>162</v>
      </c>
      <c r="E23" s="6" t="s">
        <v>163</v>
      </c>
      <c r="G23" s="6" t="s">
        <v>169</v>
      </c>
      <c r="H23" s="6" t="s">
        <v>0</v>
      </c>
      <c r="I23" s="6" t="s">
        <v>148</v>
      </c>
      <c r="J23" s="6" t="s">
        <v>149</v>
      </c>
      <c r="K23" s="6" t="s">
        <v>150</v>
      </c>
      <c r="L23" s="6" t="s">
        <v>151</v>
      </c>
      <c r="M23" s="6" t="s">
        <v>184</v>
      </c>
      <c r="N23" s="6" t="s">
        <v>152</v>
      </c>
      <c r="O23" s="6" t="s">
        <v>153</v>
      </c>
      <c r="P23" s="6" t="s">
        <v>154</v>
      </c>
      <c r="Q23" s="6" t="s">
        <v>160</v>
      </c>
      <c r="R23" s="6" t="s">
        <v>168</v>
      </c>
    </row>
    <row r="24" spans="1:18" s="9" customFormat="1" x14ac:dyDescent="0.25">
      <c r="A24" s="30"/>
      <c r="B24" s="42">
        <f t="array" ref="B24">IFERROR(INDEX('Airfields &amp; Performance Factors'!C:C,SMALL(IF('Airfields &amp; Performance Factors'!$B:$B=$C$21,ROW('Airfields &amp; Performance Factors'!$B:$B)),ROW('Airfields &amp; Performance Factors'!1:1))),"-")</f>
        <v>0</v>
      </c>
      <c r="C24" s="42">
        <f t="array" ref="C24">IFERROR(INDEX('Airfields &amp; Performance Factors'!D:D,SMALL(IF('Airfields &amp; Performance Factors'!$B:$B=$C$21,ROW('Airfields &amp; Performance Factors'!$B:$B)),ROW('Airfields &amp; Performance Factors'!1:1))),"-")</f>
        <v>0</v>
      </c>
      <c r="D24" s="42">
        <f t="array" ref="D24">IFERROR(INDEX('Airfields &amp; Performance Factors'!E:E,SMALL(IF('Airfields &amp; Performance Factors'!$B:$B=$C$21,ROW('Airfields &amp; Performance Factors'!$B:$B)),ROW('Airfields &amp; Performance Factors'!1:1))),"-")</f>
        <v>0</v>
      </c>
      <c r="E24" s="42">
        <f t="array" ref="E24">IFERROR(INDEX('Airfields &amp; Performance Factors'!F:F,SMALL(IF('Airfields &amp; Performance Factors'!$B:$B=$C$21,ROW('Airfields &amp; Performance Factors'!$B:$B)),ROW('Airfields &amp; Performance Factors'!1:1))),"-")</f>
        <v>0</v>
      </c>
      <c r="G24" s="26">
        <f>IFERROR(Variables!$C$34,"NULL")</f>
        <v>0</v>
      </c>
      <c r="H24" s="26">
        <f>IFERROR(IF(Variables!C$48="yes",G24*INDEX('Airfields &amp; Performance Factors'!$O$7:$O$16,MATCH('Performance Calcs &amp; Print Out'!H$23,'Airfields &amp; Performance Factors'!$M$7:$M$16,0)),0),"NULL")</f>
        <v>0</v>
      </c>
      <c r="I24" s="26">
        <f>IFERROR(IF(AND(Variables!C$49="yes",H24&gt;0),H24*INDEX('Airfields &amp; Performance Factors'!$O$7:$O$16,MATCH('Performance Calcs &amp; Print Out'!I$23,'Airfields &amp; Performance Factors'!$M$7:$M$16,0)),IF(Variables!C$49="no",0,G24*INDEX('Airfields &amp; Performance Factors'!$O$7:$O$16,MATCH('Performance Calcs &amp; Print Out'!I$23,'Airfields &amp; Performance Factors'!$M$7:$M$16,0)))),"NULL")</f>
        <v>0</v>
      </c>
      <c r="J24" s="26">
        <f>IFERROR(IF(AND(Variables!C$50="yes",I24&gt;0),I24*INDEX('Airfields &amp; Performance Factors'!$O$7:$O$16,MATCH('Performance Calcs &amp; Print Out'!J$23,'Airfields &amp; Performance Factors'!$M$7:$M$16,0)),IF(AND(Variables!C$50="yes",I24=0,H24=0),G24*INDEX('Airfields &amp; Performance Factors'!$O$7:$O$16,MATCH('Performance Calcs &amp; Print Out'!J$23,'Airfields &amp; Performance Factors'!$M$7:$M$16,0)),IF(AND(Variables!C$50="yes",I24=0,H24&gt;0),H24*INDEX('Airfields &amp; Performance Factors'!$O$7:$O$16,MATCH('Performance Calcs &amp; Print Out'!J$23,'Airfields &amp; Performance Factors'!$M$7:$M$16,0)),IF(Variables!C$50="no",0,"ERROR")))),"NULL")</f>
        <v>0</v>
      </c>
      <c r="K24" s="26">
        <f>IFERROR(IF(AND(Variables!C$51="yes",J24&gt;0),J24*INDEX('Airfields &amp; Performance Factors'!$O$7:$O$16,MATCH('Performance Calcs &amp; Print Out'!K$23,'Airfields &amp; Performance Factors'!$M$7:$M$16,0)),IF(AND(Variables!C$51="yes",J24=0,I24=0,H24=0),G24*INDEX('Airfields &amp; Performance Factors'!$O$7:$O$16,MATCH('Performance Calcs &amp; Print Out'!K$23,'Airfields &amp; Performance Factors'!$M$7:$M$16,0)),IF(AND(Variables!C$51="yes",J24=0,I24&gt;0),I24*INDEX('Airfields &amp; Performance Factors'!$O$7:$O$16,MATCH('Performance Calcs &amp; Print Out'!K$23,'Airfields &amp; Performance Factors'!$M$7:$M$16,0)),IF(AND(Variables!C$51="yes",J24=0,I24=0,H24&gt;0),H24*INDEX('Airfields &amp; Performance Factors'!$O$7:$O$16,MATCH('Performance Calcs &amp; Print Out'!K$23,'Airfields &amp; Performance Factors'!$M$7:$M$16,0)),IF(Variables!C$51="no",0,"ERROR"))))),"NULL")</f>
        <v>0</v>
      </c>
      <c r="L24" s="26">
        <f>IFERROR(IF(AND(Variables!C$52="yes",K24&gt;0),K24*INDEX('Airfields &amp; Performance Factors'!$O$7:$O$16,MATCH('Performance Calcs &amp; Print Out'!L$23,'Airfields &amp; Performance Factors'!$M$7:$M$16,0)),IF(AND(Variables!C$52="yes",K24=0,J24=0,I24=0,H24=0),G24*INDEX('Airfields &amp; Performance Factors'!$O$7:$O$16,MATCH('Performance Calcs &amp; Print Out'!L$23,'Airfields &amp; Performance Factors'!$M$7:$M$16,0)),IF(AND(Variables!C$52="yes",K24=0,J24&gt;0),J24*INDEX('Airfields &amp; Performance Factors'!$O$7:$O$16,MATCH('Performance Calcs &amp; Print Out'!L$23,'Airfields &amp; Performance Factors'!$M$7:$M$16,0)),IF(AND(Variables!C$52="yes",K24=0,J24=0,I24&gt;0),I24*INDEX('Airfields &amp; Performance Factors'!$O$7:$O$16,MATCH('Performance Calcs &amp; Print Out'!L$23,'Airfields &amp; Performance Factors'!$M$7:$M$16,0)),IF(AND(Variables!C$52="yes",K24=0,J24=0,I24=0,H24&gt;0),H24*INDEX('Airfields &amp; Performance Factors'!$O$7:$O$16,MATCH('Performance Calcs &amp; Print Out'!L$23,'Airfields &amp; Performance Factors'!$M$7:$M$16,0)),IF(Variables!C$52="no",0,"ERROR")))))),"NULL")</f>
        <v>0</v>
      </c>
      <c r="M24" s="26">
        <f>IFERROR(IF(AND(Variables!C$53="yes",L24&gt;0),L24*INDEX('Airfields &amp; Performance Factors'!$O$7:$O$16,MATCH('Performance Calcs &amp; Print Out'!M$23,'Airfields &amp; Performance Factors'!$M$7:$M$16,0)),IF(AND(Variables!C$53="yes",L24=0,K24=0,J24=0,I24=0,H24=0),G24*INDEX('Airfields &amp; Performance Factors'!$O$7:$O$16,MATCH('Performance Calcs &amp; Print Out'!M$23,'Airfields &amp; Performance Factors'!$M$7:$M$16,0)),IF(AND(Variables!C$53="yes",L24=0,K24&gt;0),K24*INDEX('Airfields &amp; Performance Factors'!$O$7:$O$16,MATCH('Performance Calcs &amp; Print Out'!M$23,'Airfields &amp; Performance Factors'!$M$7:$M$16,0)),IF(AND(Variables!C$53="yes",L24=0,K24=0,J24&gt;0),J24*INDEX('Airfields &amp; Performance Factors'!$O$7:$O$16,MATCH('Performance Calcs &amp; Print Out'!M$23,'Airfields &amp; Performance Factors'!$M$7:$M$16,0)),IF(AND(Variables!C$53="yes",L24=0,K24=0,J24=0,I24&gt;0),I24*INDEX('Airfields &amp; Performance Factors'!$O$7:$O$16,MATCH('Performance Calcs &amp; Print Out'!M$23,'Airfields &amp; Performance Factors'!$M$7:$M$16,0)),IF(AND(Variables!C$53="yes",L24=0,K24=0,J24=0,I24=0,H24&gt;0),H24*INDEX('Airfields &amp; Performance Factors'!$O$7:$O$16,MATCH('Performance Calcs &amp; Print Out'!M$23,'Airfields &amp; Performance Factors'!$M$7:$M$16,0)),IF(Variables!C$53="no",0,"ERROR"))))))),"NULL")</f>
        <v>0</v>
      </c>
      <c r="N24" s="26">
        <f>IFERROR(IF(AND(Variables!C$54="yes",M24&gt;0),M24*INDEX('Airfields &amp; Performance Factors'!$O$7:$O$16,MATCH('Performance Calcs &amp; Print Out'!N$23,'Airfields &amp; Performance Factors'!$M$7:$M$16,0)),IF(AND(Variables!C$54="yes",M24=0,L24=0,K24=0,J24=0,I24=0,H24=0),G24*INDEX('Airfields &amp; Performance Factors'!$O$7:$O$16,MATCH('Performance Calcs &amp; Print Out'!N$23,'Airfields &amp; Performance Factors'!$M$7:$M$16,0)),IF(AND(Variables!C$54="yes",M24=0,L24=0,K24&gt;0),K24*INDEX('Airfields &amp; Performance Factors'!$O$7:$O$16,MATCH('Performance Calcs &amp; Print Out'!N$23,'Airfields &amp; Performance Factors'!$M$7:$M$16,0)),IF(AND(Variables!C$54="yes",M24=0,L24=0,K24=0,J24&gt;0),J24*INDEX('Airfields &amp; Performance Factors'!$O$7:$O$16,MATCH('Performance Calcs &amp; Print Out'!N$23,'Airfields &amp; Performance Factors'!$M$7:$M$16,0)),IF(AND(Variables!C$54="yes",M24=0,L24=0,K24=0,J24=0,I24&gt;0),I24*INDEX('Airfields &amp; Performance Factors'!$O$7:$O$16,MATCH('Performance Calcs &amp; Print Out'!N$23,'Airfields &amp; Performance Factors'!$M$7:$M$16,0)),IF(AND(Variables!C$54="yes",M24=0,L24=0,K24=0,J24=0,I24=0,H24&gt;0),H24*INDEX('Airfields &amp; Performance Factors'!$O$7:$O$16,MATCH('Performance Calcs &amp; Print Out'!N$23,'Airfields &amp; Performance Factors'!$M$7:$M$16,0)),IF(Variables!C$54="no",0,"ERROR"))))))),"NULL")</f>
        <v>0</v>
      </c>
      <c r="O24" s="26">
        <f>IFERROR(IF(AND(Variables!C$55="yes",N24&gt;0),N24*INDEX('Airfields &amp; Performance Factors'!$O$7:$O$16,MATCH('Performance Calcs &amp; Print Out'!O$23,'Airfields &amp; Performance Factors'!$M$7:$M$16,0)),IF(AND(Variables!C$55="yes",N24=0,M24=0,L24=0,K24=0,J24=0,I24=0,H24=0),G24*INDEX('Airfields &amp; Performance Factors'!$O$7:$O$16,MATCH('Performance Calcs &amp; Print Out'!O$23,'Airfields &amp; Performance Factors'!$M$7:$M$16,0)),IF(AND(Variables!C$55="yes",N24=0,M24&gt;0),M24*INDEX('Airfields &amp; Performance Factors'!$O$7:$O$16,MATCH('Performance Calcs &amp; Print Out'!O$23,'Airfields &amp; Performance Factors'!$M$7:$M$16,0)),IF(AND(Variables!C$55="yes",N24=0,M24=0,L24&gt;0),L24*INDEX('Airfields &amp; Performance Factors'!$O$7:$O$16,MATCH('Performance Calcs &amp; Print Out'!O$23,'Airfields &amp; Performance Factors'!$M$7:$M$16,0)),IF(AND(Variables!C$55="yes",N24=0,M24=0,L24=0,K24&gt;0),K24*INDEX('Airfields &amp; Performance Factors'!$O$7:$O$16,MATCH('Performance Calcs &amp; Print Out'!O$23,'Airfields &amp; Performance Factors'!$M$7:$M$16,0)),IF(AND(Variables!C$55="yes",N24=0,M24=0,L24=0,K24=0,J24&gt;0),J24*INDEX('Airfields &amp; Performance Factors'!$O$7:$O$16,MATCH('Performance Calcs &amp; Print Out'!O$23,'Airfields &amp; Performance Factors'!$M$7:$M$16,0)),IF(AND(Variables!C$55="yes",N24=0,M24=0,L24=0,K24=0,J24=0,I24&gt;0),I24*INDEX('Airfields &amp; Performance Factors'!$O$7:$O$16,MATCH('Performance Calcs &amp; Print Out'!O$23,'Airfields &amp; Performance Factors'!$M$7:$M$16,0)),IF(AND(Variables!C$55="yes",N24=0,M24=0,L24=0,K24=0,J24=0,I24=0,H24&gt;0),H24*INDEX('Airfields &amp; Performance Factors'!$O$7:$O$16,MATCH('Performance Calcs &amp; Print Out'!O$23,'Airfields &amp; Performance Factors'!$M$7:$M$16,0)),IF(Variables!C$55="no",0,"ERROR"))))))))),"NULL")</f>
        <v>0</v>
      </c>
      <c r="P24" s="26">
        <f>IFERROR(IF(AND(Variables!C$56="yes",O24&gt;0),O24*INDEX('Airfields &amp; Performance Factors'!$O$7:$O$16,MATCH('Performance Calcs &amp; Print Out'!P$23,'Airfields &amp; Performance Factors'!$M$7:$M$16,0)),IF(AND(Variables!C$56="yes",O24=0,N24=0,L24=0,K24=0,J24=0,I24=0,H24=0),G24*INDEX('Airfields &amp; Performance Factors'!$O$7:$O$16,MATCH('Performance Calcs &amp; Print Out'!P$23,'Airfields &amp; Performance Factors'!$M$7:$M$16,0)),IF(AND(Variables!C$56="yes",O24=0,N24&gt;0),N24*INDEX('Airfields &amp; Performance Factors'!$O$7:$O$16,MATCH('Performance Calcs &amp; Print Out'!P$23,'Airfields &amp; Performance Factors'!$M$7:$M$16,0)),IF(AND(Variables!C$56="yes",O24=0,N24=0,M24&gt;0),M24*INDEX('Airfields &amp; Performance Factors'!$O$7:$O$16,MATCH('Performance Calcs &amp; Print Out'!P$23,'Airfields &amp; Performance Factors'!$M$7:$M$16,0)),IF(AND(Variables!C$56="yes",O24=0,N24=0,M24=0,L24&gt;0),L24*INDEX('Airfields &amp; Performance Factors'!$O$7:$O$16,MATCH('Performance Calcs &amp; Print Out'!P$23,'Airfields &amp; Performance Factors'!$M$7:$M$16,0)),IF(AND(Variables!C$56="yes",O24=0,N24=0,M24=0,L24=0,K24&gt;0),K24*INDEX('Airfields &amp; Performance Factors'!$O$7:$O$16,MATCH('Performance Calcs &amp; Print Out'!P$23,'Airfields &amp; Performance Factors'!$M$7:$M$16,0)),IF(AND(Variables!C$56="yes",O24=0,N24=0,M24=0,L24=0,K24=0,J24&gt;0),J24*INDEX('Airfields &amp; Performance Factors'!$O$7:$O$16,MATCH('Performance Calcs &amp; Print Out'!P$23,'Airfields &amp; Performance Factors'!$M$7:$M$16,0)),IF(AND(Variables!C$56="yes",O24=0,N24=0,M24=0,L24=0,K24=0,J24=0,I24&gt;0),I24*INDEX('Airfields &amp; Performance Factors'!$O$7:$O$16,MATCH('Performance Calcs &amp; Print Out'!P$23,'Airfields &amp; Performance Factors'!$M$7:$M$16,0)),IF(AND(Variables!C$56="yes",O24=0,N24=0,M24=0,L24=0,K24=0,J24=0,I24=0,H24&gt;0),H24*INDEX('Airfields &amp; Performance Factors'!$O$7:$O$16,MATCH('Performance Calcs &amp; Print Out'!P$23,'Airfields &amp; Performance Factors'!$M$7:$M$16,0)),IF(Variables!C$56="no",0,"ERROR")))))))))),"NULL")</f>
        <v>0</v>
      </c>
      <c r="Q24" s="26" t="str">
        <f>IFERROR(IF(P24&gt;0,P24*INDEX('Airfields &amp; Performance Factors'!$O$7:$O$16,MATCH('Performance Calcs &amp; Print Out'!Q$23,'Airfields &amp; Performance Factors'!$M$7:$M$16,0)),IF(O24&gt;0,O24*INDEX('Airfields &amp; Performance Factors'!$O$7:$O$16,MATCH('Performance Calcs &amp; Print Out'!Q$23,'Airfields &amp; Performance Factors'!$M$7:$M$16,0)),IF(N24&gt;0,N24*INDEX('Airfields &amp; Performance Factors'!$O$7:$O$16,MATCH('Performance Calcs &amp; Print Out'!Q$23,'Airfields &amp; Performance Factors'!$M$7:$M$16,0)),IF(M24&gt;0,M24*INDEX('Airfields &amp; Performance Factors'!$O$7:$O$16,MATCH('Performance Calcs &amp; Print Out'!Q$23,'Airfields &amp; Performance Factors'!$M$7:$M$16,0)),IF(L24&gt;0,L24*INDEX('Airfields &amp; Performance Factors'!$O$7:$O$16,MATCH('Performance Calcs &amp; Print Out'!Q$23,'Airfields &amp; Performance Factors'!$M$7:$M$16,0)),IF(K24&gt;0,K24*INDEX('Airfields &amp; Performance Factors'!$O$7:$O$16,MATCH('Performance Calcs &amp; Print Out'!Q$23,'Airfields &amp; Performance Factors'!$M$7:$M$16,0)),IF(J24&gt;0,J24*INDEX('Airfields &amp; Performance Factors'!$O$7:$O$16,MATCH('Performance Calcs &amp; Print Out'!Q$23,'Airfields &amp; Performance Factors'!$M$7:$M$16,0)),IF(I24&gt;0,I24*INDEX('Airfields &amp; Performance Factors'!$O$7:$O$16,MATCH('Performance Calcs &amp; Print Out'!Q$23,'Airfields &amp; Performance Factors'!$M$7:$M$16,0)),IF(H24&gt;0,H24*INDEX('Airfields &amp; Performance Factors'!$O$7:$O$16,MATCH('Performance Calcs &amp; Print Out'!Q$23,'Airfields &amp; Performance Factors'!$M$7:$M$16,0)),IF(G24&gt;0,G24*INDEX('Airfields &amp; Performance Factors'!$O$7:$O$16,MATCH('Performance Calcs &amp; Print Out'!Q$23,'Airfields &amp; Performance Factors'!$M$7:$M$16,0)),"ERROR")))))))))),"NULL")</f>
        <v>ERROR</v>
      </c>
      <c r="R24" s="27" t="str">
        <f t="shared" ref="R24:R33" si="2">IFERROR(IF(OR(D24=0,D24="-",Q24="ERROR"),"-",IF(Q24&lt;D7,"SAFE","AVOID")),"-")</f>
        <v>-</v>
      </c>
    </row>
    <row r="25" spans="1:18" s="9" customFormat="1" x14ac:dyDescent="0.25">
      <c r="A25" s="30"/>
      <c r="B25" s="42">
        <f t="array" ref="B25">IFERROR(INDEX('Airfields &amp; Performance Factors'!C:C,SMALL(IF('Airfields &amp; Performance Factors'!$B:$B=$C$21,ROW('Airfields &amp; Performance Factors'!$B:$B)),ROW('Airfields &amp; Performance Factors'!2:2))),"-")</f>
        <v>0</v>
      </c>
      <c r="C25" s="42">
        <f t="array" ref="C25">IFERROR(INDEX('Airfields &amp; Performance Factors'!D:D,SMALL(IF('Airfields &amp; Performance Factors'!$B:$B=$C$21,ROW('Airfields &amp; Performance Factors'!$B:$B)),ROW('Airfields &amp; Performance Factors'!2:2))),"-")</f>
        <v>0</v>
      </c>
      <c r="D25" s="42">
        <f t="array" ref="D25">IFERROR(INDEX('Airfields &amp; Performance Factors'!E:E,SMALL(IF('Airfields &amp; Performance Factors'!$B:$B=$C$21,ROW('Airfields &amp; Performance Factors'!$B:$B)),ROW('Airfields &amp; Performance Factors'!2:2))),"-")</f>
        <v>0</v>
      </c>
      <c r="E25" s="42">
        <f t="array" ref="E25">IFERROR(INDEX('Airfields &amp; Performance Factors'!F:F,SMALL(IF('Airfields &amp; Performance Factors'!$B:$B=$C$21,ROW('Airfields &amp; Performance Factors'!$B:$B)),ROW('Airfields &amp; Performance Factors'!2:2))),"-")</f>
        <v>0</v>
      </c>
      <c r="G25" s="28">
        <f>IFERROR(Variables!$C$34,"NULL")</f>
        <v>0</v>
      </c>
      <c r="H25" s="28">
        <f>IFERROR(IF(Variables!C$48="yes",G25*INDEX('Airfields &amp; Performance Factors'!$O$7:$O$16,MATCH('Performance Calcs &amp; Print Out'!H$23,'Airfields &amp; Performance Factors'!$M$7:$M$16,0)),0),"NULL")</f>
        <v>0</v>
      </c>
      <c r="I25" s="28">
        <f>IFERROR(IF(AND(Variables!C$49="yes",H25&gt;0),H25*INDEX('Airfields &amp; Performance Factors'!$O$7:$O$16,MATCH('Performance Calcs &amp; Print Out'!I$23,'Airfields &amp; Performance Factors'!$M$7:$M$16,0)),IF(Variables!C$49="no",0,G25*INDEX('Airfields &amp; Performance Factors'!$O$7:$O$16,MATCH('Performance Calcs &amp; Print Out'!I$23,'Airfields &amp; Performance Factors'!$M$7:$M$16,0)))),"NULL")</f>
        <v>0</v>
      </c>
      <c r="J25" s="28">
        <f>IFERROR(IF(AND(Variables!C$50="yes",I25&gt;0),I25*INDEX('Airfields &amp; Performance Factors'!$O$7:$O$16,MATCH('Performance Calcs &amp; Print Out'!J$23,'Airfields &amp; Performance Factors'!$M$7:$M$16,0)),IF(AND(Variables!C$50="yes",I25=0,H25=0),G25*INDEX('Airfields &amp; Performance Factors'!$O$7:$O$16,MATCH('Performance Calcs &amp; Print Out'!J$23,'Airfields &amp; Performance Factors'!$M$7:$M$16,0)),IF(AND(Variables!C$50="yes",I25=0,H25&gt;0),H25*INDEX('Airfields &amp; Performance Factors'!$O$7:$O$16,MATCH('Performance Calcs &amp; Print Out'!J$23,'Airfields &amp; Performance Factors'!$M$7:$M$16,0)),IF(Variables!C$50="no",0,"ERROR")))),"NULL")</f>
        <v>0</v>
      </c>
      <c r="K25" s="28">
        <f>IFERROR(IF(AND(Variables!C$51="yes",J25&gt;0),J25*INDEX('Airfields &amp; Performance Factors'!$O$7:$O$16,MATCH('Performance Calcs &amp; Print Out'!K$23,'Airfields &amp; Performance Factors'!$M$7:$M$16,0)),IF(AND(Variables!C$51="yes",J25=0,I25=0,H25=0),G25*INDEX('Airfields &amp; Performance Factors'!$O$7:$O$16,MATCH('Performance Calcs &amp; Print Out'!K$23,'Airfields &amp; Performance Factors'!$M$7:$M$16,0)),IF(AND(Variables!C$51="yes",J25=0,I25&gt;0),I25*INDEX('Airfields &amp; Performance Factors'!$O$7:$O$16,MATCH('Performance Calcs &amp; Print Out'!K$23,'Airfields &amp; Performance Factors'!$M$7:$M$16,0)),IF(AND(Variables!C$51="yes",J25=0,I25=0,H25&gt;0),H25*INDEX('Airfields &amp; Performance Factors'!$O$7:$O$16,MATCH('Performance Calcs &amp; Print Out'!K$23,'Airfields &amp; Performance Factors'!$M$7:$M$16,0)),IF(Variables!C$51="no",0,"ERROR"))))),"NULL")</f>
        <v>0</v>
      </c>
      <c r="L25" s="28">
        <f>IFERROR(IF(AND(Variables!C$52="yes",K25&gt;0),K25*INDEX('Airfields &amp; Performance Factors'!$O$7:$O$16,MATCH('Performance Calcs &amp; Print Out'!L$23,'Airfields &amp; Performance Factors'!$M$7:$M$16,0)),IF(AND(Variables!C$52="yes",K25=0,J25=0,I25=0,H25=0),G25*INDEX('Airfields &amp; Performance Factors'!$O$7:$O$16,MATCH('Performance Calcs &amp; Print Out'!L$23,'Airfields &amp; Performance Factors'!$M$7:$M$16,0)),IF(AND(Variables!C$52="yes",K25=0,J25&gt;0),J25*INDEX('Airfields &amp; Performance Factors'!$O$7:$O$16,MATCH('Performance Calcs &amp; Print Out'!L$23,'Airfields &amp; Performance Factors'!$M$7:$M$16,0)),IF(AND(Variables!C$52="yes",K25=0,J25=0,I25&gt;0),I25*INDEX('Airfields &amp; Performance Factors'!$O$7:$O$16,MATCH('Performance Calcs &amp; Print Out'!L$23,'Airfields &amp; Performance Factors'!$M$7:$M$16,0)),IF(AND(Variables!C$52="yes",K25=0,J25=0,I25=0,H25&gt;0),H25*INDEX('Airfields &amp; Performance Factors'!$O$7:$O$16,MATCH('Performance Calcs &amp; Print Out'!L$23,'Airfields &amp; Performance Factors'!$M$7:$M$16,0)),IF(Variables!C$52="no",0,"ERROR")))))),"NULL")</f>
        <v>0</v>
      </c>
      <c r="M25" s="28">
        <f>IFERROR(IF(AND(Variables!C$53="yes",L25&gt;0),L25*INDEX('Airfields &amp; Performance Factors'!$O$7:$O$16,MATCH('Performance Calcs &amp; Print Out'!M$23,'Airfields &amp; Performance Factors'!$M$7:$M$16,0)),IF(AND(Variables!C$53="yes",L25=0,K25=0,J25=0,I25=0,H25=0),G25*INDEX('Airfields &amp; Performance Factors'!$O$7:$O$16,MATCH('Performance Calcs &amp; Print Out'!M$23,'Airfields &amp; Performance Factors'!$M$7:$M$16,0)),IF(AND(Variables!C$53="yes",L25=0,K25&gt;0),K25*INDEX('Airfields &amp; Performance Factors'!$O$7:$O$16,MATCH('Performance Calcs &amp; Print Out'!M$23,'Airfields &amp; Performance Factors'!$M$7:$M$16,0)),IF(AND(Variables!C$53="yes",L25=0,K25=0,J25&gt;0),J25*INDEX('Airfields &amp; Performance Factors'!$O$7:$O$16,MATCH('Performance Calcs &amp; Print Out'!M$23,'Airfields &amp; Performance Factors'!$M$7:$M$16,0)),IF(AND(Variables!C$53="yes",L25=0,K25=0,J25=0,I25&gt;0),I25*INDEX('Airfields &amp; Performance Factors'!$O$7:$O$16,MATCH('Performance Calcs &amp; Print Out'!M$23,'Airfields &amp; Performance Factors'!$M$7:$M$16,0)),IF(AND(Variables!C$53="yes",L25=0,K25=0,J25=0,I25=0,H25&gt;0),H25*INDEX('Airfields &amp; Performance Factors'!$O$7:$O$16,MATCH('Performance Calcs &amp; Print Out'!M$23,'Airfields &amp; Performance Factors'!$M$7:$M$16,0)),IF(Variables!C$53="no",0,"ERROR"))))))),"NULL")</f>
        <v>0</v>
      </c>
      <c r="N25" s="26">
        <f>IFERROR(IF(AND(Variables!C$54="yes",M25&gt;0),M25*INDEX('Airfields &amp; Performance Factors'!$O$7:$O$16,MATCH('Performance Calcs &amp; Print Out'!N$23,'Airfields &amp; Performance Factors'!$M$7:$M$16,0)),IF(AND(Variables!C$54="yes",M25=0,L25=0,K25=0,J25=0,I25=0,H25=0),G25*INDEX('Airfields &amp; Performance Factors'!$O$7:$O$16,MATCH('Performance Calcs &amp; Print Out'!N$23,'Airfields &amp; Performance Factors'!$M$7:$M$16,0)),IF(AND(Variables!C$54="yes",M25=0,L25=0,K25&gt;0),K25*INDEX('Airfields &amp; Performance Factors'!$O$7:$O$16,MATCH('Performance Calcs &amp; Print Out'!N$23,'Airfields &amp; Performance Factors'!$M$7:$M$16,0)),IF(AND(Variables!C$54="yes",M25=0,L25=0,K25=0,J25&gt;0),J25*INDEX('Airfields &amp; Performance Factors'!$O$7:$O$16,MATCH('Performance Calcs &amp; Print Out'!N$23,'Airfields &amp; Performance Factors'!$M$7:$M$16,0)),IF(AND(Variables!C$54="yes",M25=0,L25=0,K25=0,J25=0,I25&gt;0),I25*INDEX('Airfields &amp; Performance Factors'!$O$7:$O$16,MATCH('Performance Calcs &amp; Print Out'!N$23,'Airfields &amp; Performance Factors'!$M$7:$M$16,0)),IF(AND(Variables!C$54="yes",M25=0,L25=0,K25=0,J25=0,I25=0,H25&gt;0),H25*INDEX('Airfields &amp; Performance Factors'!$O$7:$O$16,MATCH('Performance Calcs &amp; Print Out'!N$23,'Airfields &amp; Performance Factors'!$M$7:$M$16,0)),IF(Variables!C$54="no",0,"ERROR"))))))),"NULL")</f>
        <v>0</v>
      </c>
      <c r="O25" s="28">
        <f>IFERROR(IF(AND(Variables!C$55="yes",N25&gt;0),N25*INDEX('Airfields &amp; Performance Factors'!$O$7:$O$16,MATCH('Performance Calcs &amp; Print Out'!O$23,'Airfields &amp; Performance Factors'!$M$7:$M$16,0)),IF(AND(Variables!C$55="yes",N25=0,M25=0,L25=0,K25=0,J25=0,I25=0,H25=0),G25*INDEX('Airfields &amp; Performance Factors'!$O$7:$O$16,MATCH('Performance Calcs &amp; Print Out'!O$23,'Airfields &amp; Performance Factors'!$M$7:$M$16,0)),IF(AND(Variables!C$55="yes",N25=0,M25&gt;0),M25*INDEX('Airfields &amp; Performance Factors'!$O$7:$O$16,MATCH('Performance Calcs &amp; Print Out'!O$23,'Airfields &amp; Performance Factors'!$M$7:$M$16,0)),IF(AND(Variables!C$55="yes",N25=0,M25=0,L25&gt;0),L25*INDEX('Airfields &amp; Performance Factors'!$O$7:$O$16,MATCH('Performance Calcs &amp; Print Out'!O$23,'Airfields &amp; Performance Factors'!$M$7:$M$16,0)),IF(AND(Variables!C$55="yes",N25=0,M25=0,L25=0,K25&gt;0),K25*INDEX('Airfields &amp; Performance Factors'!$O$7:$O$16,MATCH('Performance Calcs &amp; Print Out'!O$23,'Airfields &amp; Performance Factors'!$M$7:$M$16,0)),IF(AND(Variables!C$55="yes",N25=0,M25=0,L25=0,K25=0,J25&gt;0),J25*INDEX('Airfields &amp; Performance Factors'!$O$7:$O$16,MATCH('Performance Calcs &amp; Print Out'!O$23,'Airfields &amp; Performance Factors'!$M$7:$M$16,0)),IF(AND(Variables!C$55="yes",N25=0,M25=0,L25=0,K25=0,J25=0,I25&gt;0),I25*INDEX('Airfields &amp; Performance Factors'!$O$7:$O$16,MATCH('Performance Calcs &amp; Print Out'!O$23,'Airfields &amp; Performance Factors'!$M$7:$M$16,0)),IF(AND(Variables!C$55="yes",N25=0,M25=0,L25=0,K25=0,J25=0,I25=0,H25&gt;0),H25*INDEX('Airfields &amp; Performance Factors'!$O$7:$O$16,MATCH('Performance Calcs &amp; Print Out'!O$23,'Airfields &amp; Performance Factors'!$M$7:$M$16,0)),IF(Variables!C$55="no",0,"ERROR"))))))))),"NULL")</f>
        <v>0</v>
      </c>
      <c r="P25" s="28">
        <f>IFERROR(IF(AND(Variables!C$56="yes",O25&gt;0),O25*INDEX('Airfields &amp; Performance Factors'!$O$7:$O$16,MATCH('Performance Calcs &amp; Print Out'!P$23,'Airfields &amp; Performance Factors'!$M$7:$M$16,0)),IF(AND(Variables!C$56="yes",O25=0,N25=0,L25=0,K25=0,J25=0,I25=0,H25=0),G25*INDEX('Airfields &amp; Performance Factors'!$O$7:$O$16,MATCH('Performance Calcs &amp; Print Out'!P$23,'Airfields &amp; Performance Factors'!$M$7:$M$16,0)),IF(AND(Variables!C$56="yes",O25=0,N25&gt;0),N25*INDEX('Airfields &amp; Performance Factors'!$O$7:$O$16,MATCH('Performance Calcs &amp; Print Out'!P$23,'Airfields &amp; Performance Factors'!$M$7:$M$16,0)),IF(AND(Variables!C$56="yes",O25=0,N25=0,M25&gt;0),M25*INDEX('Airfields &amp; Performance Factors'!$O$7:$O$16,MATCH('Performance Calcs &amp; Print Out'!P$23,'Airfields &amp; Performance Factors'!$M$7:$M$16,0)),IF(AND(Variables!C$56="yes",O25=0,N25=0,M25=0,L25&gt;0),L25*INDEX('Airfields &amp; Performance Factors'!$O$7:$O$16,MATCH('Performance Calcs &amp; Print Out'!P$23,'Airfields &amp; Performance Factors'!$M$7:$M$16,0)),IF(AND(Variables!C$56="yes",O25=0,N25=0,M25=0,L25=0,K25&gt;0),K25*INDEX('Airfields &amp; Performance Factors'!$O$7:$O$16,MATCH('Performance Calcs &amp; Print Out'!P$23,'Airfields &amp; Performance Factors'!$M$7:$M$16,0)),IF(AND(Variables!C$56="yes",O25=0,N25=0,M25=0,L25=0,K25=0,J25&gt;0),J25*INDEX('Airfields &amp; Performance Factors'!$O$7:$O$16,MATCH('Performance Calcs &amp; Print Out'!P$23,'Airfields &amp; Performance Factors'!$M$7:$M$16,0)),IF(AND(Variables!C$56="yes",O25=0,N25=0,M25=0,L25=0,K25=0,J25=0,I25&gt;0),I25*INDEX('Airfields &amp; Performance Factors'!$O$7:$O$16,MATCH('Performance Calcs &amp; Print Out'!P$23,'Airfields &amp; Performance Factors'!$M$7:$M$16,0)),IF(AND(Variables!C$56="yes",O25=0,N25=0,M25=0,L25=0,K25=0,J25=0,I25=0,H25&gt;0),H25*INDEX('Airfields &amp; Performance Factors'!$O$7:$O$16,MATCH('Performance Calcs &amp; Print Out'!P$23,'Airfields &amp; Performance Factors'!$M$7:$M$16,0)),IF(Variables!C$56="no",0,"ERROR")))))))))),"NULL")</f>
        <v>0</v>
      </c>
      <c r="Q25" s="28" t="str">
        <f>IFERROR(IF(P25&gt;0,P25*INDEX('Airfields &amp; Performance Factors'!$O$7:$O$16,MATCH('Performance Calcs &amp; Print Out'!Q$23,'Airfields &amp; Performance Factors'!$M$7:$M$16,0)),IF(O25&gt;0,O25*INDEX('Airfields &amp; Performance Factors'!$O$7:$O$16,MATCH('Performance Calcs &amp; Print Out'!Q$23,'Airfields &amp; Performance Factors'!$M$7:$M$16,0)),IF(N25&gt;0,N25*INDEX('Airfields &amp; Performance Factors'!$O$7:$O$16,MATCH('Performance Calcs &amp; Print Out'!Q$23,'Airfields &amp; Performance Factors'!$M$7:$M$16,0)),IF(M25&gt;0,M25*INDEX('Airfields &amp; Performance Factors'!$O$7:$O$16,MATCH('Performance Calcs &amp; Print Out'!Q$23,'Airfields &amp; Performance Factors'!$M$7:$M$16,0)),IF(L25&gt;0,L25*INDEX('Airfields &amp; Performance Factors'!$O$7:$O$16,MATCH('Performance Calcs &amp; Print Out'!Q$23,'Airfields &amp; Performance Factors'!$M$7:$M$16,0)),IF(K25&gt;0,K25*INDEX('Airfields &amp; Performance Factors'!$O$7:$O$16,MATCH('Performance Calcs &amp; Print Out'!Q$23,'Airfields &amp; Performance Factors'!$M$7:$M$16,0)),IF(J25&gt;0,J25*INDEX('Airfields &amp; Performance Factors'!$O$7:$O$16,MATCH('Performance Calcs &amp; Print Out'!Q$23,'Airfields &amp; Performance Factors'!$M$7:$M$16,0)),IF(I25&gt;0,I25*INDEX('Airfields &amp; Performance Factors'!$O$7:$O$16,MATCH('Performance Calcs &amp; Print Out'!Q$23,'Airfields &amp; Performance Factors'!$M$7:$M$16,0)),IF(H25&gt;0,H25*INDEX('Airfields &amp; Performance Factors'!$O$7:$O$16,MATCH('Performance Calcs &amp; Print Out'!Q$23,'Airfields &amp; Performance Factors'!$M$7:$M$16,0)),IF(G25&gt;0,G25*INDEX('Airfields &amp; Performance Factors'!$O$7:$O$16,MATCH('Performance Calcs &amp; Print Out'!Q$23,'Airfields &amp; Performance Factors'!$M$7:$M$16,0)),"ERROR")))))))))),"NULL")</f>
        <v>ERROR</v>
      </c>
      <c r="R25" s="27" t="str">
        <f t="shared" si="2"/>
        <v>-</v>
      </c>
    </row>
    <row r="26" spans="1:18" s="9" customFormat="1" x14ac:dyDescent="0.25">
      <c r="A26" s="30"/>
      <c r="B26" s="42">
        <f t="array" ref="B26">IFERROR(INDEX('Airfields &amp; Performance Factors'!C:C,SMALL(IF('Airfields &amp; Performance Factors'!$B:$B=$C$21,ROW('Airfields &amp; Performance Factors'!$B:$B)),ROW('Airfields &amp; Performance Factors'!3:3))),"-")</f>
        <v>0</v>
      </c>
      <c r="C26" s="42">
        <f t="array" ref="C26">IFERROR(INDEX('Airfields &amp; Performance Factors'!D:D,SMALL(IF('Airfields &amp; Performance Factors'!$B:$B=$C$21,ROW('Airfields &amp; Performance Factors'!$B:$B)),ROW('Airfields &amp; Performance Factors'!3:3))),"-")</f>
        <v>0</v>
      </c>
      <c r="D26" s="42">
        <f t="array" ref="D26">IFERROR(INDEX('Airfields &amp; Performance Factors'!E:E,SMALL(IF('Airfields &amp; Performance Factors'!$B:$B=$C$21,ROW('Airfields &amp; Performance Factors'!$B:$B)),ROW('Airfields &amp; Performance Factors'!3:3))),"-")</f>
        <v>0</v>
      </c>
      <c r="E26" s="42">
        <f t="array" ref="E26">IFERROR(INDEX('Airfields &amp; Performance Factors'!F:F,SMALL(IF('Airfields &amp; Performance Factors'!$B:$B=$C$21,ROW('Airfields &amp; Performance Factors'!$B:$B)),ROW('Airfields &amp; Performance Factors'!3:3))),"-")</f>
        <v>0</v>
      </c>
      <c r="G26" s="28">
        <f>IFERROR(Variables!$C$34,"NULL")</f>
        <v>0</v>
      </c>
      <c r="H26" s="28">
        <f>IFERROR(IF(Variables!C$48="yes",G26*INDEX('Airfields &amp; Performance Factors'!$O$7:$O$16,MATCH('Performance Calcs &amp; Print Out'!H$23,'Airfields &amp; Performance Factors'!$M$7:$M$16,0)),0),"NULL")</f>
        <v>0</v>
      </c>
      <c r="I26" s="28">
        <f>IFERROR(IF(AND(Variables!C$49="yes",H26&gt;0),H26*INDEX('Airfields &amp; Performance Factors'!$O$7:$O$16,MATCH('Performance Calcs &amp; Print Out'!I$23,'Airfields &amp; Performance Factors'!$M$7:$M$16,0)),IF(Variables!C$49="no",0,G26*INDEX('Airfields &amp; Performance Factors'!$O$7:$O$16,MATCH('Performance Calcs &amp; Print Out'!I$23,'Airfields &amp; Performance Factors'!$M$7:$M$16,0)))),"NULL")</f>
        <v>0</v>
      </c>
      <c r="J26" s="28">
        <f>IFERROR(IF(AND(Variables!C$50="yes",I26&gt;0),I26*INDEX('Airfields &amp; Performance Factors'!$O$7:$O$16,MATCH('Performance Calcs &amp; Print Out'!J$23,'Airfields &amp; Performance Factors'!$M$7:$M$16,0)),IF(AND(Variables!C$50="yes",I26=0,H26=0),G26*INDEX('Airfields &amp; Performance Factors'!$O$7:$O$16,MATCH('Performance Calcs &amp; Print Out'!J$23,'Airfields &amp; Performance Factors'!$M$7:$M$16,0)),IF(AND(Variables!C$50="yes",I26=0,H26&gt;0),H26*INDEX('Airfields &amp; Performance Factors'!$O$7:$O$16,MATCH('Performance Calcs &amp; Print Out'!J$23,'Airfields &amp; Performance Factors'!$M$7:$M$16,0)),IF(Variables!C$50="no",0,"ERROR")))),"NULL")</f>
        <v>0</v>
      </c>
      <c r="K26" s="28">
        <f>IFERROR(IF(AND(Variables!C$51="yes",J26&gt;0),J26*INDEX('Airfields &amp; Performance Factors'!$O$7:$O$16,MATCH('Performance Calcs &amp; Print Out'!K$23,'Airfields &amp; Performance Factors'!$M$7:$M$16,0)),IF(AND(Variables!C$51="yes",J26=0,I26=0,H26=0),G26*INDEX('Airfields &amp; Performance Factors'!$O$7:$O$16,MATCH('Performance Calcs &amp; Print Out'!K$23,'Airfields &amp; Performance Factors'!$M$7:$M$16,0)),IF(AND(Variables!C$51="yes",J26=0,I26&gt;0),I26*INDEX('Airfields &amp; Performance Factors'!$O$7:$O$16,MATCH('Performance Calcs &amp; Print Out'!K$23,'Airfields &amp; Performance Factors'!$M$7:$M$16,0)),IF(AND(Variables!C$51="yes",J26=0,I26=0,H26&gt;0),H26*INDEX('Airfields &amp; Performance Factors'!$O$7:$O$16,MATCH('Performance Calcs &amp; Print Out'!K$23,'Airfields &amp; Performance Factors'!$M$7:$M$16,0)),IF(Variables!C$51="no",0,"ERROR"))))),"NULL")</f>
        <v>0</v>
      </c>
      <c r="L26" s="28">
        <f>IFERROR(IF(AND(Variables!C$52="yes",K26&gt;0),K26*INDEX('Airfields &amp; Performance Factors'!$O$7:$O$16,MATCH('Performance Calcs &amp; Print Out'!L$23,'Airfields &amp; Performance Factors'!$M$7:$M$16,0)),IF(AND(Variables!C$52="yes",K26=0,J26=0,I26=0,H26=0),G26*INDEX('Airfields &amp; Performance Factors'!$O$7:$O$16,MATCH('Performance Calcs &amp; Print Out'!L$23,'Airfields &amp; Performance Factors'!$M$7:$M$16,0)),IF(AND(Variables!C$52="yes",K26=0,J26&gt;0),J26*INDEX('Airfields &amp; Performance Factors'!$O$7:$O$16,MATCH('Performance Calcs &amp; Print Out'!L$23,'Airfields &amp; Performance Factors'!$M$7:$M$16,0)),IF(AND(Variables!C$52="yes",K26=0,J26=0,I26&gt;0),I26*INDEX('Airfields &amp; Performance Factors'!$O$7:$O$16,MATCH('Performance Calcs &amp; Print Out'!L$23,'Airfields &amp; Performance Factors'!$M$7:$M$16,0)),IF(AND(Variables!C$52="yes",K26=0,J26=0,I26=0,H26&gt;0),H26*INDEX('Airfields &amp; Performance Factors'!$O$7:$O$16,MATCH('Performance Calcs &amp; Print Out'!L$23,'Airfields &amp; Performance Factors'!$M$7:$M$16,0)),IF(Variables!C$52="no",0,"ERROR")))))),"NULL")</f>
        <v>0</v>
      </c>
      <c r="M26" s="28">
        <f>IFERROR(IF(AND(Variables!C$53="yes",L26&gt;0),L26*INDEX('Airfields &amp; Performance Factors'!$O$7:$O$16,MATCH('Performance Calcs &amp; Print Out'!M$23,'Airfields &amp; Performance Factors'!$M$7:$M$16,0)),IF(AND(Variables!C$53="yes",L26=0,K26=0,J26=0,I26=0,H26=0),G26*INDEX('Airfields &amp; Performance Factors'!$O$7:$O$16,MATCH('Performance Calcs &amp; Print Out'!M$23,'Airfields &amp; Performance Factors'!$M$7:$M$16,0)),IF(AND(Variables!C$53="yes",L26=0,K26&gt;0),K26*INDEX('Airfields &amp; Performance Factors'!$O$7:$O$16,MATCH('Performance Calcs &amp; Print Out'!M$23,'Airfields &amp; Performance Factors'!$M$7:$M$16,0)),IF(AND(Variables!C$53="yes",L26=0,K26=0,J26&gt;0),J26*INDEX('Airfields &amp; Performance Factors'!$O$7:$O$16,MATCH('Performance Calcs &amp; Print Out'!M$23,'Airfields &amp; Performance Factors'!$M$7:$M$16,0)),IF(AND(Variables!C$53="yes",L26=0,K26=0,J26=0,I26&gt;0),I26*INDEX('Airfields &amp; Performance Factors'!$O$7:$O$16,MATCH('Performance Calcs &amp; Print Out'!M$23,'Airfields &amp; Performance Factors'!$M$7:$M$16,0)),IF(AND(Variables!C$53="yes",L26=0,K26=0,J26=0,I26=0,H26&gt;0),H26*INDEX('Airfields &amp; Performance Factors'!$O$7:$O$16,MATCH('Performance Calcs &amp; Print Out'!M$23,'Airfields &amp; Performance Factors'!$M$7:$M$16,0)),IF(Variables!C$53="no",0,"ERROR"))))))),"NULL")</f>
        <v>0</v>
      </c>
      <c r="N26" s="26">
        <f>IFERROR(IF(AND(Variables!C$54="yes",M26&gt;0),M26*INDEX('Airfields &amp; Performance Factors'!$O$7:$O$16,MATCH('Performance Calcs &amp; Print Out'!N$23,'Airfields &amp; Performance Factors'!$M$7:$M$16,0)),IF(AND(Variables!C$54="yes",M26=0,L26=0,K26=0,J26=0,I26=0,H26=0),G26*INDEX('Airfields &amp; Performance Factors'!$O$7:$O$16,MATCH('Performance Calcs &amp; Print Out'!N$23,'Airfields &amp; Performance Factors'!$M$7:$M$16,0)),IF(AND(Variables!C$54="yes",M26=0,L26=0,K26&gt;0),K26*INDEX('Airfields &amp; Performance Factors'!$O$7:$O$16,MATCH('Performance Calcs &amp; Print Out'!N$23,'Airfields &amp; Performance Factors'!$M$7:$M$16,0)),IF(AND(Variables!C$54="yes",M26=0,L26=0,K26=0,J26&gt;0),J26*INDEX('Airfields &amp; Performance Factors'!$O$7:$O$16,MATCH('Performance Calcs &amp; Print Out'!N$23,'Airfields &amp; Performance Factors'!$M$7:$M$16,0)),IF(AND(Variables!C$54="yes",M26=0,L26=0,K26=0,J26=0,I26&gt;0),I26*INDEX('Airfields &amp; Performance Factors'!$O$7:$O$16,MATCH('Performance Calcs &amp; Print Out'!N$23,'Airfields &amp; Performance Factors'!$M$7:$M$16,0)),IF(AND(Variables!C$54="yes",M26=0,L26=0,K26=0,J26=0,I26=0,H26&gt;0),H26*INDEX('Airfields &amp; Performance Factors'!$O$7:$O$16,MATCH('Performance Calcs &amp; Print Out'!N$23,'Airfields &amp; Performance Factors'!$M$7:$M$16,0)),IF(Variables!C$54="no",0,"ERROR"))))))),"NULL")</f>
        <v>0</v>
      </c>
      <c r="O26" s="28">
        <f>IFERROR(IF(AND(Variables!C$55="yes",N26&gt;0),N26*INDEX('Airfields &amp; Performance Factors'!$O$7:$O$16,MATCH('Performance Calcs &amp; Print Out'!O$23,'Airfields &amp; Performance Factors'!$M$7:$M$16,0)),IF(AND(Variables!C$55="yes",N26=0,M26=0,L26=0,K26=0,J26=0,I26=0,H26=0),G26*INDEX('Airfields &amp; Performance Factors'!$O$7:$O$16,MATCH('Performance Calcs &amp; Print Out'!O$23,'Airfields &amp; Performance Factors'!$M$7:$M$16,0)),IF(AND(Variables!C$55="yes",N26=0,M26&gt;0),M26*INDEX('Airfields &amp; Performance Factors'!$O$7:$O$16,MATCH('Performance Calcs &amp; Print Out'!O$23,'Airfields &amp; Performance Factors'!$M$7:$M$16,0)),IF(AND(Variables!C$55="yes",N26=0,M26=0,L26&gt;0),L26*INDEX('Airfields &amp; Performance Factors'!$O$7:$O$16,MATCH('Performance Calcs &amp; Print Out'!O$23,'Airfields &amp; Performance Factors'!$M$7:$M$16,0)),IF(AND(Variables!C$55="yes",N26=0,M26=0,L26=0,K26&gt;0),K26*INDEX('Airfields &amp; Performance Factors'!$O$7:$O$16,MATCH('Performance Calcs &amp; Print Out'!O$23,'Airfields &amp; Performance Factors'!$M$7:$M$16,0)),IF(AND(Variables!C$55="yes",N26=0,M26=0,L26=0,K26=0,J26&gt;0),J26*INDEX('Airfields &amp; Performance Factors'!$O$7:$O$16,MATCH('Performance Calcs &amp; Print Out'!O$23,'Airfields &amp; Performance Factors'!$M$7:$M$16,0)),IF(AND(Variables!C$55="yes",N26=0,M26=0,L26=0,K26=0,J26=0,I26&gt;0),I26*INDEX('Airfields &amp; Performance Factors'!$O$7:$O$16,MATCH('Performance Calcs &amp; Print Out'!O$23,'Airfields &amp; Performance Factors'!$M$7:$M$16,0)),IF(AND(Variables!C$55="yes",N26=0,M26=0,L26=0,K26=0,J26=0,I26=0,H26&gt;0),H26*INDEX('Airfields &amp; Performance Factors'!$O$7:$O$16,MATCH('Performance Calcs &amp; Print Out'!O$23,'Airfields &amp; Performance Factors'!$M$7:$M$16,0)),IF(Variables!C$55="no",0,"ERROR"))))))))),"NULL")</f>
        <v>0</v>
      </c>
      <c r="P26" s="28">
        <f>IFERROR(IF(AND(Variables!C$56="yes",O26&gt;0),O26*INDEX('Airfields &amp; Performance Factors'!$O$7:$O$16,MATCH('Performance Calcs &amp; Print Out'!P$23,'Airfields &amp; Performance Factors'!$M$7:$M$16,0)),IF(AND(Variables!C$56="yes",O26=0,N26=0,L26=0,K26=0,J26=0,I26=0,H26=0),G26*INDEX('Airfields &amp; Performance Factors'!$O$7:$O$16,MATCH('Performance Calcs &amp; Print Out'!P$23,'Airfields &amp; Performance Factors'!$M$7:$M$16,0)),IF(AND(Variables!C$56="yes",O26=0,N26&gt;0),N26*INDEX('Airfields &amp; Performance Factors'!$O$7:$O$16,MATCH('Performance Calcs &amp; Print Out'!P$23,'Airfields &amp; Performance Factors'!$M$7:$M$16,0)),IF(AND(Variables!C$56="yes",O26=0,N26=0,M26&gt;0),M26*INDEX('Airfields &amp; Performance Factors'!$O$7:$O$16,MATCH('Performance Calcs &amp; Print Out'!P$23,'Airfields &amp; Performance Factors'!$M$7:$M$16,0)),IF(AND(Variables!C$56="yes",O26=0,N26=0,M26=0,L26&gt;0),L26*INDEX('Airfields &amp; Performance Factors'!$O$7:$O$16,MATCH('Performance Calcs &amp; Print Out'!P$23,'Airfields &amp; Performance Factors'!$M$7:$M$16,0)),IF(AND(Variables!C$56="yes",O26=0,N26=0,M26=0,L26=0,K26&gt;0),K26*INDEX('Airfields &amp; Performance Factors'!$O$7:$O$16,MATCH('Performance Calcs &amp; Print Out'!P$23,'Airfields &amp; Performance Factors'!$M$7:$M$16,0)),IF(AND(Variables!C$56="yes",O26=0,N26=0,M26=0,L26=0,K26=0,J26&gt;0),J26*INDEX('Airfields &amp; Performance Factors'!$O$7:$O$16,MATCH('Performance Calcs &amp; Print Out'!P$23,'Airfields &amp; Performance Factors'!$M$7:$M$16,0)),IF(AND(Variables!C$56="yes",O26=0,N26=0,M26=0,L26=0,K26=0,J26=0,I26&gt;0),I26*INDEX('Airfields &amp; Performance Factors'!$O$7:$O$16,MATCH('Performance Calcs &amp; Print Out'!P$23,'Airfields &amp; Performance Factors'!$M$7:$M$16,0)),IF(AND(Variables!C$56="yes",O26=0,N26=0,M26=0,L26=0,K26=0,J26=0,I26=0,H26&gt;0),H26*INDEX('Airfields &amp; Performance Factors'!$O$7:$O$16,MATCH('Performance Calcs &amp; Print Out'!P$23,'Airfields &amp; Performance Factors'!$M$7:$M$16,0)),IF(Variables!C$56="no",0,"ERROR")))))))))),"NULL")</f>
        <v>0</v>
      </c>
      <c r="Q26" s="28" t="str">
        <f>IFERROR(IF(P26&gt;0,P26*INDEX('Airfields &amp; Performance Factors'!$O$7:$O$16,MATCH('Performance Calcs &amp; Print Out'!Q$23,'Airfields &amp; Performance Factors'!$M$7:$M$16,0)),IF(O26&gt;0,O26*INDEX('Airfields &amp; Performance Factors'!$O$7:$O$16,MATCH('Performance Calcs &amp; Print Out'!Q$23,'Airfields &amp; Performance Factors'!$M$7:$M$16,0)),IF(N26&gt;0,N26*INDEX('Airfields &amp; Performance Factors'!$O$7:$O$16,MATCH('Performance Calcs &amp; Print Out'!Q$23,'Airfields &amp; Performance Factors'!$M$7:$M$16,0)),IF(M26&gt;0,M26*INDEX('Airfields &amp; Performance Factors'!$O$7:$O$16,MATCH('Performance Calcs &amp; Print Out'!Q$23,'Airfields &amp; Performance Factors'!$M$7:$M$16,0)),IF(L26&gt;0,L26*INDEX('Airfields &amp; Performance Factors'!$O$7:$O$16,MATCH('Performance Calcs &amp; Print Out'!Q$23,'Airfields &amp; Performance Factors'!$M$7:$M$16,0)),IF(K26&gt;0,K26*INDEX('Airfields &amp; Performance Factors'!$O$7:$O$16,MATCH('Performance Calcs &amp; Print Out'!Q$23,'Airfields &amp; Performance Factors'!$M$7:$M$16,0)),IF(J26&gt;0,J26*INDEX('Airfields &amp; Performance Factors'!$O$7:$O$16,MATCH('Performance Calcs &amp; Print Out'!Q$23,'Airfields &amp; Performance Factors'!$M$7:$M$16,0)),IF(I26&gt;0,I26*INDEX('Airfields &amp; Performance Factors'!$O$7:$O$16,MATCH('Performance Calcs &amp; Print Out'!Q$23,'Airfields &amp; Performance Factors'!$M$7:$M$16,0)),IF(H26&gt;0,H26*INDEX('Airfields &amp; Performance Factors'!$O$7:$O$16,MATCH('Performance Calcs &amp; Print Out'!Q$23,'Airfields &amp; Performance Factors'!$M$7:$M$16,0)),IF(G26&gt;0,G26*INDEX('Airfields &amp; Performance Factors'!$O$7:$O$16,MATCH('Performance Calcs &amp; Print Out'!Q$23,'Airfields &amp; Performance Factors'!$M$7:$M$16,0)),"ERROR")))))))))),"NULL")</f>
        <v>ERROR</v>
      </c>
      <c r="R26" s="27" t="str">
        <f t="shared" si="2"/>
        <v>-</v>
      </c>
    </row>
    <row r="27" spans="1:18" s="9" customFormat="1" x14ac:dyDescent="0.25">
      <c r="A27" s="30"/>
      <c r="B27" s="42">
        <f t="array" ref="B27">IFERROR(INDEX('Airfields &amp; Performance Factors'!C:C,SMALL(IF('Airfields &amp; Performance Factors'!$B:$B=$C$21,ROW('Airfields &amp; Performance Factors'!$B:$B)),ROW('Airfields &amp; Performance Factors'!4:4))),"-")</f>
        <v>0</v>
      </c>
      <c r="C27" s="42">
        <f t="array" ref="C27">IFERROR(INDEX('Airfields &amp; Performance Factors'!D:D,SMALL(IF('Airfields &amp; Performance Factors'!$B:$B=$C$21,ROW('Airfields &amp; Performance Factors'!$B:$B)),ROW('Airfields &amp; Performance Factors'!4:4))),"-")</f>
        <v>0</v>
      </c>
      <c r="D27" s="42">
        <f t="array" ref="D27">IFERROR(INDEX('Airfields &amp; Performance Factors'!E:E,SMALL(IF('Airfields &amp; Performance Factors'!$B:$B=$C$21,ROW('Airfields &amp; Performance Factors'!$B:$B)),ROW('Airfields &amp; Performance Factors'!4:4))),"-")</f>
        <v>0</v>
      </c>
      <c r="E27" s="42">
        <f t="array" ref="E27">IFERROR(INDEX('Airfields &amp; Performance Factors'!F:F,SMALL(IF('Airfields &amp; Performance Factors'!$B:$B=$C$21,ROW('Airfields &amp; Performance Factors'!$B:$B)),ROW('Airfields &amp; Performance Factors'!4:4))),"-")</f>
        <v>0</v>
      </c>
      <c r="G27" s="28">
        <f>IFERROR(Variables!$C$34,"NULL")</f>
        <v>0</v>
      </c>
      <c r="H27" s="28">
        <f>IFERROR(IF(Variables!C$48="yes",G27*INDEX('Airfields &amp; Performance Factors'!$O$7:$O$16,MATCH('Performance Calcs &amp; Print Out'!H$23,'Airfields &amp; Performance Factors'!$M$7:$M$16,0)),0),"NULL")</f>
        <v>0</v>
      </c>
      <c r="I27" s="28">
        <f>IFERROR(IF(AND(Variables!C$49="yes",H27&gt;0),H27*INDEX('Airfields &amp; Performance Factors'!$O$7:$O$16,MATCH('Performance Calcs &amp; Print Out'!I$23,'Airfields &amp; Performance Factors'!$M$7:$M$16,0)),IF(Variables!C$49="no",0,G27*INDEX('Airfields &amp; Performance Factors'!$O$7:$O$16,MATCH('Performance Calcs &amp; Print Out'!I$23,'Airfields &amp; Performance Factors'!$M$7:$M$16,0)))),"NULL")</f>
        <v>0</v>
      </c>
      <c r="J27" s="28">
        <f>IFERROR(IF(AND(Variables!C$50="yes",I27&gt;0),I27*INDEX('Airfields &amp; Performance Factors'!$O$7:$O$16,MATCH('Performance Calcs &amp; Print Out'!J$23,'Airfields &amp; Performance Factors'!$M$7:$M$16,0)),IF(AND(Variables!C$50="yes",I27=0,H27=0),G27*INDEX('Airfields &amp; Performance Factors'!$O$7:$O$16,MATCH('Performance Calcs &amp; Print Out'!J$23,'Airfields &amp; Performance Factors'!$M$7:$M$16,0)),IF(AND(Variables!C$50="yes",I27=0,H27&gt;0),H27*INDEX('Airfields &amp; Performance Factors'!$O$7:$O$16,MATCH('Performance Calcs &amp; Print Out'!J$23,'Airfields &amp; Performance Factors'!$M$7:$M$16,0)),IF(Variables!C$50="no",0,"ERROR")))),"NULL")</f>
        <v>0</v>
      </c>
      <c r="K27" s="28">
        <f>IFERROR(IF(AND(Variables!C$51="yes",J27&gt;0),J27*INDEX('Airfields &amp; Performance Factors'!$O$7:$O$16,MATCH('Performance Calcs &amp; Print Out'!K$23,'Airfields &amp; Performance Factors'!$M$7:$M$16,0)),IF(AND(Variables!C$51="yes",J27=0,I27=0,H27=0),G27*INDEX('Airfields &amp; Performance Factors'!$O$7:$O$16,MATCH('Performance Calcs &amp; Print Out'!K$23,'Airfields &amp; Performance Factors'!$M$7:$M$16,0)),IF(AND(Variables!C$51="yes",J27=0,I27&gt;0),I27*INDEX('Airfields &amp; Performance Factors'!$O$7:$O$16,MATCH('Performance Calcs &amp; Print Out'!K$23,'Airfields &amp; Performance Factors'!$M$7:$M$16,0)),IF(AND(Variables!C$51="yes",J27=0,I27=0,H27&gt;0),H27*INDEX('Airfields &amp; Performance Factors'!$O$7:$O$16,MATCH('Performance Calcs &amp; Print Out'!K$23,'Airfields &amp; Performance Factors'!$M$7:$M$16,0)),IF(Variables!C$51="no",0,"ERROR"))))),"NULL")</f>
        <v>0</v>
      </c>
      <c r="L27" s="28">
        <f>IFERROR(IF(AND(Variables!C$52="yes",K27&gt;0),K27*INDEX('Airfields &amp; Performance Factors'!$O$7:$O$16,MATCH('Performance Calcs &amp; Print Out'!L$23,'Airfields &amp; Performance Factors'!$M$7:$M$16,0)),IF(AND(Variables!C$52="yes",K27=0,J27=0,I27=0,H27=0),G27*INDEX('Airfields &amp; Performance Factors'!$O$7:$O$16,MATCH('Performance Calcs &amp; Print Out'!L$23,'Airfields &amp; Performance Factors'!$M$7:$M$16,0)),IF(AND(Variables!C$52="yes",K27=0,J27&gt;0),J27*INDEX('Airfields &amp; Performance Factors'!$O$7:$O$16,MATCH('Performance Calcs &amp; Print Out'!L$23,'Airfields &amp; Performance Factors'!$M$7:$M$16,0)),IF(AND(Variables!C$52="yes",K27=0,J27=0,I27&gt;0),I27*INDEX('Airfields &amp; Performance Factors'!$O$7:$O$16,MATCH('Performance Calcs &amp; Print Out'!L$23,'Airfields &amp; Performance Factors'!$M$7:$M$16,0)),IF(AND(Variables!C$52="yes",K27=0,J27=0,I27=0,H27&gt;0),H27*INDEX('Airfields &amp; Performance Factors'!$O$7:$O$16,MATCH('Performance Calcs &amp; Print Out'!L$23,'Airfields &amp; Performance Factors'!$M$7:$M$16,0)),IF(Variables!C$52="no",0,"ERROR")))))),"NULL")</f>
        <v>0</v>
      </c>
      <c r="M27" s="28">
        <f>IFERROR(IF(AND(Variables!C$53="yes",L27&gt;0),L27*INDEX('Airfields &amp; Performance Factors'!$O$7:$O$16,MATCH('Performance Calcs &amp; Print Out'!M$23,'Airfields &amp; Performance Factors'!$M$7:$M$16,0)),IF(AND(Variables!C$53="yes",L27=0,K27=0,J27=0,I27=0,H27=0),G27*INDEX('Airfields &amp; Performance Factors'!$O$7:$O$16,MATCH('Performance Calcs &amp; Print Out'!M$23,'Airfields &amp; Performance Factors'!$M$7:$M$16,0)),IF(AND(Variables!C$53="yes",L27=0,K27&gt;0),K27*INDEX('Airfields &amp; Performance Factors'!$O$7:$O$16,MATCH('Performance Calcs &amp; Print Out'!M$23,'Airfields &amp; Performance Factors'!$M$7:$M$16,0)),IF(AND(Variables!C$53="yes",L27=0,K27=0,J27&gt;0),J27*INDEX('Airfields &amp; Performance Factors'!$O$7:$O$16,MATCH('Performance Calcs &amp; Print Out'!M$23,'Airfields &amp; Performance Factors'!$M$7:$M$16,0)),IF(AND(Variables!C$53="yes",L27=0,K27=0,J27=0,I27&gt;0),I27*INDEX('Airfields &amp; Performance Factors'!$O$7:$O$16,MATCH('Performance Calcs &amp; Print Out'!M$23,'Airfields &amp; Performance Factors'!$M$7:$M$16,0)),IF(AND(Variables!C$53="yes",L27=0,K27=0,J27=0,I27=0,H27&gt;0),H27*INDEX('Airfields &amp; Performance Factors'!$O$7:$O$16,MATCH('Performance Calcs &amp; Print Out'!M$23,'Airfields &amp; Performance Factors'!$M$7:$M$16,0)),IF(Variables!C$53="no",0,"ERROR"))))))),"NULL")</f>
        <v>0</v>
      </c>
      <c r="N27" s="26">
        <f>IFERROR(IF(AND(Variables!C$54="yes",M27&gt;0),M27*INDEX('Airfields &amp; Performance Factors'!$O$7:$O$16,MATCH('Performance Calcs &amp; Print Out'!N$23,'Airfields &amp; Performance Factors'!$M$7:$M$16,0)),IF(AND(Variables!C$54="yes",M27=0,L27=0,K27=0,J27=0,I27=0,H27=0),G27*INDEX('Airfields &amp; Performance Factors'!$O$7:$O$16,MATCH('Performance Calcs &amp; Print Out'!N$23,'Airfields &amp; Performance Factors'!$M$7:$M$16,0)),IF(AND(Variables!C$54="yes",M27=0,L27=0,K27&gt;0),K27*INDEX('Airfields &amp; Performance Factors'!$O$7:$O$16,MATCH('Performance Calcs &amp; Print Out'!N$23,'Airfields &amp; Performance Factors'!$M$7:$M$16,0)),IF(AND(Variables!C$54="yes",M27=0,L27=0,K27=0,J27&gt;0),J27*INDEX('Airfields &amp; Performance Factors'!$O$7:$O$16,MATCH('Performance Calcs &amp; Print Out'!N$23,'Airfields &amp; Performance Factors'!$M$7:$M$16,0)),IF(AND(Variables!C$54="yes",M27=0,L27=0,K27=0,J27=0,I27&gt;0),I27*INDEX('Airfields &amp; Performance Factors'!$O$7:$O$16,MATCH('Performance Calcs &amp; Print Out'!N$23,'Airfields &amp; Performance Factors'!$M$7:$M$16,0)),IF(AND(Variables!C$54="yes",M27=0,L27=0,K27=0,J27=0,I27=0,H27&gt;0),H27*INDEX('Airfields &amp; Performance Factors'!$O$7:$O$16,MATCH('Performance Calcs &amp; Print Out'!N$23,'Airfields &amp; Performance Factors'!$M$7:$M$16,0)),IF(Variables!C$54="no",0,"ERROR"))))))),"NULL")</f>
        <v>0</v>
      </c>
      <c r="O27" s="28">
        <f>IFERROR(IF(AND(Variables!C$55="yes",N27&gt;0),N27*INDEX('Airfields &amp; Performance Factors'!$O$7:$O$16,MATCH('Performance Calcs &amp; Print Out'!O$23,'Airfields &amp; Performance Factors'!$M$7:$M$16,0)),IF(AND(Variables!C$55="yes",N27=0,M27=0,L27=0,K27=0,J27=0,I27=0,H27=0),G27*INDEX('Airfields &amp; Performance Factors'!$O$7:$O$16,MATCH('Performance Calcs &amp; Print Out'!O$23,'Airfields &amp; Performance Factors'!$M$7:$M$16,0)),IF(AND(Variables!C$55="yes",N27=0,M27&gt;0),M27*INDEX('Airfields &amp; Performance Factors'!$O$7:$O$16,MATCH('Performance Calcs &amp; Print Out'!O$23,'Airfields &amp; Performance Factors'!$M$7:$M$16,0)),IF(AND(Variables!C$55="yes",N27=0,M27=0,L27&gt;0),L27*INDEX('Airfields &amp; Performance Factors'!$O$7:$O$16,MATCH('Performance Calcs &amp; Print Out'!O$23,'Airfields &amp; Performance Factors'!$M$7:$M$16,0)),IF(AND(Variables!C$55="yes",N27=0,M27=0,L27=0,K27&gt;0),K27*INDEX('Airfields &amp; Performance Factors'!$O$7:$O$16,MATCH('Performance Calcs &amp; Print Out'!O$23,'Airfields &amp; Performance Factors'!$M$7:$M$16,0)),IF(AND(Variables!C$55="yes",N27=0,M27=0,L27=0,K27=0,J27&gt;0),J27*INDEX('Airfields &amp; Performance Factors'!$O$7:$O$16,MATCH('Performance Calcs &amp; Print Out'!O$23,'Airfields &amp; Performance Factors'!$M$7:$M$16,0)),IF(AND(Variables!C$55="yes",N27=0,M27=0,L27=0,K27=0,J27=0,I27&gt;0),I27*INDEX('Airfields &amp; Performance Factors'!$O$7:$O$16,MATCH('Performance Calcs &amp; Print Out'!O$23,'Airfields &amp; Performance Factors'!$M$7:$M$16,0)),IF(AND(Variables!C$55="yes",N27=0,M27=0,L27=0,K27=0,J27=0,I27=0,H27&gt;0),H27*INDEX('Airfields &amp; Performance Factors'!$O$7:$O$16,MATCH('Performance Calcs &amp; Print Out'!O$23,'Airfields &amp; Performance Factors'!$M$7:$M$16,0)),IF(Variables!C$55="no",0,"ERROR"))))))))),"NULL")</f>
        <v>0</v>
      </c>
      <c r="P27" s="28">
        <f>IFERROR(IF(AND(Variables!C$56="yes",O27&gt;0),O27*INDEX('Airfields &amp; Performance Factors'!$O$7:$O$16,MATCH('Performance Calcs &amp; Print Out'!P$23,'Airfields &amp; Performance Factors'!$M$7:$M$16,0)),IF(AND(Variables!C$56="yes",O27=0,N27=0,L27=0,K27=0,J27=0,I27=0,H27=0),G27*INDEX('Airfields &amp; Performance Factors'!$O$7:$O$16,MATCH('Performance Calcs &amp; Print Out'!P$23,'Airfields &amp; Performance Factors'!$M$7:$M$16,0)),IF(AND(Variables!C$56="yes",O27=0,N27&gt;0),N27*INDEX('Airfields &amp; Performance Factors'!$O$7:$O$16,MATCH('Performance Calcs &amp; Print Out'!P$23,'Airfields &amp; Performance Factors'!$M$7:$M$16,0)),IF(AND(Variables!C$56="yes",O27=0,N27=0,M27&gt;0),M27*INDEX('Airfields &amp; Performance Factors'!$O$7:$O$16,MATCH('Performance Calcs &amp; Print Out'!P$23,'Airfields &amp; Performance Factors'!$M$7:$M$16,0)),IF(AND(Variables!C$56="yes",O27=0,N27=0,M27=0,L27&gt;0),L27*INDEX('Airfields &amp; Performance Factors'!$O$7:$O$16,MATCH('Performance Calcs &amp; Print Out'!P$23,'Airfields &amp; Performance Factors'!$M$7:$M$16,0)),IF(AND(Variables!C$56="yes",O27=0,N27=0,M27=0,L27=0,K27&gt;0),K27*INDEX('Airfields &amp; Performance Factors'!$O$7:$O$16,MATCH('Performance Calcs &amp; Print Out'!P$23,'Airfields &amp; Performance Factors'!$M$7:$M$16,0)),IF(AND(Variables!C$56="yes",O27=0,N27=0,M27=0,L27=0,K27=0,J27&gt;0),J27*INDEX('Airfields &amp; Performance Factors'!$O$7:$O$16,MATCH('Performance Calcs &amp; Print Out'!P$23,'Airfields &amp; Performance Factors'!$M$7:$M$16,0)),IF(AND(Variables!C$56="yes",O27=0,N27=0,M27=0,L27=0,K27=0,J27=0,I27&gt;0),I27*INDEX('Airfields &amp; Performance Factors'!$O$7:$O$16,MATCH('Performance Calcs &amp; Print Out'!P$23,'Airfields &amp; Performance Factors'!$M$7:$M$16,0)),IF(AND(Variables!C$56="yes",O27=0,N27=0,M27=0,L27=0,K27=0,J27=0,I27=0,H27&gt;0),H27*INDEX('Airfields &amp; Performance Factors'!$O$7:$O$16,MATCH('Performance Calcs &amp; Print Out'!P$23,'Airfields &amp; Performance Factors'!$M$7:$M$16,0)),IF(Variables!C$56="no",0,"ERROR")))))))))),"NULL")</f>
        <v>0</v>
      </c>
      <c r="Q27" s="28" t="str">
        <f>IFERROR(IF(P27&gt;0,P27*INDEX('Airfields &amp; Performance Factors'!$O$7:$O$16,MATCH('Performance Calcs &amp; Print Out'!Q$23,'Airfields &amp; Performance Factors'!$M$7:$M$16,0)),IF(O27&gt;0,O27*INDEX('Airfields &amp; Performance Factors'!$O$7:$O$16,MATCH('Performance Calcs &amp; Print Out'!Q$23,'Airfields &amp; Performance Factors'!$M$7:$M$16,0)),IF(N27&gt;0,N27*INDEX('Airfields &amp; Performance Factors'!$O$7:$O$16,MATCH('Performance Calcs &amp; Print Out'!Q$23,'Airfields &amp; Performance Factors'!$M$7:$M$16,0)),IF(M27&gt;0,M27*INDEX('Airfields &amp; Performance Factors'!$O$7:$O$16,MATCH('Performance Calcs &amp; Print Out'!Q$23,'Airfields &amp; Performance Factors'!$M$7:$M$16,0)),IF(L27&gt;0,L27*INDEX('Airfields &amp; Performance Factors'!$O$7:$O$16,MATCH('Performance Calcs &amp; Print Out'!Q$23,'Airfields &amp; Performance Factors'!$M$7:$M$16,0)),IF(K27&gt;0,K27*INDEX('Airfields &amp; Performance Factors'!$O$7:$O$16,MATCH('Performance Calcs &amp; Print Out'!Q$23,'Airfields &amp; Performance Factors'!$M$7:$M$16,0)),IF(J27&gt;0,J27*INDEX('Airfields &amp; Performance Factors'!$O$7:$O$16,MATCH('Performance Calcs &amp; Print Out'!Q$23,'Airfields &amp; Performance Factors'!$M$7:$M$16,0)),IF(I27&gt;0,I27*INDEX('Airfields &amp; Performance Factors'!$O$7:$O$16,MATCH('Performance Calcs &amp; Print Out'!Q$23,'Airfields &amp; Performance Factors'!$M$7:$M$16,0)),IF(H27&gt;0,H27*INDEX('Airfields &amp; Performance Factors'!$O$7:$O$16,MATCH('Performance Calcs &amp; Print Out'!Q$23,'Airfields &amp; Performance Factors'!$M$7:$M$16,0)),IF(G27&gt;0,G27*INDEX('Airfields &amp; Performance Factors'!$O$7:$O$16,MATCH('Performance Calcs &amp; Print Out'!Q$23,'Airfields &amp; Performance Factors'!$M$7:$M$16,0)),"ERROR")))))))))),"NULL")</f>
        <v>ERROR</v>
      </c>
      <c r="R27" s="27" t="str">
        <f t="shared" si="2"/>
        <v>-</v>
      </c>
    </row>
    <row r="28" spans="1:18" s="9" customFormat="1" x14ac:dyDescent="0.25">
      <c r="A28" s="30"/>
      <c r="B28" s="42">
        <f t="array" ref="B28">IFERROR(INDEX('Airfields &amp; Performance Factors'!C:C,SMALL(IF('Airfields &amp; Performance Factors'!$B:$B=$C$21,ROW('Airfields &amp; Performance Factors'!$B:$B)),ROW('Airfields &amp; Performance Factors'!5:5))),"-")</f>
        <v>0</v>
      </c>
      <c r="C28" s="42">
        <f t="array" ref="C28">IFERROR(INDEX('Airfields &amp; Performance Factors'!D:D,SMALL(IF('Airfields &amp; Performance Factors'!$B:$B=$C$21,ROW('Airfields &amp; Performance Factors'!$B:$B)),ROW('Airfields &amp; Performance Factors'!5:5))),"-")</f>
        <v>0</v>
      </c>
      <c r="D28" s="42">
        <f t="array" ref="D28">IFERROR(INDEX('Airfields &amp; Performance Factors'!E:E,SMALL(IF('Airfields &amp; Performance Factors'!$B:$B=$C$21,ROW('Airfields &amp; Performance Factors'!$B:$B)),ROW('Airfields &amp; Performance Factors'!5:5))),"-")</f>
        <v>0</v>
      </c>
      <c r="E28" s="42">
        <f t="array" ref="E28">IFERROR(INDEX('Airfields &amp; Performance Factors'!F:F,SMALL(IF('Airfields &amp; Performance Factors'!$B:$B=$C$21,ROW('Airfields &amp; Performance Factors'!$B:$B)),ROW('Airfields &amp; Performance Factors'!5:5))),"-")</f>
        <v>0</v>
      </c>
      <c r="G28" s="28">
        <f>IFERROR(Variables!$C$34,"NULL")</f>
        <v>0</v>
      </c>
      <c r="H28" s="28">
        <f>IFERROR(IF(Variables!C$48="yes",G28*INDEX('Airfields &amp; Performance Factors'!$O$7:$O$16,MATCH('Performance Calcs &amp; Print Out'!H$23,'Airfields &amp; Performance Factors'!$M$7:$M$16,0)),0),"NULL")</f>
        <v>0</v>
      </c>
      <c r="I28" s="28">
        <f>IFERROR(IF(AND(Variables!C$49="yes",H28&gt;0),H28*INDEX('Airfields &amp; Performance Factors'!$O$7:$O$16,MATCH('Performance Calcs &amp; Print Out'!I$23,'Airfields &amp; Performance Factors'!$M$7:$M$16,0)),IF(Variables!C$49="no",0,G28*INDEX('Airfields &amp; Performance Factors'!$O$7:$O$16,MATCH('Performance Calcs &amp; Print Out'!I$23,'Airfields &amp; Performance Factors'!$M$7:$M$16,0)))),"NULL")</f>
        <v>0</v>
      </c>
      <c r="J28" s="28">
        <f>IFERROR(IF(AND(Variables!C$50="yes",I28&gt;0),I28*INDEX('Airfields &amp; Performance Factors'!$O$7:$O$16,MATCH('Performance Calcs &amp; Print Out'!J$23,'Airfields &amp; Performance Factors'!$M$7:$M$16,0)),IF(AND(Variables!C$50="yes",I28=0,H28=0),G28*INDEX('Airfields &amp; Performance Factors'!$O$7:$O$16,MATCH('Performance Calcs &amp; Print Out'!J$23,'Airfields &amp; Performance Factors'!$M$7:$M$16,0)),IF(AND(Variables!C$50="yes",I28=0,H28&gt;0),H28*INDEX('Airfields &amp; Performance Factors'!$O$7:$O$16,MATCH('Performance Calcs &amp; Print Out'!J$23,'Airfields &amp; Performance Factors'!$M$7:$M$16,0)),IF(Variables!C$50="no",0,"ERROR")))),"NULL")</f>
        <v>0</v>
      </c>
      <c r="K28" s="28">
        <f>IFERROR(IF(AND(Variables!C$51="yes",J28&gt;0),J28*INDEX('Airfields &amp; Performance Factors'!$O$7:$O$16,MATCH('Performance Calcs &amp; Print Out'!K$23,'Airfields &amp; Performance Factors'!$M$7:$M$16,0)),IF(AND(Variables!C$51="yes",J28=0,I28=0,H28=0),G28*INDEX('Airfields &amp; Performance Factors'!$O$7:$O$16,MATCH('Performance Calcs &amp; Print Out'!K$23,'Airfields &amp; Performance Factors'!$M$7:$M$16,0)),IF(AND(Variables!C$51="yes",J28=0,I28&gt;0),I28*INDEX('Airfields &amp; Performance Factors'!$O$7:$O$16,MATCH('Performance Calcs &amp; Print Out'!K$23,'Airfields &amp; Performance Factors'!$M$7:$M$16,0)),IF(AND(Variables!C$51="yes",J28=0,I28=0,H28&gt;0),H28*INDEX('Airfields &amp; Performance Factors'!$O$7:$O$16,MATCH('Performance Calcs &amp; Print Out'!K$23,'Airfields &amp; Performance Factors'!$M$7:$M$16,0)),IF(Variables!C$51="no",0,"ERROR"))))),"NULL")</f>
        <v>0</v>
      </c>
      <c r="L28" s="28">
        <f>IFERROR(IF(AND(Variables!C$52="yes",K28&gt;0),K28*INDEX('Airfields &amp; Performance Factors'!$O$7:$O$16,MATCH('Performance Calcs &amp; Print Out'!L$23,'Airfields &amp; Performance Factors'!$M$7:$M$16,0)),IF(AND(Variables!C$52="yes",K28=0,J28=0,I28=0,H28=0),G28*INDEX('Airfields &amp; Performance Factors'!$O$7:$O$16,MATCH('Performance Calcs &amp; Print Out'!L$23,'Airfields &amp; Performance Factors'!$M$7:$M$16,0)),IF(AND(Variables!C$52="yes",K28=0,J28&gt;0),J28*INDEX('Airfields &amp; Performance Factors'!$O$7:$O$16,MATCH('Performance Calcs &amp; Print Out'!L$23,'Airfields &amp; Performance Factors'!$M$7:$M$16,0)),IF(AND(Variables!C$52="yes",K28=0,J28=0,I28&gt;0),I28*INDEX('Airfields &amp; Performance Factors'!$O$7:$O$16,MATCH('Performance Calcs &amp; Print Out'!L$23,'Airfields &amp; Performance Factors'!$M$7:$M$16,0)),IF(AND(Variables!C$52="yes",K28=0,J28=0,I28=0,H28&gt;0),H28*INDEX('Airfields &amp; Performance Factors'!$O$7:$O$16,MATCH('Performance Calcs &amp; Print Out'!L$23,'Airfields &amp; Performance Factors'!$M$7:$M$16,0)),IF(Variables!C$52="no",0,"ERROR")))))),"NULL")</f>
        <v>0</v>
      </c>
      <c r="M28" s="28">
        <f>IFERROR(IF(AND(Variables!C$53="yes",L28&gt;0),L28*INDEX('Airfields &amp; Performance Factors'!$O$7:$O$16,MATCH('Performance Calcs &amp; Print Out'!M$23,'Airfields &amp; Performance Factors'!$M$7:$M$16,0)),IF(AND(Variables!C$53="yes",L28=0,K28=0,J28=0,I28=0,H28=0),G28*INDEX('Airfields &amp; Performance Factors'!$O$7:$O$16,MATCH('Performance Calcs &amp; Print Out'!M$23,'Airfields &amp; Performance Factors'!$M$7:$M$16,0)),IF(AND(Variables!C$53="yes",L28=0,K28&gt;0),K28*INDEX('Airfields &amp; Performance Factors'!$O$7:$O$16,MATCH('Performance Calcs &amp; Print Out'!M$23,'Airfields &amp; Performance Factors'!$M$7:$M$16,0)),IF(AND(Variables!C$53="yes",L28=0,K28=0,J28&gt;0),J28*INDEX('Airfields &amp; Performance Factors'!$O$7:$O$16,MATCH('Performance Calcs &amp; Print Out'!M$23,'Airfields &amp; Performance Factors'!$M$7:$M$16,0)),IF(AND(Variables!C$53="yes",L28=0,K28=0,J28=0,I28&gt;0),I28*INDEX('Airfields &amp; Performance Factors'!$O$7:$O$16,MATCH('Performance Calcs &amp; Print Out'!M$23,'Airfields &amp; Performance Factors'!$M$7:$M$16,0)),IF(AND(Variables!C$53="yes",L28=0,K28=0,J28=0,I28=0,H28&gt;0),H28*INDEX('Airfields &amp; Performance Factors'!$O$7:$O$16,MATCH('Performance Calcs &amp; Print Out'!M$23,'Airfields &amp; Performance Factors'!$M$7:$M$16,0)),IF(Variables!C$53="no",0,"ERROR"))))))),"NULL")</f>
        <v>0</v>
      </c>
      <c r="N28" s="26">
        <f>IFERROR(IF(AND(Variables!C$54="yes",M28&gt;0),M28*INDEX('Airfields &amp; Performance Factors'!$O$7:$O$16,MATCH('Performance Calcs &amp; Print Out'!N$23,'Airfields &amp; Performance Factors'!$M$7:$M$16,0)),IF(AND(Variables!C$54="yes",M28=0,L28=0,K28=0,J28=0,I28=0,H28=0),G28*INDEX('Airfields &amp; Performance Factors'!$O$7:$O$16,MATCH('Performance Calcs &amp; Print Out'!N$23,'Airfields &amp; Performance Factors'!$M$7:$M$16,0)),IF(AND(Variables!C$54="yes",M28=0,L28=0,K28&gt;0),K28*INDEX('Airfields &amp; Performance Factors'!$O$7:$O$16,MATCH('Performance Calcs &amp; Print Out'!N$23,'Airfields &amp; Performance Factors'!$M$7:$M$16,0)),IF(AND(Variables!C$54="yes",M28=0,L28=0,K28=0,J28&gt;0),J28*INDEX('Airfields &amp; Performance Factors'!$O$7:$O$16,MATCH('Performance Calcs &amp; Print Out'!N$23,'Airfields &amp; Performance Factors'!$M$7:$M$16,0)),IF(AND(Variables!C$54="yes",M28=0,L28=0,K28=0,J28=0,I28&gt;0),I28*INDEX('Airfields &amp; Performance Factors'!$O$7:$O$16,MATCH('Performance Calcs &amp; Print Out'!N$23,'Airfields &amp; Performance Factors'!$M$7:$M$16,0)),IF(AND(Variables!C$54="yes",M28=0,L28=0,K28=0,J28=0,I28=0,H28&gt;0),H28*INDEX('Airfields &amp; Performance Factors'!$O$7:$O$16,MATCH('Performance Calcs &amp; Print Out'!N$23,'Airfields &amp; Performance Factors'!$M$7:$M$16,0)),IF(Variables!C$54="no",0,"ERROR"))))))),"NULL")</f>
        <v>0</v>
      </c>
      <c r="O28" s="28">
        <f>IFERROR(IF(AND(Variables!C$55="yes",N28&gt;0),N28*INDEX('Airfields &amp; Performance Factors'!$O$7:$O$16,MATCH('Performance Calcs &amp; Print Out'!O$23,'Airfields &amp; Performance Factors'!$M$7:$M$16,0)),IF(AND(Variables!C$55="yes",N28=0,M28=0,L28=0,K28=0,J28=0,I28=0,H28=0),G28*INDEX('Airfields &amp; Performance Factors'!$O$7:$O$16,MATCH('Performance Calcs &amp; Print Out'!O$23,'Airfields &amp; Performance Factors'!$M$7:$M$16,0)),IF(AND(Variables!C$55="yes",N28=0,M28&gt;0),M28*INDEX('Airfields &amp; Performance Factors'!$O$7:$O$16,MATCH('Performance Calcs &amp; Print Out'!O$23,'Airfields &amp; Performance Factors'!$M$7:$M$16,0)),IF(AND(Variables!C$55="yes",N28=0,M28=0,L28&gt;0),L28*INDEX('Airfields &amp; Performance Factors'!$O$7:$O$16,MATCH('Performance Calcs &amp; Print Out'!O$23,'Airfields &amp; Performance Factors'!$M$7:$M$16,0)),IF(AND(Variables!C$55="yes",N28=0,M28=0,L28=0,K28&gt;0),K28*INDEX('Airfields &amp; Performance Factors'!$O$7:$O$16,MATCH('Performance Calcs &amp; Print Out'!O$23,'Airfields &amp; Performance Factors'!$M$7:$M$16,0)),IF(AND(Variables!C$55="yes",N28=0,M28=0,L28=0,K28=0,J28&gt;0),J28*INDEX('Airfields &amp; Performance Factors'!$O$7:$O$16,MATCH('Performance Calcs &amp; Print Out'!O$23,'Airfields &amp; Performance Factors'!$M$7:$M$16,0)),IF(AND(Variables!C$55="yes",N28=0,M28=0,L28=0,K28=0,J28=0,I28&gt;0),I28*INDEX('Airfields &amp; Performance Factors'!$O$7:$O$16,MATCH('Performance Calcs &amp; Print Out'!O$23,'Airfields &amp; Performance Factors'!$M$7:$M$16,0)),IF(AND(Variables!C$55="yes",N28=0,M28=0,L28=0,K28=0,J28=0,I28=0,H28&gt;0),H28*INDEX('Airfields &amp; Performance Factors'!$O$7:$O$16,MATCH('Performance Calcs &amp; Print Out'!O$23,'Airfields &amp; Performance Factors'!$M$7:$M$16,0)),IF(Variables!C$55="no",0,"ERROR"))))))))),"NULL")</f>
        <v>0</v>
      </c>
      <c r="P28" s="28">
        <f>IFERROR(IF(AND(Variables!C$56="yes",O28&gt;0),O28*INDEX('Airfields &amp; Performance Factors'!$O$7:$O$16,MATCH('Performance Calcs &amp; Print Out'!P$23,'Airfields &amp; Performance Factors'!$M$7:$M$16,0)),IF(AND(Variables!C$56="yes",O28=0,N28=0,L28=0,K28=0,J28=0,I28=0,H28=0),G28*INDEX('Airfields &amp; Performance Factors'!$O$7:$O$16,MATCH('Performance Calcs &amp; Print Out'!P$23,'Airfields &amp; Performance Factors'!$M$7:$M$16,0)),IF(AND(Variables!C$56="yes",O28=0,N28&gt;0),N28*INDEX('Airfields &amp; Performance Factors'!$O$7:$O$16,MATCH('Performance Calcs &amp; Print Out'!P$23,'Airfields &amp; Performance Factors'!$M$7:$M$16,0)),IF(AND(Variables!C$56="yes",O28=0,N28=0,M28&gt;0),M28*INDEX('Airfields &amp; Performance Factors'!$O$7:$O$16,MATCH('Performance Calcs &amp; Print Out'!P$23,'Airfields &amp; Performance Factors'!$M$7:$M$16,0)),IF(AND(Variables!C$56="yes",O28=0,N28=0,M28=0,L28&gt;0),L28*INDEX('Airfields &amp; Performance Factors'!$O$7:$O$16,MATCH('Performance Calcs &amp; Print Out'!P$23,'Airfields &amp; Performance Factors'!$M$7:$M$16,0)),IF(AND(Variables!C$56="yes",O28=0,N28=0,M28=0,L28=0,K28&gt;0),K28*INDEX('Airfields &amp; Performance Factors'!$O$7:$O$16,MATCH('Performance Calcs &amp; Print Out'!P$23,'Airfields &amp; Performance Factors'!$M$7:$M$16,0)),IF(AND(Variables!C$56="yes",O28=0,N28=0,M28=0,L28=0,K28=0,J28&gt;0),J28*INDEX('Airfields &amp; Performance Factors'!$O$7:$O$16,MATCH('Performance Calcs &amp; Print Out'!P$23,'Airfields &amp; Performance Factors'!$M$7:$M$16,0)),IF(AND(Variables!C$56="yes",O28=0,N28=0,M28=0,L28=0,K28=0,J28=0,I28&gt;0),I28*INDEX('Airfields &amp; Performance Factors'!$O$7:$O$16,MATCH('Performance Calcs &amp; Print Out'!P$23,'Airfields &amp; Performance Factors'!$M$7:$M$16,0)),IF(AND(Variables!C$56="yes",O28=0,N28=0,M28=0,L28=0,K28=0,J28=0,I28=0,H28&gt;0),H28*INDEX('Airfields &amp; Performance Factors'!$O$7:$O$16,MATCH('Performance Calcs &amp; Print Out'!P$23,'Airfields &amp; Performance Factors'!$M$7:$M$16,0)),IF(Variables!C$56="no",0,"ERROR")))))))))),"NULL")</f>
        <v>0</v>
      </c>
      <c r="Q28" s="28" t="str">
        <f>IFERROR(IF(P28&gt;0,P28*INDEX('Airfields &amp; Performance Factors'!$O$7:$O$16,MATCH('Performance Calcs &amp; Print Out'!Q$23,'Airfields &amp; Performance Factors'!$M$7:$M$16,0)),IF(O28&gt;0,O28*INDEX('Airfields &amp; Performance Factors'!$O$7:$O$16,MATCH('Performance Calcs &amp; Print Out'!Q$23,'Airfields &amp; Performance Factors'!$M$7:$M$16,0)),IF(N28&gt;0,N28*INDEX('Airfields &amp; Performance Factors'!$O$7:$O$16,MATCH('Performance Calcs &amp; Print Out'!Q$23,'Airfields &amp; Performance Factors'!$M$7:$M$16,0)),IF(M28&gt;0,M28*INDEX('Airfields &amp; Performance Factors'!$O$7:$O$16,MATCH('Performance Calcs &amp; Print Out'!Q$23,'Airfields &amp; Performance Factors'!$M$7:$M$16,0)),IF(L28&gt;0,L28*INDEX('Airfields &amp; Performance Factors'!$O$7:$O$16,MATCH('Performance Calcs &amp; Print Out'!Q$23,'Airfields &amp; Performance Factors'!$M$7:$M$16,0)),IF(K28&gt;0,K28*INDEX('Airfields &amp; Performance Factors'!$O$7:$O$16,MATCH('Performance Calcs &amp; Print Out'!Q$23,'Airfields &amp; Performance Factors'!$M$7:$M$16,0)),IF(J28&gt;0,J28*INDEX('Airfields &amp; Performance Factors'!$O$7:$O$16,MATCH('Performance Calcs &amp; Print Out'!Q$23,'Airfields &amp; Performance Factors'!$M$7:$M$16,0)),IF(I28&gt;0,I28*INDEX('Airfields &amp; Performance Factors'!$O$7:$O$16,MATCH('Performance Calcs &amp; Print Out'!Q$23,'Airfields &amp; Performance Factors'!$M$7:$M$16,0)),IF(H28&gt;0,H28*INDEX('Airfields &amp; Performance Factors'!$O$7:$O$16,MATCH('Performance Calcs &amp; Print Out'!Q$23,'Airfields &amp; Performance Factors'!$M$7:$M$16,0)),IF(G28&gt;0,G28*INDEX('Airfields &amp; Performance Factors'!$O$7:$O$16,MATCH('Performance Calcs &amp; Print Out'!Q$23,'Airfields &amp; Performance Factors'!$M$7:$M$16,0)),"ERROR")))))))))),"NULL")</f>
        <v>ERROR</v>
      </c>
      <c r="R28" s="27" t="str">
        <f t="shared" si="2"/>
        <v>-</v>
      </c>
    </row>
    <row r="29" spans="1:18" s="9" customFormat="1" x14ac:dyDescent="0.25">
      <c r="A29" s="30"/>
      <c r="B29" s="42">
        <f t="array" ref="B29">IFERROR(INDEX('Airfields &amp; Performance Factors'!C:C,SMALL(IF('Airfields &amp; Performance Factors'!$B:$B=$C$21,ROW('Airfields &amp; Performance Factors'!$B:$B)),ROW('Airfields &amp; Performance Factors'!6:6))),"-")</f>
        <v>0</v>
      </c>
      <c r="C29" s="42">
        <f t="array" ref="C29">IFERROR(INDEX('Airfields &amp; Performance Factors'!D:D,SMALL(IF('Airfields &amp; Performance Factors'!$B:$B=$C$21,ROW('Airfields &amp; Performance Factors'!$B:$B)),ROW('Airfields &amp; Performance Factors'!6:6))),"-")</f>
        <v>0</v>
      </c>
      <c r="D29" s="42">
        <f t="array" ref="D29">IFERROR(INDEX('Airfields &amp; Performance Factors'!E:E,SMALL(IF('Airfields &amp; Performance Factors'!$B:$B=$C$21,ROW('Airfields &amp; Performance Factors'!$B:$B)),ROW('Airfields &amp; Performance Factors'!6:6))),"-")</f>
        <v>0</v>
      </c>
      <c r="E29" s="42">
        <f t="array" ref="E29">IFERROR(INDEX('Airfields &amp; Performance Factors'!F:F,SMALL(IF('Airfields &amp; Performance Factors'!$B:$B=$C$21,ROW('Airfields &amp; Performance Factors'!$B:$B)),ROW('Airfields &amp; Performance Factors'!6:6))),"-")</f>
        <v>0</v>
      </c>
      <c r="G29" s="28">
        <f>IFERROR(Variables!$C$34,"NULL")</f>
        <v>0</v>
      </c>
      <c r="H29" s="28">
        <f>IFERROR(IF(Variables!C$48="yes",G29*INDEX('Airfields &amp; Performance Factors'!$O$7:$O$16,MATCH('Performance Calcs &amp; Print Out'!H$23,'Airfields &amp; Performance Factors'!$M$7:$M$16,0)),0),"NULL")</f>
        <v>0</v>
      </c>
      <c r="I29" s="28">
        <f>IFERROR(IF(AND(Variables!C$49="yes",H29&gt;0),H29*INDEX('Airfields &amp; Performance Factors'!$O$7:$O$16,MATCH('Performance Calcs &amp; Print Out'!I$23,'Airfields &amp; Performance Factors'!$M$7:$M$16,0)),IF(Variables!C$49="no",0,G29*INDEX('Airfields &amp; Performance Factors'!$O$7:$O$16,MATCH('Performance Calcs &amp; Print Out'!I$23,'Airfields &amp; Performance Factors'!$M$7:$M$16,0)))),"NULL")</f>
        <v>0</v>
      </c>
      <c r="J29" s="28">
        <f>IFERROR(IF(AND(Variables!C$50="yes",I29&gt;0),I29*INDEX('Airfields &amp; Performance Factors'!$O$7:$O$16,MATCH('Performance Calcs &amp; Print Out'!J$23,'Airfields &amp; Performance Factors'!$M$7:$M$16,0)),IF(AND(Variables!C$50="yes",I29=0,H29=0),G29*INDEX('Airfields &amp; Performance Factors'!$O$7:$O$16,MATCH('Performance Calcs &amp; Print Out'!J$23,'Airfields &amp; Performance Factors'!$M$7:$M$16,0)),IF(AND(Variables!C$50="yes",I29=0,H29&gt;0),H29*INDEX('Airfields &amp; Performance Factors'!$O$7:$O$16,MATCH('Performance Calcs &amp; Print Out'!J$23,'Airfields &amp; Performance Factors'!$M$7:$M$16,0)),IF(Variables!C$50="no",0,"ERROR")))),"NULL")</f>
        <v>0</v>
      </c>
      <c r="K29" s="28">
        <f>IFERROR(IF(AND(Variables!C$51="yes",J29&gt;0),J29*INDEX('Airfields &amp; Performance Factors'!$O$7:$O$16,MATCH('Performance Calcs &amp; Print Out'!K$23,'Airfields &amp; Performance Factors'!$M$7:$M$16,0)),IF(AND(Variables!C$51="yes",J29=0,I29=0,H29=0),G29*INDEX('Airfields &amp; Performance Factors'!$O$7:$O$16,MATCH('Performance Calcs &amp; Print Out'!K$23,'Airfields &amp; Performance Factors'!$M$7:$M$16,0)),IF(AND(Variables!C$51="yes",J29=0,I29&gt;0),I29*INDEX('Airfields &amp; Performance Factors'!$O$7:$O$16,MATCH('Performance Calcs &amp; Print Out'!K$23,'Airfields &amp; Performance Factors'!$M$7:$M$16,0)),IF(AND(Variables!C$51="yes",J29=0,I29=0,H29&gt;0),H29*INDEX('Airfields &amp; Performance Factors'!$O$7:$O$16,MATCH('Performance Calcs &amp; Print Out'!K$23,'Airfields &amp; Performance Factors'!$M$7:$M$16,0)),IF(Variables!C$51="no",0,"ERROR"))))),"NULL")</f>
        <v>0</v>
      </c>
      <c r="L29" s="28">
        <f>IFERROR(IF(AND(Variables!C$52="yes",K29&gt;0),K29*INDEX('Airfields &amp; Performance Factors'!$O$7:$O$16,MATCH('Performance Calcs &amp; Print Out'!L$23,'Airfields &amp; Performance Factors'!$M$7:$M$16,0)),IF(AND(Variables!C$52="yes",K29=0,J29=0,I29=0,H29=0),G29*INDEX('Airfields &amp; Performance Factors'!$O$7:$O$16,MATCH('Performance Calcs &amp; Print Out'!L$23,'Airfields &amp; Performance Factors'!$M$7:$M$16,0)),IF(AND(Variables!C$52="yes",K29=0,J29&gt;0),J29*INDEX('Airfields &amp; Performance Factors'!$O$7:$O$16,MATCH('Performance Calcs &amp; Print Out'!L$23,'Airfields &amp; Performance Factors'!$M$7:$M$16,0)),IF(AND(Variables!C$52="yes",K29=0,J29=0,I29&gt;0),I29*INDEX('Airfields &amp; Performance Factors'!$O$7:$O$16,MATCH('Performance Calcs &amp; Print Out'!L$23,'Airfields &amp; Performance Factors'!$M$7:$M$16,0)),IF(AND(Variables!C$52="yes",K29=0,J29=0,I29=0,H29&gt;0),H29*INDEX('Airfields &amp; Performance Factors'!$O$7:$O$16,MATCH('Performance Calcs &amp; Print Out'!L$23,'Airfields &amp; Performance Factors'!$M$7:$M$16,0)),IF(Variables!C$52="no",0,"ERROR")))))),"NULL")</f>
        <v>0</v>
      </c>
      <c r="M29" s="28">
        <f>IFERROR(IF(AND(Variables!C$53="yes",L29&gt;0),L29*INDEX('Airfields &amp; Performance Factors'!$O$7:$O$16,MATCH('Performance Calcs &amp; Print Out'!M$23,'Airfields &amp; Performance Factors'!$M$7:$M$16,0)),IF(AND(Variables!C$53="yes",L29=0,K29=0,J29=0,I29=0,H29=0),G29*INDEX('Airfields &amp; Performance Factors'!$O$7:$O$16,MATCH('Performance Calcs &amp; Print Out'!M$23,'Airfields &amp; Performance Factors'!$M$7:$M$16,0)),IF(AND(Variables!C$53="yes",L29=0,K29&gt;0),K29*INDEX('Airfields &amp; Performance Factors'!$O$7:$O$16,MATCH('Performance Calcs &amp; Print Out'!M$23,'Airfields &amp; Performance Factors'!$M$7:$M$16,0)),IF(AND(Variables!C$53="yes",L29=0,K29=0,J29&gt;0),J29*INDEX('Airfields &amp; Performance Factors'!$O$7:$O$16,MATCH('Performance Calcs &amp; Print Out'!M$23,'Airfields &amp; Performance Factors'!$M$7:$M$16,0)),IF(AND(Variables!C$53="yes",L29=0,K29=0,J29=0,I29&gt;0),I29*INDEX('Airfields &amp; Performance Factors'!$O$7:$O$16,MATCH('Performance Calcs &amp; Print Out'!M$23,'Airfields &amp; Performance Factors'!$M$7:$M$16,0)),IF(AND(Variables!C$53="yes",L29=0,K29=0,J29=0,I29=0,H29&gt;0),H29*INDEX('Airfields &amp; Performance Factors'!$O$7:$O$16,MATCH('Performance Calcs &amp; Print Out'!M$23,'Airfields &amp; Performance Factors'!$M$7:$M$16,0)),IF(Variables!C$53="no",0,"ERROR"))))))),"NULL")</f>
        <v>0</v>
      </c>
      <c r="N29" s="26">
        <f>IFERROR(IF(AND(Variables!C$54="yes",M29&gt;0),M29*INDEX('Airfields &amp; Performance Factors'!$O$7:$O$16,MATCH('Performance Calcs &amp; Print Out'!N$23,'Airfields &amp; Performance Factors'!$M$7:$M$16,0)),IF(AND(Variables!C$54="yes",M29=0,L29=0,K29=0,J29=0,I29=0,H29=0),G29*INDEX('Airfields &amp; Performance Factors'!$O$7:$O$16,MATCH('Performance Calcs &amp; Print Out'!N$23,'Airfields &amp; Performance Factors'!$M$7:$M$16,0)),IF(AND(Variables!C$54="yes",M29=0,L29=0,K29&gt;0),K29*INDEX('Airfields &amp; Performance Factors'!$O$7:$O$16,MATCH('Performance Calcs &amp; Print Out'!N$23,'Airfields &amp; Performance Factors'!$M$7:$M$16,0)),IF(AND(Variables!C$54="yes",M29=0,L29=0,K29=0,J29&gt;0),J29*INDEX('Airfields &amp; Performance Factors'!$O$7:$O$16,MATCH('Performance Calcs &amp; Print Out'!N$23,'Airfields &amp; Performance Factors'!$M$7:$M$16,0)),IF(AND(Variables!C$54="yes",M29=0,L29=0,K29=0,J29=0,I29&gt;0),I29*INDEX('Airfields &amp; Performance Factors'!$O$7:$O$16,MATCH('Performance Calcs &amp; Print Out'!N$23,'Airfields &amp; Performance Factors'!$M$7:$M$16,0)),IF(AND(Variables!C$54="yes",M29=0,L29=0,K29=0,J29=0,I29=0,H29&gt;0),H29*INDEX('Airfields &amp; Performance Factors'!$O$7:$O$16,MATCH('Performance Calcs &amp; Print Out'!N$23,'Airfields &amp; Performance Factors'!$M$7:$M$16,0)),IF(Variables!C$54="no",0,"ERROR"))))))),"NULL")</f>
        <v>0</v>
      </c>
      <c r="O29" s="28">
        <f>IFERROR(IF(AND(Variables!C$55="yes",N29&gt;0),N29*INDEX('Airfields &amp; Performance Factors'!$O$7:$O$16,MATCH('Performance Calcs &amp; Print Out'!O$23,'Airfields &amp; Performance Factors'!$M$7:$M$16,0)),IF(AND(Variables!C$55="yes",N29=0,M29=0,L29=0,K29=0,J29=0,I29=0,H29=0),G29*INDEX('Airfields &amp; Performance Factors'!$O$7:$O$16,MATCH('Performance Calcs &amp; Print Out'!O$23,'Airfields &amp; Performance Factors'!$M$7:$M$16,0)),IF(AND(Variables!C$55="yes",N29=0,M29&gt;0),M29*INDEX('Airfields &amp; Performance Factors'!$O$7:$O$16,MATCH('Performance Calcs &amp; Print Out'!O$23,'Airfields &amp; Performance Factors'!$M$7:$M$16,0)),IF(AND(Variables!C$55="yes",N29=0,M29=0,L29&gt;0),L29*INDEX('Airfields &amp; Performance Factors'!$O$7:$O$16,MATCH('Performance Calcs &amp; Print Out'!O$23,'Airfields &amp; Performance Factors'!$M$7:$M$16,0)),IF(AND(Variables!C$55="yes",N29=0,M29=0,L29=0,K29&gt;0),K29*INDEX('Airfields &amp; Performance Factors'!$O$7:$O$16,MATCH('Performance Calcs &amp; Print Out'!O$23,'Airfields &amp; Performance Factors'!$M$7:$M$16,0)),IF(AND(Variables!C$55="yes",N29=0,M29=0,L29=0,K29=0,J29&gt;0),J29*INDEX('Airfields &amp; Performance Factors'!$O$7:$O$16,MATCH('Performance Calcs &amp; Print Out'!O$23,'Airfields &amp; Performance Factors'!$M$7:$M$16,0)),IF(AND(Variables!C$55="yes",N29=0,M29=0,L29=0,K29=0,J29=0,I29&gt;0),I29*INDEX('Airfields &amp; Performance Factors'!$O$7:$O$16,MATCH('Performance Calcs &amp; Print Out'!O$23,'Airfields &amp; Performance Factors'!$M$7:$M$16,0)),IF(AND(Variables!C$55="yes",N29=0,M29=0,L29=0,K29=0,J29=0,I29=0,H29&gt;0),H29*INDEX('Airfields &amp; Performance Factors'!$O$7:$O$16,MATCH('Performance Calcs &amp; Print Out'!O$23,'Airfields &amp; Performance Factors'!$M$7:$M$16,0)),IF(Variables!C$55="no",0,"ERROR"))))))))),"NULL")</f>
        <v>0</v>
      </c>
      <c r="P29" s="28">
        <f>IFERROR(IF(AND(Variables!C$56="yes",O29&gt;0),O29*INDEX('Airfields &amp; Performance Factors'!$O$7:$O$16,MATCH('Performance Calcs &amp; Print Out'!P$23,'Airfields &amp; Performance Factors'!$M$7:$M$16,0)),IF(AND(Variables!C$56="yes",O29=0,N29=0,L29=0,K29=0,J29=0,I29=0,H29=0),G29*INDEX('Airfields &amp; Performance Factors'!$O$7:$O$16,MATCH('Performance Calcs &amp; Print Out'!P$23,'Airfields &amp; Performance Factors'!$M$7:$M$16,0)),IF(AND(Variables!C$56="yes",O29=0,N29&gt;0),N29*INDEX('Airfields &amp; Performance Factors'!$O$7:$O$16,MATCH('Performance Calcs &amp; Print Out'!P$23,'Airfields &amp; Performance Factors'!$M$7:$M$16,0)),IF(AND(Variables!C$56="yes",O29=0,N29=0,M29&gt;0),M29*INDEX('Airfields &amp; Performance Factors'!$O$7:$O$16,MATCH('Performance Calcs &amp; Print Out'!P$23,'Airfields &amp; Performance Factors'!$M$7:$M$16,0)),IF(AND(Variables!C$56="yes",O29=0,N29=0,M29=0,L29&gt;0),L29*INDEX('Airfields &amp; Performance Factors'!$O$7:$O$16,MATCH('Performance Calcs &amp; Print Out'!P$23,'Airfields &amp; Performance Factors'!$M$7:$M$16,0)),IF(AND(Variables!C$56="yes",O29=0,N29=0,M29=0,L29=0,K29&gt;0),K29*INDEX('Airfields &amp; Performance Factors'!$O$7:$O$16,MATCH('Performance Calcs &amp; Print Out'!P$23,'Airfields &amp; Performance Factors'!$M$7:$M$16,0)),IF(AND(Variables!C$56="yes",O29=0,N29=0,M29=0,L29=0,K29=0,J29&gt;0),J29*INDEX('Airfields &amp; Performance Factors'!$O$7:$O$16,MATCH('Performance Calcs &amp; Print Out'!P$23,'Airfields &amp; Performance Factors'!$M$7:$M$16,0)),IF(AND(Variables!C$56="yes",O29=0,N29=0,M29=0,L29=0,K29=0,J29=0,I29&gt;0),I29*INDEX('Airfields &amp; Performance Factors'!$O$7:$O$16,MATCH('Performance Calcs &amp; Print Out'!P$23,'Airfields &amp; Performance Factors'!$M$7:$M$16,0)),IF(AND(Variables!C$56="yes",O29=0,N29=0,M29=0,L29=0,K29=0,J29=0,I29=0,H29&gt;0),H29*INDEX('Airfields &amp; Performance Factors'!$O$7:$O$16,MATCH('Performance Calcs &amp; Print Out'!P$23,'Airfields &amp; Performance Factors'!$M$7:$M$16,0)),IF(Variables!C$56="no",0,"ERROR")))))))))),"NULL")</f>
        <v>0</v>
      </c>
      <c r="Q29" s="28" t="str">
        <f>IFERROR(IF(P29&gt;0,P29*INDEX('Airfields &amp; Performance Factors'!$O$7:$O$16,MATCH('Performance Calcs &amp; Print Out'!Q$23,'Airfields &amp; Performance Factors'!$M$7:$M$16,0)),IF(O29&gt;0,O29*INDEX('Airfields &amp; Performance Factors'!$O$7:$O$16,MATCH('Performance Calcs &amp; Print Out'!Q$23,'Airfields &amp; Performance Factors'!$M$7:$M$16,0)),IF(N29&gt;0,N29*INDEX('Airfields &amp; Performance Factors'!$O$7:$O$16,MATCH('Performance Calcs &amp; Print Out'!Q$23,'Airfields &amp; Performance Factors'!$M$7:$M$16,0)),IF(M29&gt;0,M29*INDEX('Airfields &amp; Performance Factors'!$O$7:$O$16,MATCH('Performance Calcs &amp; Print Out'!Q$23,'Airfields &amp; Performance Factors'!$M$7:$M$16,0)),IF(L29&gt;0,L29*INDEX('Airfields &amp; Performance Factors'!$O$7:$O$16,MATCH('Performance Calcs &amp; Print Out'!Q$23,'Airfields &amp; Performance Factors'!$M$7:$M$16,0)),IF(K29&gt;0,K29*INDEX('Airfields &amp; Performance Factors'!$O$7:$O$16,MATCH('Performance Calcs &amp; Print Out'!Q$23,'Airfields &amp; Performance Factors'!$M$7:$M$16,0)),IF(J29&gt;0,J29*INDEX('Airfields &amp; Performance Factors'!$O$7:$O$16,MATCH('Performance Calcs &amp; Print Out'!Q$23,'Airfields &amp; Performance Factors'!$M$7:$M$16,0)),IF(I29&gt;0,I29*INDEX('Airfields &amp; Performance Factors'!$O$7:$O$16,MATCH('Performance Calcs &amp; Print Out'!Q$23,'Airfields &amp; Performance Factors'!$M$7:$M$16,0)),IF(H29&gt;0,H29*INDEX('Airfields &amp; Performance Factors'!$O$7:$O$16,MATCH('Performance Calcs &amp; Print Out'!Q$23,'Airfields &amp; Performance Factors'!$M$7:$M$16,0)),IF(G29&gt;0,G29*INDEX('Airfields &amp; Performance Factors'!$O$7:$O$16,MATCH('Performance Calcs &amp; Print Out'!Q$23,'Airfields &amp; Performance Factors'!$M$7:$M$16,0)),"ERROR")))))))))),"NULL")</f>
        <v>ERROR</v>
      </c>
      <c r="R29" s="27" t="str">
        <f t="shared" si="2"/>
        <v>-</v>
      </c>
    </row>
    <row r="30" spans="1:18" s="9" customFormat="1" x14ac:dyDescent="0.25">
      <c r="A30" s="30"/>
      <c r="B30" s="42">
        <f t="array" ref="B30">IFERROR(INDEX('Airfields &amp; Performance Factors'!C:C,SMALL(IF('Airfields &amp; Performance Factors'!$B:$B=$C$21,ROW('Airfields &amp; Performance Factors'!$B:$B)),ROW('Airfields &amp; Performance Factors'!7:7))),"-")</f>
        <v>0</v>
      </c>
      <c r="C30" s="42">
        <f t="array" ref="C30">IFERROR(INDEX('Airfields &amp; Performance Factors'!D:D,SMALL(IF('Airfields &amp; Performance Factors'!$B:$B=$C$21,ROW('Airfields &amp; Performance Factors'!$B:$B)),ROW('Airfields &amp; Performance Factors'!7:7))),"-")</f>
        <v>0</v>
      </c>
      <c r="D30" s="42">
        <f t="array" ref="D30">IFERROR(INDEX('Airfields &amp; Performance Factors'!E:E,SMALL(IF('Airfields &amp; Performance Factors'!$B:$B=$C$21,ROW('Airfields &amp; Performance Factors'!$B:$B)),ROW('Airfields &amp; Performance Factors'!7:7))),"-")</f>
        <v>0</v>
      </c>
      <c r="E30" s="42">
        <f t="array" ref="E30">IFERROR(INDEX('Airfields &amp; Performance Factors'!F:F,SMALL(IF('Airfields &amp; Performance Factors'!$B:$B=$C$21,ROW('Airfields &amp; Performance Factors'!$B:$B)),ROW('Airfields &amp; Performance Factors'!7:7))),"-")</f>
        <v>0</v>
      </c>
      <c r="G30" s="28">
        <f>IFERROR(Variables!$C$34,"NULL")</f>
        <v>0</v>
      </c>
      <c r="H30" s="28">
        <f>IFERROR(IF(Variables!C$48="yes",G30*INDEX('Airfields &amp; Performance Factors'!$O$7:$O$16,MATCH('Performance Calcs &amp; Print Out'!H$23,'Airfields &amp; Performance Factors'!$M$7:$M$16,0)),0),"NULL")</f>
        <v>0</v>
      </c>
      <c r="I30" s="28">
        <f>IFERROR(IF(AND(Variables!C$49="yes",H30&gt;0),H30*INDEX('Airfields &amp; Performance Factors'!$O$7:$O$16,MATCH('Performance Calcs &amp; Print Out'!I$23,'Airfields &amp; Performance Factors'!$M$7:$M$16,0)),IF(Variables!C$49="no",0,G30*INDEX('Airfields &amp; Performance Factors'!$O$7:$O$16,MATCH('Performance Calcs &amp; Print Out'!I$23,'Airfields &amp; Performance Factors'!$M$7:$M$16,0)))),"NULL")</f>
        <v>0</v>
      </c>
      <c r="J30" s="28">
        <f>IFERROR(IF(AND(Variables!C$50="yes",I30&gt;0),I30*INDEX('Airfields &amp; Performance Factors'!$O$7:$O$16,MATCH('Performance Calcs &amp; Print Out'!J$23,'Airfields &amp; Performance Factors'!$M$7:$M$16,0)),IF(AND(Variables!C$50="yes",I30=0,H30=0),G30*INDEX('Airfields &amp; Performance Factors'!$O$7:$O$16,MATCH('Performance Calcs &amp; Print Out'!J$23,'Airfields &amp; Performance Factors'!$M$7:$M$16,0)),IF(AND(Variables!C$50="yes",I30=0,H30&gt;0),H30*INDEX('Airfields &amp; Performance Factors'!$O$7:$O$16,MATCH('Performance Calcs &amp; Print Out'!J$23,'Airfields &amp; Performance Factors'!$M$7:$M$16,0)),IF(Variables!C$50="no",0,"ERROR")))),"NULL")</f>
        <v>0</v>
      </c>
      <c r="K30" s="28">
        <f>IFERROR(IF(AND(Variables!C$51="yes",J30&gt;0),J30*INDEX('Airfields &amp; Performance Factors'!$O$7:$O$16,MATCH('Performance Calcs &amp; Print Out'!K$23,'Airfields &amp; Performance Factors'!$M$7:$M$16,0)),IF(AND(Variables!C$51="yes",J30=0,I30=0,H30=0),G30*INDEX('Airfields &amp; Performance Factors'!$O$7:$O$16,MATCH('Performance Calcs &amp; Print Out'!K$23,'Airfields &amp; Performance Factors'!$M$7:$M$16,0)),IF(AND(Variables!C$51="yes",J30=0,I30&gt;0),I30*INDEX('Airfields &amp; Performance Factors'!$O$7:$O$16,MATCH('Performance Calcs &amp; Print Out'!K$23,'Airfields &amp; Performance Factors'!$M$7:$M$16,0)),IF(AND(Variables!C$51="yes",J30=0,I30=0,H30&gt;0),H30*INDEX('Airfields &amp; Performance Factors'!$O$7:$O$16,MATCH('Performance Calcs &amp; Print Out'!K$23,'Airfields &amp; Performance Factors'!$M$7:$M$16,0)),IF(Variables!C$51="no",0,"ERROR"))))),"NULL")</f>
        <v>0</v>
      </c>
      <c r="L30" s="28">
        <f>IFERROR(IF(AND(Variables!C$52="yes",K30&gt;0),K30*INDEX('Airfields &amp; Performance Factors'!$O$7:$O$16,MATCH('Performance Calcs &amp; Print Out'!L$23,'Airfields &amp; Performance Factors'!$M$7:$M$16,0)),IF(AND(Variables!C$52="yes",K30=0,J30=0,I30=0,H30=0),G30*INDEX('Airfields &amp; Performance Factors'!$O$7:$O$16,MATCH('Performance Calcs &amp; Print Out'!L$23,'Airfields &amp; Performance Factors'!$M$7:$M$16,0)),IF(AND(Variables!C$52="yes",K30=0,J30&gt;0),J30*INDEX('Airfields &amp; Performance Factors'!$O$7:$O$16,MATCH('Performance Calcs &amp; Print Out'!L$23,'Airfields &amp; Performance Factors'!$M$7:$M$16,0)),IF(AND(Variables!C$52="yes",K30=0,J30=0,I30&gt;0),I30*INDEX('Airfields &amp; Performance Factors'!$O$7:$O$16,MATCH('Performance Calcs &amp; Print Out'!L$23,'Airfields &amp; Performance Factors'!$M$7:$M$16,0)),IF(AND(Variables!C$52="yes",K30=0,J30=0,I30=0,H30&gt;0),H30*INDEX('Airfields &amp; Performance Factors'!$O$7:$O$16,MATCH('Performance Calcs &amp; Print Out'!L$23,'Airfields &amp; Performance Factors'!$M$7:$M$16,0)),IF(Variables!C$52="no",0,"ERROR")))))),"NULL")</f>
        <v>0</v>
      </c>
      <c r="M30" s="28">
        <f>IFERROR(IF(AND(Variables!C$53="yes",L30&gt;0),L30*INDEX('Airfields &amp; Performance Factors'!$O$7:$O$16,MATCH('Performance Calcs &amp; Print Out'!M$23,'Airfields &amp; Performance Factors'!$M$7:$M$16,0)),IF(AND(Variables!C$53="yes",L30=0,K30=0,J30=0,I30=0,H30=0),G30*INDEX('Airfields &amp; Performance Factors'!$O$7:$O$16,MATCH('Performance Calcs &amp; Print Out'!M$23,'Airfields &amp; Performance Factors'!$M$7:$M$16,0)),IF(AND(Variables!C$53="yes",L30=0,K30&gt;0),K30*INDEX('Airfields &amp; Performance Factors'!$O$7:$O$16,MATCH('Performance Calcs &amp; Print Out'!M$23,'Airfields &amp; Performance Factors'!$M$7:$M$16,0)),IF(AND(Variables!C$53="yes",L30=0,K30=0,J30&gt;0),J30*INDEX('Airfields &amp; Performance Factors'!$O$7:$O$16,MATCH('Performance Calcs &amp; Print Out'!M$23,'Airfields &amp; Performance Factors'!$M$7:$M$16,0)),IF(AND(Variables!C$53="yes",L30=0,K30=0,J30=0,I30&gt;0),I30*INDEX('Airfields &amp; Performance Factors'!$O$7:$O$16,MATCH('Performance Calcs &amp; Print Out'!M$23,'Airfields &amp; Performance Factors'!$M$7:$M$16,0)),IF(AND(Variables!C$53="yes",L30=0,K30=0,J30=0,I30=0,H30&gt;0),H30*INDEX('Airfields &amp; Performance Factors'!$O$7:$O$16,MATCH('Performance Calcs &amp; Print Out'!M$23,'Airfields &amp; Performance Factors'!$M$7:$M$16,0)),IF(Variables!C$53="no",0,"ERROR"))))))),"NULL")</f>
        <v>0</v>
      </c>
      <c r="N30" s="26">
        <f>IFERROR(IF(AND(Variables!C$54="yes",M30&gt;0),M30*INDEX('Airfields &amp; Performance Factors'!$O$7:$O$16,MATCH('Performance Calcs &amp; Print Out'!N$23,'Airfields &amp; Performance Factors'!$M$7:$M$16,0)),IF(AND(Variables!C$54="yes",M30=0,L30=0,K30=0,J30=0,I30=0,H30=0),G30*INDEX('Airfields &amp; Performance Factors'!$O$7:$O$16,MATCH('Performance Calcs &amp; Print Out'!N$23,'Airfields &amp; Performance Factors'!$M$7:$M$16,0)),IF(AND(Variables!C$54="yes",M30=0,L30=0,K30&gt;0),K30*INDEX('Airfields &amp; Performance Factors'!$O$7:$O$16,MATCH('Performance Calcs &amp; Print Out'!N$23,'Airfields &amp; Performance Factors'!$M$7:$M$16,0)),IF(AND(Variables!C$54="yes",M30=0,L30=0,K30=0,J30&gt;0),J30*INDEX('Airfields &amp; Performance Factors'!$O$7:$O$16,MATCH('Performance Calcs &amp; Print Out'!N$23,'Airfields &amp; Performance Factors'!$M$7:$M$16,0)),IF(AND(Variables!C$54="yes",M30=0,L30=0,K30=0,J30=0,I30&gt;0),I30*INDEX('Airfields &amp; Performance Factors'!$O$7:$O$16,MATCH('Performance Calcs &amp; Print Out'!N$23,'Airfields &amp; Performance Factors'!$M$7:$M$16,0)),IF(AND(Variables!C$54="yes",M30=0,L30=0,K30=0,J30=0,I30=0,H30&gt;0),H30*INDEX('Airfields &amp; Performance Factors'!$O$7:$O$16,MATCH('Performance Calcs &amp; Print Out'!N$23,'Airfields &amp; Performance Factors'!$M$7:$M$16,0)),IF(Variables!C$54="no",0,"ERROR"))))))),"NULL")</f>
        <v>0</v>
      </c>
      <c r="O30" s="28">
        <f>IFERROR(IF(AND(Variables!C$55="yes",N30&gt;0),N30*INDEX('Airfields &amp; Performance Factors'!$O$7:$O$16,MATCH('Performance Calcs &amp; Print Out'!O$23,'Airfields &amp; Performance Factors'!$M$7:$M$16,0)),IF(AND(Variables!C$55="yes",N30=0,M30=0,L30=0,K30=0,J30=0,I30=0,H30=0),G30*INDEX('Airfields &amp; Performance Factors'!$O$7:$O$16,MATCH('Performance Calcs &amp; Print Out'!O$23,'Airfields &amp; Performance Factors'!$M$7:$M$16,0)),IF(AND(Variables!C$55="yes",N30=0,M30&gt;0),M30*INDEX('Airfields &amp; Performance Factors'!$O$7:$O$16,MATCH('Performance Calcs &amp; Print Out'!O$23,'Airfields &amp; Performance Factors'!$M$7:$M$16,0)),IF(AND(Variables!C$55="yes",N30=0,M30=0,L30&gt;0),L30*INDEX('Airfields &amp; Performance Factors'!$O$7:$O$16,MATCH('Performance Calcs &amp; Print Out'!O$23,'Airfields &amp; Performance Factors'!$M$7:$M$16,0)),IF(AND(Variables!C$55="yes",N30=0,M30=0,L30=0,K30&gt;0),K30*INDEX('Airfields &amp; Performance Factors'!$O$7:$O$16,MATCH('Performance Calcs &amp; Print Out'!O$23,'Airfields &amp; Performance Factors'!$M$7:$M$16,0)),IF(AND(Variables!C$55="yes",N30=0,M30=0,L30=0,K30=0,J30&gt;0),J30*INDEX('Airfields &amp; Performance Factors'!$O$7:$O$16,MATCH('Performance Calcs &amp; Print Out'!O$23,'Airfields &amp; Performance Factors'!$M$7:$M$16,0)),IF(AND(Variables!C$55="yes",N30=0,M30=0,L30=0,K30=0,J30=0,I30&gt;0),I30*INDEX('Airfields &amp; Performance Factors'!$O$7:$O$16,MATCH('Performance Calcs &amp; Print Out'!O$23,'Airfields &amp; Performance Factors'!$M$7:$M$16,0)),IF(AND(Variables!C$55="yes",N30=0,M30=0,L30=0,K30=0,J30=0,I30=0,H30&gt;0),H30*INDEX('Airfields &amp; Performance Factors'!$O$7:$O$16,MATCH('Performance Calcs &amp; Print Out'!O$23,'Airfields &amp; Performance Factors'!$M$7:$M$16,0)),IF(Variables!C$55="no",0,"ERROR"))))))))),"NULL")</f>
        <v>0</v>
      </c>
      <c r="P30" s="28">
        <f>IFERROR(IF(AND(Variables!C$56="yes",O30&gt;0),O30*INDEX('Airfields &amp; Performance Factors'!$O$7:$O$16,MATCH('Performance Calcs &amp; Print Out'!P$23,'Airfields &amp; Performance Factors'!$M$7:$M$16,0)),IF(AND(Variables!C$56="yes",O30=0,N30=0,L30=0,K30=0,J30=0,I30=0,H30=0),G30*INDEX('Airfields &amp; Performance Factors'!$O$7:$O$16,MATCH('Performance Calcs &amp; Print Out'!P$23,'Airfields &amp; Performance Factors'!$M$7:$M$16,0)),IF(AND(Variables!C$56="yes",O30=0,N30&gt;0),N30*INDEX('Airfields &amp; Performance Factors'!$O$7:$O$16,MATCH('Performance Calcs &amp; Print Out'!P$23,'Airfields &amp; Performance Factors'!$M$7:$M$16,0)),IF(AND(Variables!C$56="yes",O30=0,N30=0,M30&gt;0),M30*INDEX('Airfields &amp; Performance Factors'!$O$7:$O$16,MATCH('Performance Calcs &amp; Print Out'!P$23,'Airfields &amp; Performance Factors'!$M$7:$M$16,0)),IF(AND(Variables!C$56="yes",O30=0,N30=0,M30=0,L30&gt;0),L30*INDEX('Airfields &amp; Performance Factors'!$O$7:$O$16,MATCH('Performance Calcs &amp; Print Out'!P$23,'Airfields &amp; Performance Factors'!$M$7:$M$16,0)),IF(AND(Variables!C$56="yes",O30=0,N30=0,M30=0,L30=0,K30&gt;0),K30*INDEX('Airfields &amp; Performance Factors'!$O$7:$O$16,MATCH('Performance Calcs &amp; Print Out'!P$23,'Airfields &amp; Performance Factors'!$M$7:$M$16,0)),IF(AND(Variables!C$56="yes",O30=0,N30=0,M30=0,L30=0,K30=0,J30&gt;0),J30*INDEX('Airfields &amp; Performance Factors'!$O$7:$O$16,MATCH('Performance Calcs &amp; Print Out'!P$23,'Airfields &amp; Performance Factors'!$M$7:$M$16,0)),IF(AND(Variables!C$56="yes",O30=0,N30=0,M30=0,L30=0,K30=0,J30=0,I30&gt;0),I30*INDEX('Airfields &amp; Performance Factors'!$O$7:$O$16,MATCH('Performance Calcs &amp; Print Out'!P$23,'Airfields &amp; Performance Factors'!$M$7:$M$16,0)),IF(AND(Variables!C$56="yes",O30=0,N30=0,M30=0,L30=0,K30=0,J30=0,I30=0,H30&gt;0),H30*INDEX('Airfields &amp; Performance Factors'!$O$7:$O$16,MATCH('Performance Calcs &amp; Print Out'!P$23,'Airfields &amp; Performance Factors'!$M$7:$M$16,0)),IF(Variables!C$56="no",0,"ERROR")))))))))),"NULL")</f>
        <v>0</v>
      </c>
      <c r="Q30" s="28" t="str">
        <f>IFERROR(IF(P30&gt;0,P30*INDEX('Airfields &amp; Performance Factors'!$O$7:$O$16,MATCH('Performance Calcs &amp; Print Out'!Q$23,'Airfields &amp; Performance Factors'!$M$7:$M$16,0)),IF(O30&gt;0,O30*INDEX('Airfields &amp; Performance Factors'!$O$7:$O$16,MATCH('Performance Calcs &amp; Print Out'!Q$23,'Airfields &amp; Performance Factors'!$M$7:$M$16,0)),IF(N30&gt;0,N30*INDEX('Airfields &amp; Performance Factors'!$O$7:$O$16,MATCH('Performance Calcs &amp; Print Out'!Q$23,'Airfields &amp; Performance Factors'!$M$7:$M$16,0)),IF(M30&gt;0,M30*INDEX('Airfields &amp; Performance Factors'!$O$7:$O$16,MATCH('Performance Calcs &amp; Print Out'!Q$23,'Airfields &amp; Performance Factors'!$M$7:$M$16,0)),IF(L30&gt;0,L30*INDEX('Airfields &amp; Performance Factors'!$O$7:$O$16,MATCH('Performance Calcs &amp; Print Out'!Q$23,'Airfields &amp; Performance Factors'!$M$7:$M$16,0)),IF(K30&gt;0,K30*INDEX('Airfields &amp; Performance Factors'!$O$7:$O$16,MATCH('Performance Calcs &amp; Print Out'!Q$23,'Airfields &amp; Performance Factors'!$M$7:$M$16,0)),IF(J30&gt;0,J30*INDEX('Airfields &amp; Performance Factors'!$O$7:$O$16,MATCH('Performance Calcs &amp; Print Out'!Q$23,'Airfields &amp; Performance Factors'!$M$7:$M$16,0)),IF(I30&gt;0,I30*INDEX('Airfields &amp; Performance Factors'!$O$7:$O$16,MATCH('Performance Calcs &amp; Print Out'!Q$23,'Airfields &amp; Performance Factors'!$M$7:$M$16,0)),IF(H30&gt;0,H30*INDEX('Airfields &amp; Performance Factors'!$O$7:$O$16,MATCH('Performance Calcs &amp; Print Out'!Q$23,'Airfields &amp; Performance Factors'!$M$7:$M$16,0)),IF(G30&gt;0,G30*INDEX('Airfields &amp; Performance Factors'!$O$7:$O$16,MATCH('Performance Calcs &amp; Print Out'!Q$23,'Airfields &amp; Performance Factors'!$M$7:$M$16,0)),"ERROR")))))))))),"NULL")</f>
        <v>ERROR</v>
      </c>
      <c r="R30" s="27" t="str">
        <f t="shared" si="2"/>
        <v>-</v>
      </c>
    </row>
    <row r="31" spans="1:18" s="9" customFormat="1" x14ac:dyDescent="0.25">
      <c r="A31" s="30"/>
      <c r="B31" s="42">
        <f t="array" ref="B31">IFERROR(INDEX('Airfields &amp; Performance Factors'!C:C,SMALL(IF('Airfields &amp; Performance Factors'!$B:$B=$C$21,ROW('Airfields &amp; Performance Factors'!$B:$B)),ROW('Airfields &amp; Performance Factors'!8:8))),"-")</f>
        <v>0</v>
      </c>
      <c r="C31" s="42">
        <f t="array" ref="C31">IFERROR(INDEX('Airfields &amp; Performance Factors'!D:D,SMALL(IF('Airfields &amp; Performance Factors'!$B:$B=$C$21,ROW('Airfields &amp; Performance Factors'!$B:$B)),ROW('Airfields &amp; Performance Factors'!8:8))),"-")</f>
        <v>0</v>
      </c>
      <c r="D31" s="42">
        <f t="array" ref="D31">IFERROR(INDEX('Airfields &amp; Performance Factors'!E:E,SMALL(IF('Airfields &amp; Performance Factors'!$B:$B=$C$21,ROW('Airfields &amp; Performance Factors'!$B:$B)),ROW('Airfields &amp; Performance Factors'!8:8))),"-")</f>
        <v>0</v>
      </c>
      <c r="E31" s="42">
        <f t="array" ref="E31">IFERROR(INDEX('Airfields &amp; Performance Factors'!F:F,SMALL(IF('Airfields &amp; Performance Factors'!$B:$B=$C$21,ROW('Airfields &amp; Performance Factors'!$B:$B)),ROW('Airfields &amp; Performance Factors'!8:8))),"-")</f>
        <v>0</v>
      </c>
      <c r="G31" s="28">
        <f>IFERROR(Variables!$C$34,"NULL")</f>
        <v>0</v>
      </c>
      <c r="H31" s="28">
        <f>IFERROR(IF(Variables!C$48="yes",G31*INDEX('Airfields &amp; Performance Factors'!$O$7:$O$16,MATCH('Performance Calcs &amp; Print Out'!H$23,'Airfields &amp; Performance Factors'!$M$7:$M$16,0)),0),"NULL")</f>
        <v>0</v>
      </c>
      <c r="I31" s="28">
        <f>IFERROR(IF(AND(Variables!C$49="yes",H31&gt;0),H31*INDEX('Airfields &amp; Performance Factors'!$O$7:$O$16,MATCH('Performance Calcs &amp; Print Out'!I$23,'Airfields &amp; Performance Factors'!$M$7:$M$16,0)),IF(Variables!C$49="no",0,G31*INDEX('Airfields &amp; Performance Factors'!$O$7:$O$16,MATCH('Performance Calcs &amp; Print Out'!I$23,'Airfields &amp; Performance Factors'!$M$7:$M$16,0)))),"NULL")</f>
        <v>0</v>
      </c>
      <c r="J31" s="28">
        <f>IFERROR(IF(AND(Variables!C$50="yes",I31&gt;0),I31*INDEX('Airfields &amp; Performance Factors'!$O$7:$O$16,MATCH('Performance Calcs &amp; Print Out'!J$23,'Airfields &amp; Performance Factors'!$M$7:$M$16,0)),IF(AND(Variables!C$50="yes",I31=0,H31=0),G31*INDEX('Airfields &amp; Performance Factors'!$O$7:$O$16,MATCH('Performance Calcs &amp; Print Out'!J$23,'Airfields &amp; Performance Factors'!$M$7:$M$16,0)),IF(AND(Variables!C$50="yes",I31=0,H31&gt;0),H31*INDEX('Airfields &amp; Performance Factors'!$O$7:$O$16,MATCH('Performance Calcs &amp; Print Out'!J$23,'Airfields &amp; Performance Factors'!$M$7:$M$16,0)),IF(Variables!C$50="no",0,"ERROR")))),"NULL")</f>
        <v>0</v>
      </c>
      <c r="K31" s="28">
        <f>IFERROR(IF(AND(Variables!C$51="yes",J31&gt;0),J31*INDEX('Airfields &amp; Performance Factors'!$O$7:$O$16,MATCH('Performance Calcs &amp; Print Out'!K$23,'Airfields &amp; Performance Factors'!$M$7:$M$16,0)),IF(AND(Variables!C$51="yes",J31=0,I31=0,H31=0),G31*INDEX('Airfields &amp; Performance Factors'!$O$7:$O$16,MATCH('Performance Calcs &amp; Print Out'!K$23,'Airfields &amp; Performance Factors'!$M$7:$M$16,0)),IF(AND(Variables!C$51="yes",J31=0,I31&gt;0),I31*INDEX('Airfields &amp; Performance Factors'!$O$7:$O$16,MATCH('Performance Calcs &amp; Print Out'!K$23,'Airfields &amp; Performance Factors'!$M$7:$M$16,0)),IF(AND(Variables!C$51="yes",J31=0,I31=0,H31&gt;0),H31*INDEX('Airfields &amp; Performance Factors'!$O$7:$O$16,MATCH('Performance Calcs &amp; Print Out'!K$23,'Airfields &amp; Performance Factors'!$M$7:$M$16,0)),IF(Variables!C$51="no",0,"ERROR"))))),"NULL")</f>
        <v>0</v>
      </c>
      <c r="L31" s="28">
        <f>IFERROR(IF(AND(Variables!C$52="yes",K31&gt;0),K31*INDEX('Airfields &amp; Performance Factors'!$O$7:$O$16,MATCH('Performance Calcs &amp; Print Out'!L$23,'Airfields &amp; Performance Factors'!$M$7:$M$16,0)),IF(AND(Variables!C$52="yes",K31=0,J31=0,I31=0,H31=0),G31*INDEX('Airfields &amp; Performance Factors'!$O$7:$O$16,MATCH('Performance Calcs &amp; Print Out'!L$23,'Airfields &amp; Performance Factors'!$M$7:$M$16,0)),IF(AND(Variables!C$52="yes",K31=0,J31&gt;0),J31*INDEX('Airfields &amp; Performance Factors'!$O$7:$O$16,MATCH('Performance Calcs &amp; Print Out'!L$23,'Airfields &amp; Performance Factors'!$M$7:$M$16,0)),IF(AND(Variables!C$52="yes",K31=0,J31=0,I31&gt;0),I31*INDEX('Airfields &amp; Performance Factors'!$O$7:$O$16,MATCH('Performance Calcs &amp; Print Out'!L$23,'Airfields &amp; Performance Factors'!$M$7:$M$16,0)),IF(AND(Variables!C$52="yes",K31=0,J31=0,I31=0,H31&gt;0),H31*INDEX('Airfields &amp; Performance Factors'!$O$7:$O$16,MATCH('Performance Calcs &amp; Print Out'!L$23,'Airfields &amp; Performance Factors'!$M$7:$M$16,0)),IF(Variables!C$52="no",0,"ERROR")))))),"NULL")</f>
        <v>0</v>
      </c>
      <c r="M31" s="28">
        <f>IFERROR(IF(AND(Variables!C$53="yes",L31&gt;0),L31*INDEX('Airfields &amp; Performance Factors'!$O$7:$O$16,MATCH('Performance Calcs &amp; Print Out'!M$23,'Airfields &amp; Performance Factors'!$M$7:$M$16,0)),IF(AND(Variables!C$53="yes",L31=0,K31=0,J31=0,I31=0,H31=0),G31*INDEX('Airfields &amp; Performance Factors'!$O$7:$O$16,MATCH('Performance Calcs &amp; Print Out'!M$23,'Airfields &amp; Performance Factors'!$M$7:$M$16,0)),IF(AND(Variables!C$53="yes",L31=0,K31&gt;0),K31*INDEX('Airfields &amp; Performance Factors'!$O$7:$O$16,MATCH('Performance Calcs &amp; Print Out'!M$23,'Airfields &amp; Performance Factors'!$M$7:$M$16,0)),IF(AND(Variables!C$53="yes",L31=0,K31=0,J31&gt;0),J31*INDEX('Airfields &amp; Performance Factors'!$O$7:$O$16,MATCH('Performance Calcs &amp; Print Out'!M$23,'Airfields &amp; Performance Factors'!$M$7:$M$16,0)),IF(AND(Variables!C$53="yes",L31=0,K31=0,J31=0,I31&gt;0),I31*INDEX('Airfields &amp; Performance Factors'!$O$7:$O$16,MATCH('Performance Calcs &amp; Print Out'!M$23,'Airfields &amp; Performance Factors'!$M$7:$M$16,0)),IF(AND(Variables!C$53="yes",L31=0,K31=0,J31=0,I31=0,H31&gt;0),H31*INDEX('Airfields &amp; Performance Factors'!$O$7:$O$16,MATCH('Performance Calcs &amp; Print Out'!M$23,'Airfields &amp; Performance Factors'!$M$7:$M$16,0)),IF(Variables!C$53="no",0,"ERROR"))))))),"NULL")</f>
        <v>0</v>
      </c>
      <c r="N31" s="26">
        <f>IFERROR(IF(AND(Variables!C$54="yes",M31&gt;0),M31*INDEX('Airfields &amp; Performance Factors'!$O$7:$O$16,MATCH('Performance Calcs &amp; Print Out'!N$23,'Airfields &amp; Performance Factors'!$M$7:$M$16,0)),IF(AND(Variables!C$54="yes",M31=0,L31=0,K31=0,J31=0,I31=0,H31=0),G31*INDEX('Airfields &amp; Performance Factors'!$O$7:$O$16,MATCH('Performance Calcs &amp; Print Out'!N$23,'Airfields &amp; Performance Factors'!$M$7:$M$16,0)),IF(AND(Variables!C$54="yes",M31=0,L31=0,K31&gt;0),K31*INDEX('Airfields &amp; Performance Factors'!$O$7:$O$16,MATCH('Performance Calcs &amp; Print Out'!N$23,'Airfields &amp; Performance Factors'!$M$7:$M$16,0)),IF(AND(Variables!C$54="yes",M31=0,L31=0,K31=0,J31&gt;0),J31*INDEX('Airfields &amp; Performance Factors'!$O$7:$O$16,MATCH('Performance Calcs &amp; Print Out'!N$23,'Airfields &amp; Performance Factors'!$M$7:$M$16,0)),IF(AND(Variables!C$54="yes",M31=0,L31=0,K31=0,J31=0,I31&gt;0),I31*INDEX('Airfields &amp; Performance Factors'!$O$7:$O$16,MATCH('Performance Calcs &amp; Print Out'!N$23,'Airfields &amp; Performance Factors'!$M$7:$M$16,0)),IF(AND(Variables!C$54="yes",M31=0,L31=0,K31=0,J31=0,I31=0,H31&gt;0),H31*INDEX('Airfields &amp; Performance Factors'!$O$7:$O$16,MATCH('Performance Calcs &amp; Print Out'!N$23,'Airfields &amp; Performance Factors'!$M$7:$M$16,0)),IF(Variables!C$54="no",0,"ERROR"))))))),"NULL")</f>
        <v>0</v>
      </c>
      <c r="O31" s="28">
        <f>IFERROR(IF(AND(Variables!C$55="yes",N31&gt;0),N31*INDEX('Airfields &amp; Performance Factors'!$O$7:$O$16,MATCH('Performance Calcs &amp; Print Out'!O$23,'Airfields &amp; Performance Factors'!$M$7:$M$16,0)),IF(AND(Variables!C$55="yes",N31=0,M31=0,L31=0,K31=0,J31=0,I31=0,H31=0),G31*INDEX('Airfields &amp; Performance Factors'!$O$7:$O$16,MATCH('Performance Calcs &amp; Print Out'!O$23,'Airfields &amp; Performance Factors'!$M$7:$M$16,0)),IF(AND(Variables!C$55="yes",N31=0,M31&gt;0),M31*INDEX('Airfields &amp; Performance Factors'!$O$7:$O$16,MATCH('Performance Calcs &amp; Print Out'!O$23,'Airfields &amp; Performance Factors'!$M$7:$M$16,0)),IF(AND(Variables!C$55="yes",N31=0,M31=0,L31&gt;0),L31*INDEX('Airfields &amp; Performance Factors'!$O$7:$O$16,MATCH('Performance Calcs &amp; Print Out'!O$23,'Airfields &amp; Performance Factors'!$M$7:$M$16,0)),IF(AND(Variables!C$55="yes",N31=0,M31=0,L31=0,K31&gt;0),K31*INDEX('Airfields &amp; Performance Factors'!$O$7:$O$16,MATCH('Performance Calcs &amp; Print Out'!O$23,'Airfields &amp; Performance Factors'!$M$7:$M$16,0)),IF(AND(Variables!C$55="yes",N31=0,M31=0,L31=0,K31=0,J31&gt;0),J31*INDEX('Airfields &amp; Performance Factors'!$O$7:$O$16,MATCH('Performance Calcs &amp; Print Out'!O$23,'Airfields &amp; Performance Factors'!$M$7:$M$16,0)),IF(AND(Variables!C$55="yes",N31=0,M31=0,L31=0,K31=0,J31=0,I31&gt;0),I31*INDEX('Airfields &amp; Performance Factors'!$O$7:$O$16,MATCH('Performance Calcs &amp; Print Out'!O$23,'Airfields &amp; Performance Factors'!$M$7:$M$16,0)),IF(AND(Variables!C$55="yes",N31=0,M31=0,L31=0,K31=0,J31=0,I31=0,H31&gt;0),H31*INDEX('Airfields &amp; Performance Factors'!$O$7:$O$16,MATCH('Performance Calcs &amp; Print Out'!O$23,'Airfields &amp; Performance Factors'!$M$7:$M$16,0)),IF(Variables!C$55="no",0,"ERROR"))))))))),"NULL")</f>
        <v>0</v>
      </c>
      <c r="P31" s="28">
        <f>IFERROR(IF(AND(Variables!C$56="yes",O31&gt;0),O31*INDEX('Airfields &amp; Performance Factors'!$O$7:$O$16,MATCH('Performance Calcs &amp; Print Out'!P$23,'Airfields &amp; Performance Factors'!$M$7:$M$16,0)),IF(AND(Variables!C$56="yes",O31=0,N31=0,L31=0,K31=0,J31=0,I31=0,H31=0),G31*INDEX('Airfields &amp; Performance Factors'!$O$7:$O$16,MATCH('Performance Calcs &amp; Print Out'!P$23,'Airfields &amp; Performance Factors'!$M$7:$M$16,0)),IF(AND(Variables!C$56="yes",O31=0,N31&gt;0),N31*INDEX('Airfields &amp; Performance Factors'!$O$7:$O$16,MATCH('Performance Calcs &amp; Print Out'!P$23,'Airfields &amp; Performance Factors'!$M$7:$M$16,0)),IF(AND(Variables!C$56="yes",O31=0,N31=0,M31&gt;0),M31*INDEX('Airfields &amp; Performance Factors'!$O$7:$O$16,MATCH('Performance Calcs &amp; Print Out'!P$23,'Airfields &amp; Performance Factors'!$M$7:$M$16,0)),IF(AND(Variables!C$56="yes",O31=0,N31=0,M31=0,L31&gt;0),L31*INDEX('Airfields &amp; Performance Factors'!$O$7:$O$16,MATCH('Performance Calcs &amp; Print Out'!P$23,'Airfields &amp; Performance Factors'!$M$7:$M$16,0)),IF(AND(Variables!C$56="yes",O31=0,N31=0,M31=0,L31=0,K31&gt;0),K31*INDEX('Airfields &amp; Performance Factors'!$O$7:$O$16,MATCH('Performance Calcs &amp; Print Out'!P$23,'Airfields &amp; Performance Factors'!$M$7:$M$16,0)),IF(AND(Variables!C$56="yes",O31=0,N31=0,M31=0,L31=0,K31=0,J31&gt;0),J31*INDEX('Airfields &amp; Performance Factors'!$O$7:$O$16,MATCH('Performance Calcs &amp; Print Out'!P$23,'Airfields &amp; Performance Factors'!$M$7:$M$16,0)),IF(AND(Variables!C$56="yes",O31=0,N31=0,M31=0,L31=0,K31=0,J31=0,I31&gt;0),I31*INDEX('Airfields &amp; Performance Factors'!$O$7:$O$16,MATCH('Performance Calcs &amp; Print Out'!P$23,'Airfields &amp; Performance Factors'!$M$7:$M$16,0)),IF(AND(Variables!C$56="yes",O31=0,N31=0,M31=0,L31=0,K31=0,J31=0,I31=0,H31&gt;0),H31*INDEX('Airfields &amp; Performance Factors'!$O$7:$O$16,MATCH('Performance Calcs &amp; Print Out'!P$23,'Airfields &amp; Performance Factors'!$M$7:$M$16,0)),IF(Variables!C$56="no",0,"ERROR")))))))))),"NULL")</f>
        <v>0</v>
      </c>
      <c r="Q31" s="28" t="str">
        <f>IFERROR(IF(P31&gt;0,P31*INDEX('Airfields &amp; Performance Factors'!$O$7:$O$16,MATCH('Performance Calcs &amp; Print Out'!Q$23,'Airfields &amp; Performance Factors'!$M$7:$M$16,0)),IF(O31&gt;0,O31*INDEX('Airfields &amp; Performance Factors'!$O$7:$O$16,MATCH('Performance Calcs &amp; Print Out'!Q$23,'Airfields &amp; Performance Factors'!$M$7:$M$16,0)),IF(N31&gt;0,N31*INDEX('Airfields &amp; Performance Factors'!$O$7:$O$16,MATCH('Performance Calcs &amp; Print Out'!Q$23,'Airfields &amp; Performance Factors'!$M$7:$M$16,0)),IF(M31&gt;0,M31*INDEX('Airfields &amp; Performance Factors'!$O$7:$O$16,MATCH('Performance Calcs &amp; Print Out'!Q$23,'Airfields &amp; Performance Factors'!$M$7:$M$16,0)),IF(L31&gt;0,L31*INDEX('Airfields &amp; Performance Factors'!$O$7:$O$16,MATCH('Performance Calcs &amp; Print Out'!Q$23,'Airfields &amp; Performance Factors'!$M$7:$M$16,0)),IF(K31&gt;0,K31*INDEX('Airfields &amp; Performance Factors'!$O$7:$O$16,MATCH('Performance Calcs &amp; Print Out'!Q$23,'Airfields &amp; Performance Factors'!$M$7:$M$16,0)),IF(J31&gt;0,J31*INDEX('Airfields &amp; Performance Factors'!$O$7:$O$16,MATCH('Performance Calcs &amp; Print Out'!Q$23,'Airfields &amp; Performance Factors'!$M$7:$M$16,0)),IF(I31&gt;0,I31*INDEX('Airfields &amp; Performance Factors'!$O$7:$O$16,MATCH('Performance Calcs &amp; Print Out'!Q$23,'Airfields &amp; Performance Factors'!$M$7:$M$16,0)),IF(H31&gt;0,H31*INDEX('Airfields &amp; Performance Factors'!$O$7:$O$16,MATCH('Performance Calcs &amp; Print Out'!Q$23,'Airfields &amp; Performance Factors'!$M$7:$M$16,0)),IF(G31&gt;0,G31*INDEX('Airfields &amp; Performance Factors'!$O$7:$O$16,MATCH('Performance Calcs &amp; Print Out'!Q$23,'Airfields &amp; Performance Factors'!$M$7:$M$16,0)),"ERROR")))))))))),"NULL")</f>
        <v>ERROR</v>
      </c>
      <c r="R31" s="27" t="str">
        <f t="shared" si="2"/>
        <v>-</v>
      </c>
    </row>
    <row r="32" spans="1:18" s="9" customFormat="1" x14ac:dyDescent="0.25">
      <c r="A32" s="30"/>
      <c r="B32" s="42">
        <f t="array" ref="B32">IFERROR(INDEX('Airfields &amp; Performance Factors'!C:C,SMALL(IF('Airfields &amp; Performance Factors'!$B:$B=$C$21,ROW('Airfields &amp; Performance Factors'!$B:$B)),ROW('Airfields &amp; Performance Factors'!9:9))),"-")</f>
        <v>0</v>
      </c>
      <c r="C32" s="42">
        <f t="array" ref="C32">IFERROR(INDEX('Airfields &amp; Performance Factors'!D:D,SMALL(IF('Airfields &amp; Performance Factors'!$B:$B=$C$21,ROW('Airfields &amp; Performance Factors'!$B:$B)),ROW('Airfields &amp; Performance Factors'!9:9))),"-")</f>
        <v>0</v>
      </c>
      <c r="D32" s="42">
        <f t="array" ref="D32">IFERROR(INDEX('Airfields &amp; Performance Factors'!E:E,SMALL(IF('Airfields &amp; Performance Factors'!$B:$B=$C$21,ROW('Airfields &amp; Performance Factors'!$B:$B)),ROW('Airfields &amp; Performance Factors'!9:9))),"-")</f>
        <v>0</v>
      </c>
      <c r="E32" s="42">
        <f t="array" ref="E32">IFERROR(INDEX('Airfields &amp; Performance Factors'!F:F,SMALL(IF('Airfields &amp; Performance Factors'!$B:$B=$C$21,ROW('Airfields &amp; Performance Factors'!$B:$B)),ROW('Airfields &amp; Performance Factors'!9:9))),"-")</f>
        <v>0</v>
      </c>
      <c r="G32" s="28">
        <f>IFERROR(Variables!$C$34,"NULL")</f>
        <v>0</v>
      </c>
      <c r="H32" s="28">
        <f>IFERROR(IF(Variables!C$48="yes",G32*INDEX('Airfields &amp; Performance Factors'!$O$7:$O$16,MATCH('Performance Calcs &amp; Print Out'!H$23,'Airfields &amp; Performance Factors'!$M$7:$M$16,0)),0),"NULL")</f>
        <v>0</v>
      </c>
      <c r="I32" s="28">
        <f>IFERROR(IF(AND(Variables!C$49="yes",H32&gt;0),H32*INDEX('Airfields &amp; Performance Factors'!$O$7:$O$16,MATCH('Performance Calcs &amp; Print Out'!I$23,'Airfields &amp; Performance Factors'!$M$7:$M$16,0)),IF(Variables!C$49="no",0,G32*INDEX('Airfields &amp; Performance Factors'!$O$7:$O$16,MATCH('Performance Calcs &amp; Print Out'!I$23,'Airfields &amp; Performance Factors'!$M$7:$M$16,0)))),"NULL")</f>
        <v>0</v>
      </c>
      <c r="J32" s="28">
        <f>IFERROR(IF(AND(Variables!C$50="yes",I32&gt;0),I32*INDEX('Airfields &amp; Performance Factors'!$O$7:$O$16,MATCH('Performance Calcs &amp; Print Out'!J$23,'Airfields &amp; Performance Factors'!$M$7:$M$16,0)),IF(AND(Variables!C$50="yes",I32=0,H32=0),G32*INDEX('Airfields &amp; Performance Factors'!$O$7:$O$16,MATCH('Performance Calcs &amp; Print Out'!J$23,'Airfields &amp; Performance Factors'!$M$7:$M$16,0)),IF(AND(Variables!C$50="yes",I32=0,H32&gt;0),H32*INDEX('Airfields &amp; Performance Factors'!$O$7:$O$16,MATCH('Performance Calcs &amp; Print Out'!J$23,'Airfields &amp; Performance Factors'!$M$7:$M$16,0)),IF(Variables!C$50="no",0,"ERROR")))),"NULL")</f>
        <v>0</v>
      </c>
      <c r="K32" s="28">
        <f>IFERROR(IF(AND(Variables!C$51="yes",J32&gt;0),J32*INDEX('Airfields &amp; Performance Factors'!$O$7:$O$16,MATCH('Performance Calcs &amp; Print Out'!K$23,'Airfields &amp; Performance Factors'!$M$7:$M$16,0)),IF(AND(Variables!C$51="yes",J32=0,I32=0,H32=0),G32*INDEX('Airfields &amp; Performance Factors'!$O$7:$O$16,MATCH('Performance Calcs &amp; Print Out'!K$23,'Airfields &amp; Performance Factors'!$M$7:$M$16,0)),IF(AND(Variables!C$51="yes",J32=0,I32&gt;0),I32*INDEX('Airfields &amp; Performance Factors'!$O$7:$O$16,MATCH('Performance Calcs &amp; Print Out'!K$23,'Airfields &amp; Performance Factors'!$M$7:$M$16,0)),IF(AND(Variables!C$51="yes",J32=0,I32=0,H32&gt;0),H32*INDEX('Airfields &amp; Performance Factors'!$O$7:$O$16,MATCH('Performance Calcs &amp; Print Out'!K$23,'Airfields &amp; Performance Factors'!$M$7:$M$16,0)),IF(Variables!C$51="no",0,"ERROR"))))),"NULL")</f>
        <v>0</v>
      </c>
      <c r="L32" s="28">
        <f>IFERROR(IF(AND(Variables!C$52="yes",K32&gt;0),K32*INDEX('Airfields &amp; Performance Factors'!$O$7:$O$16,MATCH('Performance Calcs &amp; Print Out'!L$23,'Airfields &amp; Performance Factors'!$M$7:$M$16,0)),IF(AND(Variables!C$52="yes",K32=0,J32=0,I32=0,H32=0),G32*INDEX('Airfields &amp; Performance Factors'!$O$7:$O$16,MATCH('Performance Calcs &amp; Print Out'!L$23,'Airfields &amp; Performance Factors'!$M$7:$M$16,0)),IF(AND(Variables!C$52="yes",K32=0,J32&gt;0),J32*INDEX('Airfields &amp; Performance Factors'!$O$7:$O$16,MATCH('Performance Calcs &amp; Print Out'!L$23,'Airfields &amp; Performance Factors'!$M$7:$M$16,0)),IF(AND(Variables!C$52="yes",K32=0,J32=0,I32&gt;0),I32*INDEX('Airfields &amp; Performance Factors'!$O$7:$O$16,MATCH('Performance Calcs &amp; Print Out'!L$23,'Airfields &amp; Performance Factors'!$M$7:$M$16,0)),IF(AND(Variables!C$52="yes",K32=0,J32=0,I32=0,H32&gt;0),H32*INDEX('Airfields &amp; Performance Factors'!$O$7:$O$16,MATCH('Performance Calcs &amp; Print Out'!L$23,'Airfields &amp; Performance Factors'!$M$7:$M$16,0)),IF(Variables!C$52="no",0,"ERROR")))))),"NULL")</f>
        <v>0</v>
      </c>
      <c r="M32" s="28">
        <f>IFERROR(IF(AND(Variables!C$53="yes",L32&gt;0),L32*INDEX('Airfields &amp; Performance Factors'!$O$7:$O$16,MATCH('Performance Calcs &amp; Print Out'!M$23,'Airfields &amp; Performance Factors'!$M$7:$M$16,0)),IF(AND(Variables!C$53="yes",L32=0,K32=0,J32=0,I32=0,H32=0),G32*INDEX('Airfields &amp; Performance Factors'!$O$7:$O$16,MATCH('Performance Calcs &amp; Print Out'!M$23,'Airfields &amp; Performance Factors'!$M$7:$M$16,0)),IF(AND(Variables!C$53="yes",L32=0,K32&gt;0),K32*INDEX('Airfields &amp; Performance Factors'!$O$7:$O$16,MATCH('Performance Calcs &amp; Print Out'!M$23,'Airfields &amp; Performance Factors'!$M$7:$M$16,0)),IF(AND(Variables!C$53="yes",L32=0,K32=0,J32&gt;0),J32*INDEX('Airfields &amp; Performance Factors'!$O$7:$O$16,MATCH('Performance Calcs &amp; Print Out'!M$23,'Airfields &amp; Performance Factors'!$M$7:$M$16,0)),IF(AND(Variables!C$53="yes",L32=0,K32=0,J32=0,I32&gt;0),I32*INDEX('Airfields &amp; Performance Factors'!$O$7:$O$16,MATCH('Performance Calcs &amp; Print Out'!M$23,'Airfields &amp; Performance Factors'!$M$7:$M$16,0)),IF(AND(Variables!C$53="yes",L32=0,K32=0,J32=0,I32=0,H32&gt;0),H32*INDEX('Airfields &amp; Performance Factors'!$O$7:$O$16,MATCH('Performance Calcs &amp; Print Out'!M$23,'Airfields &amp; Performance Factors'!$M$7:$M$16,0)),IF(Variables!C$53="no",0,"ERROR"))))))),"NULL")</f>
        <v>0</v>
      </c>
      <c r="N32" s="26">
        <f>IFERROR(IF(AND(Variables!C$54="yes",M32&gt;0),M32*INDEX('Airfields &amp; Performance Factors'!$O$7:$O$16,MATCH('Performance Calcs &amp; Print Out'!N$23,'Airfields &amp; Performance Factors'!$M$7:$M$16,0)),IF(AND(Variables!C$54="yes",M32=0,L32=0,K32=0,J32=0,I32=0,H32=0),G32*INDEX('Airfields &amp; Performance Factors'!$O$7:$O$16,MATCH('Performance Calcs &amp; Print Out'!N$23,'Airfields &amp; Performance Factors'!$M$7:$M$16,0)),IF(AND(Variables!C$54="yes",M32=0,L32=0,K32&gt;0),K32*INDEX('Airfields &amp; Performance Factors'!$O$7:$O$16,MATCH('Performance Calcs &amp; Print Out'!N$23,'Airfields &amp; Performance Factors'!$M$7:$M$16,0)),IF(AND(Variables!C$54="yes",M32=0,L32=0,K32=0,J32&gt;0),J32*INDEX('Airfields &amp; Performance Factors'!$O$7:$O$16,MATCH('Performance Calcs &amp; Print Out'!N$23,'Airfields &amp; Performance Factors'!$M$7:$M$16,0)),IF(AND(Variables!C$54="yes",M32=0,L32=0,K32=0,J32=0,I32&gt;0),I32*INDEX('Airfields &amp; Performance Factors'!$O$7:$O$16,MATCH('Performance Calcs &amp; Print Out'!N$23,'Airfields &amp; Performance Factors'!$M$7:$M$16,0)),IF(AND(Variables!C$54="yes",M32=0,L32=0,K32=0,J32=0,I32=0,H32&gt;0),H32*INDEX('Airfields &amp; Performance Factors'!$O$7:$O$16,MATCH('Performance Calcs &amp; Print Out'!N$23,'Airfields &amp; Performance Factors'!$M$7:$M$16,0)),IF(Variables!C$54="no",0,"ERROR"))))))),"NULL")</f>
        <v>0</v>
      </c>
      <c r="O32" s="28">
        <f>IFERROR(IF(AND(Variables!C$55="yes",N32&gt;0),N32*INDEX('Airfields &amp; Performance Factors'!$O$7:$O$16,MATCH('Performance Calcs &amp; Print Out'!O$23,'Airfields &amp; Performance Factors'!$M$7:$M$16,0)),IF(AND(Variables!C$55="yes",N32=0,M32=0,L32=0,K32=0,J32=0,I32=0,H32=0),G32*INDEX('Airfields &amp; Performance Factors'!$O$7:$O$16,MATCH('Performance Calcs &amp; Print Out'!O$23,'Airfields &amp; Performance Factors'!$M$7:$M$16,0)),IF(AND(Variables!C$55="yes",N32=0,M32&gt;0),M32*INDEX('Airfields &amp; Performance Factors'!$O$7:$O$16,MATCH('Performance Calcs &amp; Print Out'!O$23,'Airfields &amp; Performance Factors'!$M$7:$M$16,0)),IF(AND(Variables!C$55="yes",N32=0,M32=0,L32&gt;0),L32*INDEX('Airfields &amp; Performance Factors'!$O$7:$O$16,MATCH('Performance Calcs &amp; Print Out'!O$23,'Airfields &amp; Performance Factors'!$M$7:$M$16,0)),IF(AND(Variables!C$55="yes",N32=0,M32=0,L32=0,K32&gt;0),K32*INDEX('Airfields &amp; Performance Factors'!$O$7:$O$16,MATCH('Performance Calcs &amp; Print Out'!O$23,'Airfields &amp; Performance Factors'!$M$7:$M$16,0)),IF(AND(Variables!C$55="yes",N32=0,M32=0,L32=0,K32=0,J32&gt;0),J32*INDEX('Airfields &amp; Performance Factors'!$O$7:$O$16,MATCH('Performance Calcs &amp; Print Out'!O$23,'Airfields &amp; Performance Factors'!$M$7:$M$16,0)),IF(AND(Variables!C$55="yes",N32=0,M32=0,L32=0,K32=0,J32=0,I32&gt;0),I32*INDEX('Airfields &amp; Performance Factors'!$O$7:$O$16,MATCH('Performance Calcs &amp; Print Out'!O$23,'Airfields &amp; Performance Factors'!$M$7:$M$16,0)),IF(AND(Variables!C$55="yes",N32=0,M32=0,L32=0,K32=0,J32=0,I32=0,H32&gt;0),H32*INDEX('Airfields &amp; Performance Factors'!$O$7:$O$16,MATCH('Performance Calcs &amp; Print Out'!O$23,'Airfields &amp; Performance Factors'!$M$7:$M$16,0)),IF(Variables!C$55="no",0,"ERROR"))))))))),"NULL")</f>
        <v>0</v>
      </c>
      <c r="P32" s="28">
        <f>IFERROR(IF(AND(Variables!C$56="yes",O32&gt;0),O32*INDEX('Airfields &amp; Performance Factors'!$O$7:$O$16,MATCH('Performance Calcs &amp; Print Out'!P$23,'Airfields &amp; Performance Factors'!$M$7:$M$16,0)),IF(AND(Variables!C$56="yes",O32=0,N32=0,L32=0,K32=0,J32=0,I32=0,H32=0),G32*INDEX('Airfields &amp; Performance Factors'!$O$7:$O$16,MATCH('Performance Calcs &amp; Print Out'!P$23,'Airfields &amp; Performance Factors'!$M$7:$M$16,0)),IF(AND(Variables!C$56="yes",O32=0,N32&gt;0),N32*INDEX('Airfields &amp; Performance Factors'!$O$7:$O$16,MATCH('Performance Calcs &amp; Print Out'!P$23,'Airfields &amp; Performance Factors'!$M$7:$M$16,0)),IF(AND(Variables!C$56="yes",O32=0,N32=0,M32&gt;0),M32*INDEX('Airfields &amp; Performance Factors'!$O$7:$O$16,MATCH('Performance Calcs &amp; Print Out'!P$23,'Airfields &amp; Performance Factors'!$M$7:$M$16,0)),IF(AND(Variables!C$56="yes",O32=0,N32=0,M32=0,L32&gt;0),L32*INDEX('Airfields &amp; Performance Factors'!$O$7:$O$16,MATCH('Performance Calcs &amp; Print Out'!P$23,'Airfields &amp; Performance Factors'!$M$7:$M$16,0)),IF(AND(Variables!C$56="yes",O32=0,N32=0,M32=0,L32=0,K32&gt;0),K32*INDEX('Airfields &amp; Performance Factors'!$O$7:$O$16,MATCH('Performance Calcs &amp; Print Out'!P$23,'Airfields &amp; Performance Factors'!$M$7:$M$16,0)),IF(AND(Variables!C$56="yes",O32=0,N32=0,M32=0,L32=0,K32=0,J32&gt;0),J32*INDEX('Airfields &amp; Performance Factors'!$O$7:$O$16,MATCH('Performance Calcs &amp; Print Out'!P$23,'Airfields &amp; Performance Factors'!$M$7:$M$16,0)),IF(AND(Variables!C$56="yes",O32=0,N32=0,M32=0,L32=0,K32=0,J32=0,I32&gt;0),I32*INDEX('Airfields &amp; Performance Factors'!$O$7:$O$16,MATCH('Performance Calcs &amp; Print Out'!P$23,'Airfields &amp; Performance Factors'!$M$7:$M$16,0)),IF(AND(Variables!C$56="yes",O32=0,N32=0,M32=0,L32=0,K32=0,J32=0,I32=0,H32&gt;0),H32*INDEX('Airfields &amp; Performance Factors'!$O$7:$O$16,MATCH('Performance Calcs &amp; Print Out'!P$23,'Airfields &amp; Performance Factors'!$M$7:$M$16,0)),IF(Variables!C$56="no",0,"ERROR")))))))))),"NULL")</f>
        <v>0</v>
      </c>
      <c r="Q32" s="28" t="str">
        <f>IFERROR(IF(P32&gt;0,P32*INDEX('Airfields &amp; Performance Factors'!$O$7:$O$16,MATCH('Performance Calcs &amp; Print Out'!Q$23,'Airfields &amp; Performance Factors'!$M$7:$M$16,0)),IF(O32&gt;0,O32*INDEX('Airfields &amp; Performance Factors'!$O$7:$O$16,MATCH('Performance Calcs &amp; Print Out'!Q$23,'Airfields &amp; Performance Factors'!$M$7:$M$16,0)),IF(N32&gt;0,N32*INDEX('Airfields &amp; Performance Factors'!$O$7:$O$16,MATCH('Performance Calcs &amp; Print Out'!Q$23,'Airfields &amp; Performance Factors'!$M$7:$M$16,0)),IF(M32&gt;0,M32*INDEX('Airfields &amp; Performance Factors'!$O$7:$O$16,MATCH('Performance Calcs &amp; Print Out'!Q$23,'Airfields &amp; Performance Factors'!$M$7:$M$16,0)),IF(L32&gt;0,L32*INDEX('Airfields &amp; Performance Factors'!$O$7:$O$16,MATCH('Performance Calcs &amp; Print Out'!Q$23,'Airfields &amp; Performance Factors'!$M$7:$M$16,0)),IF(K32&gt;0,K32*INDEX('Airfields &amp; Performance Factors'!$O$7:$O$16,MATCH('Performance Calcs &amp; Print Out'!Q$23,'Airfields &amp; Performance Factors'!$M$7:$M$16,0)),IF(J32&gt;0,J32*INDEX('Airfields &amp; Performance Factors'!$O$7:$O$16,MATCH('Performance Calcs &amp; Print Out'!Q$23,'Airfields &amp; Performance Factors'!$M$7:$M$16,0)),IF(I32&gt;0,I32*INDEX('Airfields &amp; Performance Factors'!$O$7:$O$16,MATCH('Performance Calcs &amp; Print Out'!Q$23,'Airfields &amp; Performance Factors'!$M$7:$M$16,0)),IF(H32&gt;0,H32*INDEX('Airfields &amp; Performance Factors'!$O$7:$O$16,MATCH('Performance Calcs &amp; Print Out'!Q$23,'Airfields &amp; Performance Factors'!$M$7:$M$16,0)),IF(G32&gt;0,G32*INDEX('Airfields &amp; Performance Factors'!$O$7:$O$16,MATCH('Performance Calcs &amp; Print Out'!Q$23,'Airfields &amp; Performance Factors'!$M$7:$M$16,0)),"ERROR")))))))))),"NULL")</f>
        <v>ERROR</v>
      </c>
      <c r="R32" s="27" t="str">
        <f t="shared" si="2"/>
        <v>-</v>
      </c>
    </row>
    <row r="33" spans="1:18" s="9" customFormat="1" x14ac:dyDescent="0.25">
      <c r="A33" s="30"/>
      <c r="B33" s="42">
        <f t="array" ref="B33">IFERROR(INDEX('Airfields &amp; Performance Factors'!C:C,SMALL(IF('Airfields &amp; Performance Factors'!$B:$B=$C$21,ROW('Airfields &amp; Performance Factors'!$B:$B)),ROW('Airfields &amp; Performance Factors'!10:10))),"-")</f>
        <v>0</v>
      </c>
      <c r="C33" s="42">
        <f t="array" ref="C33">IFERROR(INDEX('Airfields &amp; Performance Factors'!D:D,SMALL(IF('Airfields &amp; Performance Factors'!$B:$B=$C$21,ROW('Airfields &amp; Performance Factors'!$B:$B)),ROW('Airfields &amp; Performance Factors'!10:10))),"-")</f>
        <v>0</v>
      </c>
      <c r="D33" s="42">
        <f t="array" ref="D33">IFERROR(INDEX('Airfields &amp; Performance Factors'!E:E,SMALL(IF('Airfields &amp; Performance Factors'!$B:$B=$C$21,ROW('Airfields &amp; Performance Factors'!$B:$B)),ROW('Airfields &amp; Performance Factors'!10:10))),"-")</f>
        <v>0</v>
      </c>
      <c r="E33" s="42">
        <f t="array" ref="E33">IFERROR(INDEX('Airfields &amp; Performance Factors'!F:F,SMALL(IF('Airfields &amp; Performance Factors'!$B:$B=$C$21,ROW('Airfields &amp; Performance Factors'!$B:$B)),ROW('Airfields &amp; Performance Factors'!10:10))),"-")</f>
        <v>0</v>
      </c>
      <c r="G33" s="28">
        <f>IFERROR(Variables!$C$34,"NULL")</f>
        <v>0</v>
      </c>
      <c r="H33" s="28">
        <f>IFERROR(IF(Variables!C$48="yes",G33*INDEX('Airfields &amp; Performance Factors'!$O$7:$O$16,MATCH('Performance Calcs &amp; Print Out'!H$23,'Airfields &amp; Performance Factors'!$M$7:$M$16,0)),0),"NULL")</f>
        <v>0</v>
      </c>
      <c r="I33" s="28">
        <f>IFERROR(IF(AND(Variables!C$49="yes",H33&gt;0),H33*INDEX('Airfields &amp; Performance Factors'!$O$7:$O$16,MATCH('Performance Calcs &amp; Print Out'!I$23,'Airfields &amp; Performance Factors'!$M$7:$M$16,0)),IF(Variables!C$49="no",0,G33*INDEX('Airfields &amp; Performance Factors'!$O$7:$O$16,MATCH('Performance Calcs &amp; Print Out'!I$23,'Airfields &amp; Performance Factors'!$M$7:$M$16,0)))),"NULL")</f>
        <v>0</v>
      </c>
      <c r="J33" s="28">
        <f>IFERROR(IF(AND(Variables!C$50="yes",I33&gt;0),I33*INDEX('Airfields &amp; Performance Factors'!$O$7:$O$16,MATCH('Performance Calcs &amp; Print Out'!J$23,'Airfields &amp; Performance Factors'!$M$7:$M$16,0)),IF(AND(Variables!C$50="yes",I33=0,H33=0),G33*INDEX('Airfields &amp; Performance Factors'!$O$7:$O$16,MATCH('Performance Calcs &amp; Print Out'!J$23,'Airfields &amp; Performance Factors'!$M$7:$M$16,0)),IF(AND(Variables!C$50="yes",I33=0,H33&gt;0),H33*INDEX('Airfields &amp; Performance Factors'!$O$7:$O$16,MATCH('Performance Calcs &amp; Print Out'!J$23,'Airfields &amp; Performance Factors'!$M$7:$M$16,0)),IF(Variables!C$50="no",0,"ERROR")))),"NULL")</f>
        <v>0</v>
      </c>
      <c r="K33" s="28">
        <f>IFERROR(IF(AND(Variables!C$51="yes",J33&gt;0),J33*INDEX('Airfields &amp; Performance Factors'!$O$7:$O$16,MATCH('Performance Calcs &amp; Print Out'!K$23,'Airfields &amp; Performance Factors'!$M$7:$M$16,0)),IF(AND(Variables!C$51="yes",J33=0,I33=0,H33=0),G33*INDEX('Airfields &amp; Performance Factors'!$O$7:$O$16,MATCH('Performance Calcs &amp; Print Out'!K$23,'Airfields &amp; Performance Factors'!$M$7:$M$16,0)),IF(AND(Variables!C$51="yes",J33=0,I33&gt;0),I33*INDEX('Airfields &amp; Performance Factors'!$O$7:$O$16,MATCH('Performance Calcs &amp; Print Out'!K$23,'Airfields &amp; Performance Factors'!$M$7:$M$16,0)),IF(AND(Variables!C$51="yes",J33=0,I33=0,H33&gt;0),H33*INDEX('Airfields &amp; Performance Factors'!$O$7:$O$16,MATCH('Performance Calcs &amp; Print Out'!K$23,'Airfields &amp; Performance Factors'!$M$7:$M$16,0)),IF(Variables!C$51="no",0,"ERROR"))))),"NULL")</f>
        <v>0</v>
      </c>
      <c r="L33" s="28">
        <f>IFERROR(IF(AND(Variables!C$52="yes",K33&gt;0),K33*INDEX('Airfields &amp; Performance Factors'!$O$7:$O$16,MATCH('Performance Calcs &amp; Print Out'!L$23,'Airfields &amp; Performance Factors'!$M$7:$M$16,0)),IF(AND(Variables!C$52="yes",K33=0,J33=0,I33=0,H33=0),G33*INDEX('Airfields &amp; Performance Factors'!$O$7:$O$16,MATCH('Performance Calcs &amp; Print Out'!L$23,'Airfields &amp; Performance Factors'!$M$7:$M$16,0)),IF(AND(Variables!C$52="yes",K33=0,J33&gt;0),J33*INDEX('Airfields &amp; Performance Factors'!$O$7:$O$16,MATCH('Performance Calcs &amp; Print Out'!L$23,'Airfields &amp; Performance Factors'!$M$7:$M$16,0)),IF(AND(Variables!C$52="yes",K33=0,J33=0,I33&gt;0),I33*INDEX('Airfields &amp; Performance Factors'!$O$7:$O$16,MATCH('Performance Calcs &amp; Print Out'!L$23,'Airfields &amp; Performance Factors'!$M$7:$M$16,0)),IF(AND(Variables!C$52="yes",K33=0,J33=0,I33=0,H33&gt;0),H33*INDEX('Airfields &amp; Performance Factors'!$O$7:$O$16,MATCH('Performance Calcs &amp; Print Out'!L$23,'Airfields &amp; Performance Factors'!$M$7:$M$16,0)),IF(Variables!C$52="no",0,"ERROR")))))),"NULL")</f>
        <v>0</v>
      </c>
      <c r="M33" s="28">
        <f>IFERROR(IF(AND(Variables!C$53="yes",L33&gt;0),L33*INDEX('Airfields &amp; Performance Factors'!$O$7:$O$16,MATCH('Performance Calcs &amp; Print Out'!M$23,'Airfields &amp; Performance Factors'!$M$7:$M$16,0)),IF(AND(Variables!C$53="yes",L33=0,K33=0,J33=0,I33=0,H33=0),G33*INDEX('Airfields &amp; Performance Factors'!$O$7:$O$16,MATCH('Performance Calcs &amp; Print Out'!M$23,'Airfields &amp; Performance Factors'!$M$7:$M$16,0)),IF(AND(Variables!C$53="yes",L33=0,K33&gt;0),K33*INDEX('Airfields &amp; Performance Factors'!$O$7:$O$16,MATCH('Performance Calcs &amp; Print Out'!M$23,'Airfields &amp; Performance Factors'!$M$7:$M$16,0)),IF(AND(Variables!C$53="yes",L33=0,K33=0,J33&gt;0),J33*INDEX('Airfields &amp; Performance Factors'!$O$7:$O$16,MATCH('Performance Calcs &amp; Print Out'!M$23,'Airfields &amp; Performance Factors'!$M$7:$M$16,0)),IF(AND(Variables!C$53="yes",L33=0,K33=0,J33=0,I33&gt;0),I33*INDEX('Airfields &amp; Performance Factors'!$O$7:$O$16,MATCH('Performance Calcs &amp; Print Out'!M$23,'Airfields &amp; Performance Factors'!$M$7:$M$16,0)),IF(AND(Variables!C$53="yes",L33=0,K33=0,J33=0,I33=0,H33&gt;0),H33*INDEX('Airfields &amp; Performance Factors'!$O$7:$O$16,MATCH('Performance Calcs &amp; Print Out'!M$23,'Airfields &amp; Performance Factors'!$M$7:$M$16,0)),IF(Variables!C$53="no",0,"ERROR"))))))),"NULL")</f>
        <v>0</v>
      </c>
      <c r="N33" s="26">
        <f>IFERROR(IF(AND(Variables!C$54="yes",M33&gt;0),M33*INDEX('Airfields &amp; Performance Factors'!$O$7:$O$16,MATCH('Performance Calcs &amp; Print Out'!N$23,'Airfields &amp; Performance Factors'!$M$7:$M$16,0)),IF(AND(Variables!C$54="yes",M33=0,L33=0,K33=0,J33=0,I33=0,H33=0),G33*INDEX('Airfields &amp; Performance Factors'!$O$7:$O$16,MATCH('Performance Calcs &amp; Print Out'!N$23,'Airfields &amp; Performance Factors'!$M$7:$M$16,0)),IF(AND(Variables!C$54="yes",M33=0,L33=0,K33&gt;0),K33*INDEX('Airfields &amp; Performance Factors'!$O$7:$O$16,MATCH('Performance Calcs &amp; Print Out'!N$23,'Airfields &amp; Performance Factors'!$M$7:$M$16,0)),IF(AND(Variables!C$54="yes",M33=0,L33=0,K33=0,J33&gt;0),J33*INDEX('Airfields &amp; Performance Factors'!$O$7:$O$16,MATCH('Performance Calcs &amp; Print Out'!N$23,'Airfields &amp; Performance Factors'!$M$7:$M$16,0)),IF(AND(Variables!C$54="yes",M33=0,L33=0,K33=0,J33=0,I33&gt;0),I33*INDEX('Airfields &amp; Performance Factors'!$O$7:$O$16,MATCH('Performance Calcs &amp; Print Out'!N$23,'Airfields &amp; Performance Factors'!$M$7:$M$16,0)),IF(AND(Variables!C$54="yes",M33=0,L33=0,K33=0,J33=0,I33=0,H33&gt;0),H33*INDEX('Airfields &amp; Performance Factors'!$O$7:$O$16,MATCH('Performance Calcs &amp; Print Out'!N$23,'Airfields &amp; Performance Factors'!$M$7:$M$16,0)),IF(Variables!C$54="no",0,"ERROR"))))))),"NULL")</f>
        <v>0</v>
      </c>
      <c r="O33" s="28">
        <f>IFERROR(IF(AND(Variables!C$55="yes",N33&gt;0),N33*INDEX('Airfields &amp; Performance Factors'!$O$7:$O$16,MATCH('Performance Calcs &amp; Print Out'!O$23,'Airfields &amp; Performance Factors'!$M$7:$M$16,0)),IF(AND(Variables!C$55="yes",N33=0,M33=0,L33=0,K33=0,J33=0,I33=0,H33=0),G33*INDEX('Airfields &amp; Performance Factors'!$O$7:$O$16,MATCH('Performance Calcs &amp; Print Out'!O$23,'Airfields &amp; Performance Factors'!$M$7:$M$16,0)),IF(AND(Variables!C$55="yes",N33=0,M33&gt;0),M33*INDEX('Airfields &amp; Performance Factors'!$O$7:$O$16,MATCH('Performance Calcs &amp; Print Out'!O$23,'Airfields &amp; Performance Factors'!$M$7:$M$16,0)),IF(AND(Variables!C$55="yes",N33=0,M33=0,L33&gt;0),L33*INDEX('Airfields &amp; Performance Factors'!$O$7:$O$16,MATCH('Performance Calcs &amp; Print Out'!O$23,'Airfields &amp; Performance Factors'!$M$7:$M$16,0)),IF(AND(Variables!C$55="yes",N33=0,M33=0,L33=0,K33&gt;0),K33*INDEX('Airfields &amp; Performance Factors'!$O$7:$O$16,MATCH('Performance Calcs &amp; Print Out'!O$23,'Airfields &amp; Performance Factors'!$M$7:$M$16,0)),IF(AND(Variables!C$55="yes",N33=0,M33=0,L33=0,K33=0,J33&gt;0),J33*INDEX('Airfields &amp; Performance Factors'!$O$7:$O$16,MATCH('Performance Calcs &amp; Print Out'!O$23,'Airfields &amp; Performance Factors'!$M$7:$M$16,0)),IF(AND(Variables!C$55="yes",N33=0,M33=0,L33=0,K33=0,J33=0,I33&gt;0),I33*INDEX('Airfields &amp; Performance Factors'!$O$7:$O$16,MATCH('Performance Calcs &amp; Print Out'!O$23,'Airfields &amp; Performance Factors'!$M$7:$M$16,0)),IF(AND(Variables!C$55="yes",N33=0,M33=0,L33=0,K33=0,J33=0,I33=0,H33&gt;0),H33*INDEX('Airfields &amp; Performance Factors'!$O$7:$O$16,MATCH('Performance Calcs &amp; Print Out'!O$23,'Airfields &amp; Performance Factors'!$M$7:$M$16,0)),IF(Variables!C$55="no",0,"ERROR"))))))))),"NULL")</f>
        <v>0</v>
      </c>
      <c r="P33" s="28">
        <f>IFERROR(IF(AND(Variables!C$56="yes",O33&gt;0),O33*INDEX('Airfields &amp; Performance Factors'!$O$7:$O$16,MATCH('Performance Calcs &amp; Print Out'!P$23,'Airfields &amp; Performance Factors'!$M$7:$M$16,0)),IF(AND(Variables!C$56="yes",O33=0,N33=0,L33=0,K33=0,J33=0,I33=0,H33=0),G33*INDEX('Airfields &amp; Performance Factors'!$O$7:$O$16,MATCH('Performance Calcs &amp; Print Out'!P$23,'Airfields &amp; Performance Factors'!$M$7:$M$16,0)),IF(AND(Variables!C$56="yes",O33=0,N33&gt;0),N33*INDEX('Airfields &amp; Performance Factors'!$O$7:$O$16,MATCH('Performance Calcs &amp; Print Out'!P$23,'Airfields &amp; Performance Factors'!$M$7:$M$16,0)),IF(AND(Variables!C$56="yes",O33=0,N33=0,M33&gt;0),M33*INDEX('Airfields &amp; Performance Factors'!$O$7:$O$16,MATCH('Performance Calcs &amp; Print Out'!P$23,'Airfields &amp; Performance Factors'!$M$7:$M$16,0)),IF(AND(Variables!C$56="yes",O33=0,N33=0,M33=0,L33&gt;0),L33*INDEX('Airfields &amp; Performance Factors'!$O$7:$O$16,MATCH('Performance Calcs &amp; Print Out'!P$23,'Airfields &amp; Performance Factors'!$M$7:$M$16,0)),IF(AND(Variables!C$56="yes",O33=0,N33=0,M33=0,L33=0,K33&gt;0),K33*INDEX('Airfields &amp; Performance Factors'!$O$7:$O$16,MATCH('Performance Calcs &amp; Print Out'!P$23,'Airfields &amp; Performance Factors'!$M$7:$M$16,0)),IF(AND(Variables!C$56="yes",O33=0,N33=0,M33=0,L33=0,K33=0,J33&gt;0),J33*INDEX('Airfields &amp; Performance Factors'!$O$7:$O$16,MATCH('Performance Calcs &amp; Print Out'!P$23,'Airfields &amp; Performance Factors'!$M$7:$M$16,0)),IF(AND(Variables!C$56="yes",O33=0,N33=0,M33=0,L33=0,K33=0,J33=0,I33&gt;0),I33*INDEX('Airfields &amp; Performance Factors'!$O$7:$O$16,MATCH('Performance Calcs &amp; Print Out'!P$23,'Airfields &amp; Performance Factors'!$M$7:$M$16,0)),IF(AND(Variables!C$56="yes",O33=0,N33=0,M33=0,L33=0,K33=0,J33=0,I33=0,H33&gt;0),H33*INDEX('Airfields &amp; Performance Factors'!$O$7:$O$16,MATCH('Performance Calcs &amp; Print Out'!P$23,'Airfields &amp; Performance Factors'!$M$7:$M$16,0)),IF(Variables!C$56="no",0,"ERROR")))))))))),"NULL")</f>
        <v>0</v>
      </c>
      <c r="Q33" s="28" t="str">
        <f>IFERROR(IF(P33&gt;0,P33*INDEX('Airfields &amp; Performance Factors'!$O$7:$O$16,MATCH('Performance Calcs &amp; Print Out'!Q$23,'Airfields &amp; Performance Factors'!$M$7:$M$16,0)),IF(O33&gt;0,O33*INDEX('Airfields &amp; Performance Factors'!$O$7:$O$16,MATCH('Performance Calcs &amp; Print Out'!Q$23,'Airfields &amp; Performance Factors'!$M$7:$M$16,0)),IF(N33&gt;0,N33*INDEX('Airfields &amp; Performance Factors'!$O$7:$O$16,MATCH('Performance Calcs &amp; Print Out'!Q$23,'Airfields &amp; Performance Factors'!$M$7:$M$16,0)),IF(M33&gt;0,M33*INDEX('Airfields &amp; Performance Factors'!$O$7:$O$16,MATCH('Performance Calcs &amp; Print Out'!Q$23,'Airfields &amp; Performance Factors'!$M$7:$M$16,0)),IF(L33&gt;0,L33*INDEX('Airfields &amp; Performance Factors'!$O$7:$O$16,MATCH('Performance Calcs &amp; Print Out'!Q$23,'Airfields &amp; Performance Factors'!$M$7:$M$16,0)),IF(K33&gt;0,K33*INDEX('Airfields &amp; Performance Factors'!$O$7:$O$16,MATCH('Performance Calcs &amp; Print Out'!Q$23,'Airfields &amp; Performance Factors'!$M$7:$M$16,0)),IF(J33&gt;0,J33*INDEX('Airfields &amp; Performance Factors'!$O$7:$O$16,MATCH('Performance Calcs &amp; Print Out'!Q$23,'Airfields &amp; Performance Factors'!$M$7:$M$16,0)),IF(I33&gt;0,I33*INDEX('Airfields &amp; Performance Factors'!$O$7:$O$16,MATCH('Performance Calcs &amp; Print Out'!Q$23,'Airfields &amp; Performance Factors'!$M$7:$M$16,0)),IF(H33&gt;0,H33*INDEX('Airfields &amp; Performance Factors'!$O$7:$O$16,MATCH('Performance Calcs &amp; Print Out'!Q$23,'Airfields &amp; Performance Factors'!$M$7:$M$16,0)),IF(G33&gt;0,G33*INDEX('Airfields &amp; Performance Factors'!$O$7:$O$16,MATCH('Performance Calcs &amp; Print Out'!Q$23,'Airfields &amp; Performance Factors'!$M$7:$M$16,0)),"ERROR")))))))))),"NULL")</f>
        <v>ERROR</v>
      </c>
      <c r="R33" s="27" t="str">
        <f t="shared" si="2"/>
        <v>-</v>
      </c>
    </row>
    <row r="34" spans="1:18" s="9" customFormat="1" x14ac:dyDescent="0.25">
      <c r="B34" s="22"/>
      <c r="C34" s="22"/>
      <c r="D34" s="22"/>
      <c r="E34" s="22"/>
      <c r="G34" s="22"/>
      <c r="H34" s="22"/>
      <c r="I34" s="22"/>
      <c r="J34" s="22"/>
      <c r="K34" s="22"/>
      <c r="L34" s="22"/>
      <c r="M34" s="22"/>
      <c r="N34" s="22"/>
      <c r="O34" s="22"/>
      <c r="P34" s="22"/>
      <c r="Q34" s="22"/>
    </row>
    <row r="35" spans="1:18" s="9" customFormat="1" x14ac:dyDescent="0.25">
      <c r="B35" s="10" t="s">
        <v>296</v>
      </c>
      <c r="C35" s="46" t="str">
        <f>IFERROR(IF(AND(Variables!$C$28&gt;ISA_Pressure,'Airfields &amp; Performance Factors'!S7&gt;0),VLOOKUP($C$21,'Airfields &amp; Performance Factors'!$I$7:$K$70,3,FALSE)-('Airfields &amp; Performance Factors'!$T$7*30),VLOOKUP($C$21,'Airfields &amp; Performance Factors'!$I$7:$K$70,3,FALSE)-('Airfields &amp; Performance Factors'!$T$7*30)),"")</f>
        <v/>
      </c>
      <c r="D35" s="22"/>
      <c r="E35" s="22"/>
      <c r="G35" s="22"/>
      <c r="H35" s="22"/>
      <c r="I35" s="22"/>
      <c r="J35" s="22"/>
      <c r="K35" s="22"/>
      <c r="L35" s="22"/>
      <c r="M35" s="22"/>
      <c r="N35" s="22"/>
      <c r="O35" s="22"/>
      <c r="P35" s="22"/>
      <c r="Q35" s="22"/>
    </row>
    <row r="36" spans="1:18" s="9" customFormat="1" x14ac:dyDescent="0.25">
      <c r="B36" s="10" t="s">
        <v>297</v>
      </c>
      <c r="C36" s="46" t="str">
        <f>IFERROR(C35+(120*'Airfields &amp; Performance Factors'!T8),"")</f>
        <v/>
      </c>
      <c r="D36" s="22"/>
      <c r="E36" s="22"/>
      <c r="G36" s="22"/>
      <c r="H36" s="22"/>
      <c r="I36" s="22"/>
      <c r="J36" s="22"/>
      <c r="K36" s="22"/>
      <c r="L36" s="22"/>
      <c r="M36" s="22"/>
      <c r="N36" s="22"/>
      <c r="O36" s="22"/>
      <c r="P36" s="22"/>
      <c r="Q36" s="22"/>
    </row>
    <row r="37" spans="1:18" s="9" customFormat="1" x14ac:dyDescent="0.25">
      <c r="B37" s="10"/>
      <c r="C37" s="22"/>
      <c r="D37" s="22"/>
      <c r="E37" s="22"/>
      <c r="G37" s="22"/>
      <c r="H37" s="22"/>
      <c r="I37" s="22"/>
      <c r="J37" s="22"/>
      <c r="K37" s="22"/>
      <c r="L37" s="22"/>
      <c r="M37" s="22"/>
      <c r="N37" s="22"/>
      <c r="O37" s="22"/>
      <c r="P37" s="22"/>
      <c r="Q37" s="22"/>
    </row>
    <row r="38" spans="1:18" s="9" customFormat="1" x14ac:dyDescent="0.25">
      <c r="A38" s="12" t="s">
        <v>190</v>
      </c>
      <c r="B38" s="11"/>
      <c r="C38" s="11"/>
      <c r="D38" s="11"/>
      <c r="E38" s="11"/>
      <c r="F38" s="11"/>
      <c r="G38" s="11"/>
      <c r="H38" s="11"/>
      <c r="I38" s="11"/>
      <c r="J38" s="11"/>
      <c r="K38" s="11"/>
      <c r="L38" s="11"/>
      <c r="M38" s="11"/>
      <c r="N38" s="11"/>
      <c r="O38" s="11"/>
      <c r="P38" s="11"/>
      <c r="Q38" s="11"/>
      <c r="R38" s="11"/>
    </row>
    <row r="39" spans="1:18" x14ac:dyDescent="0.25">
      <c r="B39" s="21"/>
    </row>
    <row r="40" spans="1:18" ht="14.45" customHeight="1" x14ac:dyDescent="0.25">
      <c r="B40" s="69">
        <f>'Weight &amp; Balance'!B6</f>
        <v>0</v>
      </c>
      <c r="C40" s="5" t="str">
        <f>'Weight &amp; Balance'!C6</f>
        <v>Weight</v>
      </c>
      <c r="D40" s="5" t="str">
        <f>'Weight &amp; Balance'!D6</f>
        <v>Arm Aft of Datum</v>
      </c>
      <c r="E40" s="5" t="str">
        <f>'Weight &amp; Balance'!E6</f>
        <v>Moment</v>
      </c>
      <c r="G40" s="70" t="s">
        <v>191</v>
      </c>
      <c r="H40" s="70"/>
      <c r="I40" s="70"/>
      <c r="J40" s="70"/>
      <c r="K40" s="70"/>
      <c r="L40" s="70"/>
      <c r="M40" s="70"/>
      <c r="N40" s="70"/>
      <c r="O40" s="70"/>
      <c r="P40" s="70"/>
      <c r="Q40" s="70"/>
      <c r="R40" s="9"/>
    </row>
    <row r="41" spans="1:18" ht="14.45" customHeight="1" x14ac:dyDescent="0.25">
      <c r="B41" s="69"/>
      <c r="C41" s="5" t="str">
        <f>'Weight &amp; Balance'!C7</f>
        <v>[lbs]</v>
      </c>
      <c r="D41" s="5" t="str">
        <f>'Weight &amp; Balance'!D7</f>
        <v>[Inches]</v>
      </c>
      <c r="E41" s="5" t="str">
        <f>'Weight &amp; Balance'!E7</f>
        <v>[In.lbs]</v>
      </c>
      <c r="G41" s="70"/>
      <c r="H41" s="70"/>
      <c r="I41" s="70"/>
      <c r="J41" s="70"/>
      <c r="K41" s="70"/>
      <c r="L41" s="70"/>
      <c r="M41" s="70"/>
      <c r="N41" s="70"/>
      <c r="O41" s="70"/>
      <c r="P41" s="70"/>
      <c r="Q41" s="70"/>
      <c r="R41" s="9"/>
    </row>
    <row r="42" spans="1:18" ht="14.45" customHeight="1" x14ac:dyDescent="0.25">
      <c r="B42" s="2" t="str">
        <f>'Weight &amp; Balance'!B8</f>
        <v>Basic Empty Weight</v>
      </c>
      <c r="C42" s="33" t="str">
        <f>'Weight &amp; Balance'!C8</f>
        <v>NULL</v>
      </c>
      <c r="D42" s="33" t="str">
        <f>'Weight &amp; Balance'!D8</f>
        <v>NULL</v>
      </c>
      <c r="E42" s="33" t="str">
        <f>'Weight &amp; Balance'!E8</f>
        <v>NULL</v>
      </c>
      <c r="G42" s="70"/>
      <c r="H42" s="70"/>
      <c r="I42" s="70"/>
      <c r="J42" s="70"/>
      <c r="K42" s="70"/>
      <c r="L42" s="70"/>
      <c r="M42" s="70"/>
      <c r="N42" s="70"/>
      <c r="O42" s="70"/>
      <c r="P42" s="70"/>
      <c r="Q42" s="70"/>
      <c r="R42" s="9"/>
    </row>
    <row r="43" spans="1:18" ht="14.45" customHeight="1" x14ac:dyDescent="0.25">
      <c r="B43" s="6" t="str">
        <f>'Weight &amp; Balance'!B9</f>
        <v>Pilot Weight</v>
      </c>
      <c r="C43" s="33">
        <f>'Weight &amp; Balance'!C9</f>
        <v>0</v>
      </c>
      <c r="D43" s="33" t="str">
        <f>'Weight &amp; Balance'!D9</f>
        <v>NULL</v>
      </c>
      <c r="E43" s="33" t="str">
        <f>'Weight &amp; Balance'!E9</f>
        <v>NULL</v>
      </c>
      <c r="G43" s="70"/>
      <c r="H43" s="70"/>
      <c r="I43" s="70"/>
      <c r="J43" s="70"/>
      <c r="K43" s="70"/>
      <c r="L43" s="70"/>
      <c r="M43" s="70"/>
      <c r="N43" s="70"/>
      <c r="O43" s="70"/>
      <c r="P43" s="70"/>
      <c r="Q43" s="70"/>
      <c r="R43" s="9"/>
    </row>
    <row r="44" spans="1:18" ht="14.45" customHeight="1" x14ac:dyDescent="0.25">
      <c r="B44" s="4" t="str">
        <f>'Weight &amp; Balance'!B10</f>
        <v>Co-Pilot Weight</v>
      </c>
      <c r="C44" s="33">
        <f>'Weight &amp; Balance'!C10</f>
        <v>0</v>
      </c>
      <c r="D44" s="33" t="str">
        <f>'Weight &amp; Balance'!D10</f>
        <v>NULL</v>
      </c>
      <c r="E44" s="33" t="str">
        <f>'Weight &amp; Balance'!E10</f>
        <v>NULL</v>
      </c>
      <c r="G44" s="70"/>
      <c r="H44" s="70"/>
      <c r="I44" s="70"/>
      <c r="J44" s="70"/>
      <c r="K44" s="70"/>
      <c r="L44" s="70"/>
      <c r="M44" s="70"/>
      <c r="N44" s="70"/>
      <c r="O44" s="70"/>
      <c r="P44" s="70"/>
      <c r="Q44" s="70"/>
      <c r="R44" s="9"/>
    </row>
    <row r="45" spans="1:18" ht="14.45" customHeight="1" x14ac:dyDescent="0.25">
      <c r="B45" s="4" t="str">
        <f>'Weight &amp; Balance'!B11</f>
        <v xml:space="preserve">Rear Passenger 1 </v>
      </c>
      <c r="C45" s="33">
        <f>'Weight &amp; Balance'!C11</f>
        <v>0</v>
      </c>
      <c r="D45" s="33" t="str">
        <f>'Weight &amp; Balance'!D11</f>
        <v>NULL</v>
      </c>
      <c r="E45" s="33" t="str">
        <f>'Weight &amp; Balance'!E11</f>
        <v>NULL</v>
      </c>
      <c r="G45" s="70"/>
      <c r="H45" s="70"/>
      <c r="I45" s="70"/>
      <c r="J45" s="70"/>
      <c r="K45" s="70"/>
      <c r="L45" s="70"/>
      <c r="M45" s="70"/>
      <c r="N45" s="70"/>
      <c r="O45" s="70"/>
      <c r="P45" s="70"/>
      <c r="Q45" s="70"/>
      <c r="R45" s="9"/>
    </row>
    <row r="46" spans="1:18" ht="14.45" customHeight="1" x14ac:dyDescent="0.25">
      <c r="B46" s="4" t="str">
        <f>'Weight &amp; Balance'!B12</f>
        <v xml:space="preserve">Rear Passenger 2 </v>
      </c>
      <c r="C46" s="33">
        <f>'Weight &amp; Balance'!C12</f>
        <v>0</v>
      </c>
      <c r="D46" s="33" t="str">
        <f>'Weight &amp; Balance'!D12</f>
        <v>NULL</v>
      </c>
      <c r="E46" s="33" t="str">
        <f>'Weight &amp; Balance'!E12</f>
        <v>NULL</v>
      </c>
      <c r="G46" s="70"/>
      <c r="H46" s="70"/>
      <c r="I46" s="70"/>
      <c r="J46" s="70"/>
      <c r="K46" s="70"/>
      <c r="L46" s="70"/>
      <c r="M46" s="70"/>
      <c r="N46" s="70"/>
      <c r="O46" s="70"/>
      <c r="P46" s="70"/>
      <c r="Q46" s="70"/>
      <c r="R46" s="9"/>
    </row>
    <row r="47" spans="1:18" ht="14.45" customHeight="1" x14ac:dyDescent="0.25">
      <c r="B47" s="2" t="str">
        <f>'Weight &amp; Balance'!B13</f>
        <v>Baggage</v>
      </c>
      <c r="C47" s="33">
        <f>'Weight &amp; Balance'!C13</f>
        <v>0</v>
      </c>
      <c r="D47" s="33" t="str">
        <f>'Weight &amp; Balance'!D13</f>
        <v>NULL</v>
      </c>
      <c r="E47" s="33" t="str">
        <f>'Weight &amp; Balance'!E13</f>
        <v>NULL</v>
      </c>
      <c r="G47" s="70"/>
      <c r="H47" s="70"/>
      <c r="I47" s="70"/>
      <c r="J47" s="70"/>
      <c r="K47" s="70"/>
      <c r="L47" s="70"/>
      <c r="M47" s="70"/>
      <c r="N47" s="70"/>
      <c r="O47" s="70"/>
      <c r="P47" s="70"/>
      <c r="Q47" s="70"/>
      <c r="R47" s="9"/>
    </row>
    <row r="48" spans="1:18" ht="14.45" customHeight="1" x14ac:dyDescent="0.25">
      <c r="B48" s="2" t="str">
        <f>'Weight &amp; Balance'!B14</f>
        <v>Fuel</v>
      </c>
      <c r="C48" s="33">
        <f>'Weight &amp; Balance'!C14</f>
        <v>0</v>
      </c>
      <c r="D48" s="33" t="str">
        <f>'Weight &amp; Balance'!D14</f>
        <v>NULL</v>
      </c>
      <c r="E48" s="33" t="str">
        <f>'Weight &amp; Balance'!E14</f>
        <v>NULL</v>
      </c>
      <c r="G48" s="70"/>
      <c r="H48" s="70"/>
      <c r="I48" s="70"/>
      <c r="J48" s="70"/>
      <c r="K48" s="70"/>
      <c r="L48" s="70"/>
      <c r="M48" s="70"/>
      <c r="N48" s="70"/>
      <c r="O48" s="70"/>
      <c r="P48" s="70"/>
      <c r="Q48" s="70"/>
      <c r="R48" s="9"/>
    </row>
    <row r="49" spans="1:18" ht="14.45" customHeight="1" x14ac:dyDescent="0.25">
      <c r="B49" s="2" t="str">
        <f>'Weight &amp; Balance'!B15</f>
        <v>Ramp totals</v>
      </c>
      <c r="C49" s="33">
        <f>'Weight &amp; Balance'!C15</f>
        <v>0</v>
      </c>
      <c r="D49" s="35" t="str">
        <f>'Weight &amp; Balance'!D15</f>
        <v>NULL</v>
      </c>
      <c r="E49" s="33">
        <f>'Weight &amp; Balance'!E15</f>
        <v>0</v>
      </c>
      <c r="G49" s="70"/>
      <c r="H49" s="70"/>
      <c r="I49" s="70"/>
      <c r="J49" s="70"/>
      <c r="K49" s="70"/>
      <c r="L49" s="70"/>
      <c r="M49" s="70"/>
      <c r="N49" s="70"/>
      <c r="O49" s="70"/>
      <c r="P49" s="70"/>
      <c r="Q49" s="70"/>
      <c r="R49" s="9"/>
    </row>
    <row r="50" spans="1:18" ht="14.45" customHeight="1" x14ac:dyDescent="0.25">
      <c r="B50" s="2" t="str">
        <f>'Weight &amp; Balance'!B16</f>
        <v>Fuel used for taxi</v>
      </c>
      <c r="C50" s="33">
        <f>'Weight &amp; Balance'!C16</f>
        <v>5</v>
      </c>
      <c r="D50" s="33" t="str">
        <f>'Weight &amp; Balance'!D16</f>
        <v>NULL</v>
      </c>
      <c r="E50" s="33" t="str">
        <f>'Weight &amp; Balance'!E16</f>
        <v>NULL</v>
      </c>
      <c r="G50" s="70"/>
      <c r="H50" s="70"/>
      <c r="I50" s="70"/>
      <c r="J50" s="70"/>
      <c r="K50" s="70"/>
      <c r="L50" s="70"/>
      <c r="M50" s="70"/>
      <c r="N50" s="70"/>
      <c r="O50" s="70"/>
      <c r="P50" s="70"/>
      <c r="Q50" s="70"/>
      <c r="R50" s="9"/>
    </row>
    <row r="51" spans="1:18" ht="14.45" customHeight="1" x14ac:dyDescent="0.25">
      <c r="B51" s="2" t="str">
        <f>'Weight &amp; Balance'!B17</f>
        <v>Take off totals</v>
      </c>
      <c r="C51" s="33">
        <f>'Weight &amp; Balance'!C17</f>
        <v>-5</v>
      </c>
      <c r="D51" s="35" t="str">
        <f>'Weight &amp; Balance'!D17</f>
        <v>NULL</v>
      </c>
      <c r="E51" s="33" t="str">
        <f>'Weight &amp; Balance'!E17</f>
        <v>NULL</v>
      </c>
      <c r="G51" s="70"/>
      <c r="H51" s="70"/>
      <c r="I51" s="70"/>
      <c r="J51" s="70"/>
      <c r="K51" s="70"/>
      <c r="L51" s="70"/>
      <c r="M51" s="70"/>
      <c r="N51" s="70"/>
      <c r="O51" s="70"/>
      <c r="P51" s="70"/>
      <c r="Q51" s="70"/>
      <c r="R51" s="9"/>
    </row>
    <row r="52" spans="1:18" s="9" customFormat="1" ht="14.45" customHeight="1" x14ac:dyDescent="0.25">
      <c r="B52" s="2" t="str">
        <f>'Weight &amp; Balance'!B18</f>
        <v>Less Forecast Route Fuel</v>
      </c>
      <c r="C52" s="33">
        <f>'Weight &amp; Balance'!C18</f>
        <v>0</v>
      </c>
      <c r="D52" s="35" t="str">
        <f>'Weight &amp; Balance'!D18</f>
        <v>NULL</v>
      </c>
      <c r="E52" s="33" t="str">
        <f>'Weight &amp; Balance'!E18</f>
        <v>NULL</v>
      </c>
      <c r="G52" s="70"/>
      <c r="H52" s="70"/>
      <c r="I52" s="70"/>
      <c r="J52" s="70"/>
      <c r="K52" s="70"/>
      <c r="L52" s="70"/>
      <c r="M52" s="70"/>
      <c r="N52" s="70"/>
      <c r="O52" s="70"/>
      <c r="P52" s="70"/>
      <c r="Q52" s="70"/>
    </row>
    <row r="53" spans="1:18" s="9" customFormat="1" ht="14.45" customHeight="1" x14ac:dyDescent="0.25">
      <c r="B53" s="2" t="str">
        <f>'Weight &amp; Balance'!B19</f>
        <v>Forecast Landing Totals</v>
      </c>
      <c r="C53" s="33">
        <f>'Weight &amp; Balance'!C19</f>
        <v>-5</v>
      </c>
      <c r="D53" s="35" t="str">
        <f>'Weight &amp; Balance'!D19</f>
        <v>NULL</v>
      </c>
      <c r="E53" s="33" t="str">
        <f>'Weight &amp; Balance'!E19</f>
        <v>NULL</v>
      </c>
      <c r="G53" s="70"/>
      <c r="H53" s="70"/>
      <c r="I53" s="70"/>
      <c r="J53" s="70"/>
      <c r="K53" s="70"/>
      <c r="L53" s="70"/>
      <c r="M53" s="70"/>
      <c r="N53" s="70"/>
      <c r="O53" s="70"/>
      <c r="P53" s="70"/>
      <c r="Q53" s="70"/>
    </row>
    <row r="54" spans="1:18" ht="14.45" customHeight="1" x14ac:dyDescent="0.25">
      <c r="B54" s="9"/>
      <c r="G54" s="70"/>
      <c r="H54" s="70"/>
      <c r="I54" s="70"/>
      <c r="J54" s="70"/>
      <c r="K54" s="70"/>
      <c r="L54" s="70"/>
      <c r="M54" s="70"/>
      <c r="N54" s="70"/>
      <c r="O54" s="70"/>
      <c r="P54" s="70"/>
      <c r="Q54" s="70"/>
      <c r="R54" s="9"/>
    </row>
    <row r="55" spans="1:18" ht="14.45" customHeight="1" x14ac:dyDescent="0.25">
      <c r="B55" s="9" t="s">
        <v>117</v>
      </c>
      <c r="C55" s="9" t="s">
        <v>196</v>
      </c>
      <c r="D55" s="9" t="s">
        <v>118</v>
      </c>
      <c r="E55" s="9" t="s">
        <v>192</v>
      </c>
      <c r="G55" s="70"/>
      <c r="H55" s="70"/>
      <c r="I55" s="70"/>
      <c r="J55" s="70"/>
      <c r="K55" s="70"/>
      <c r="L55" s="70"/>
      <c r="M55" s="70"/>
      <c r="N55" s="70"/>
      <c r="O55" s="70"/>
      <c r="P55" s="70"/>
      <c r="Q55" s="70"/>
      <c r="R55" s="9"/>
    </row>
    <row r="56" spans="1:18" ht="14.45" customHeight="1" x14ac:dyDescent="0.25">
      <c r="A56" s="3"/>
      <c r="B56" s="37" t="str">
        <f>'Weight &amp; Balance'!H17</f>
        <v>NULL</v>
      </c>
      <c r="C56" s="37">
        <f>'Weight &amp; Balance'!I17</f>
        <v>0</v>
      </c>
      <c r="D56" s="37" t="str">
        <f>'Weight &amp; Balance'!J17</f>
        <v>NULL</v>
      </c>
      <c r="E56" s="37" t="e">
        <f>'Weight &amp; Balance'!K17</f>
        <v>#VALUE!</v>
      </c>
      <c r="G56" s="70"/>
      <c r="H56" s="70"/>
      <c r="I56" s="70"/>
      <c r="J56" s="70"/>
      <c r="K56" s="70"/>
      <c r="L56" s="70"/>
      <c r="M56" s="70"/>
      <c r="N56" s="70"/>
      <c r="O56" s="70"/>
      <c r="P56" s="70"/>
      <c r="Q56" s="70"/>
      <c r="R56" s="9"/>
    </row>
    <row r="57" spans="1:18" ht="14.45" customHeight="1" x14ac:dyDescent="0.25">
      <c r="B57" s="9"/>
      <c r="G57" s="70"/>
      <c r="H57" s="70"/>
      <c r="I57" s="70"/>
      <c r="J57" s="70"/>
      <c r="K57" s="70"/>
      <c r="L57" s="70"/>
      <c r="M57" s="70"/>
      <c r="N57" s="70"/>
      <c r="O57" s="70"/>
      <c r="P57" s="70"/>
      <c r="Q57" s="70"/>
      <c r="R57" s="9"/>
    </row>
    <row r="58" spans="1:18" x14ac:dyDescent="0.25">
      <c r="B58" s="9"/>
      <c r="R58" s="9"/>
    </row>
    <row r="59" spans="1:18" x14ac:dyDescent="0.25">
      <c r="B59" s="9"/>
    </row>
  </sheetData>
  <dataConsolidate/>
  <mergeCells count="2">
    <mergeCell ref="B40:B41"/>
    <mergeCell ref="G40:Q57"/>
  </mergeCells>
  <conditionalFormatting sqref="R7:R16">
    <cfRule type="cellIs" dxfId="5" priority="19" operator="equal">
      <formula>"-"</formula>
    </cfRule>
    <cfRule type="cellIs" dxfId="4" priority="20" operator="equal">
      <formula>"SAFE"</formula>
    </cfRule>
    <cfRule type="cellIs" dxfId="3" priority="21" operator="equal">
      <formula>"AVOID"</formula>
    </cfRule>
  </conditionalFormatting>
  <conditionalFormatting sqref="R24:R33">
    <cfRule type="cellIs" dxfId="2" priority="1" operator="equal">
      <formula>"-"</formula>
    </cfRule>
    <cfRule type="cellIs" dxfId="1" priority="2" operator="equal">
      <formula>"SAFE"</formula>
    </cfRule>
    <cfRule type="cellIs" dxfId="0" priority="3" operator="equal">
      <formula>"AVOID"</formula>
    </cfRule>
  </conditionalFormatting>
  <pageMargins left="0.25" right="0.25" top="0.75" bottom="0.75" header="0.3" footer="0.3"/>
  <pageSetup paperSize="9" scale="48"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sheetPr>
  <dimension ref="A1:L22"/>
  <sheetViews>
    <sheetView view="pageBreakPreview" zoomScale="90" zoomScaleNormal="100" zoomScaleSheetLayoutView="90" workbookViewId="0">
      <selection activeCell="L2" sqref="L2"/>
    </sheetView>
  </sheetViews>
  <sheetFormatPr defaultRowHeight="15" x14ac:dyDescent="0.25"/>
  <sheetData>
    <row r="1" spans="1:12" x14ac:dyDescent="0.25">
      <c r="A1" s="1"/>
      <c r="B1" s="1"/>
      <c r="C1" s="1"/>
      <c r="D1" s="1"/>
      <c r="E1" s="1"/>
      <c r="F1" s="1"/>
      <c r="G1" s="1"/>
      <c r="H1" s="1"/>
      <c r="I1" s="1"/>
      <c r="J1" s="1"/>
      <c r="K1" s="1"/>
      <c r="L1" s="1"/>
    </row>
    <row r="2" spans="1:12" x14ac:dyDescent="0.25">
      <c r="A2" s="1"/>
      <c r="B2" s="1"/>
      <c r="C2" s="1"/>
      <c r="D2" s="1"/>
      <c r="E2" s="1"/>
      <c r="F2" s="1"/>
      <c r="G2" s="1"/>
      <c r="H2" s="1"/>
      <c r="I2" s="1"/>
      <c r="J2" s="1"/>
      <c r="K2" s="1"/>
      <c r="L2" s="1"/>
    </row>
    <row r="3" spans="1:12" x14ac:dyDescent="0.25">
      <c r="A3" s="1"/>
      <c r="B3" s="1"/>
      <c r="C3" s="1"/>
      <c r="D3" s="1"/>
      <c r="E3" s="1"/>
      <c r="F3" s="1"/>
      <c r="G3" s="1"/>
      <c r="H3" s="1"/>
      <c r="I3" s="1"/>
      <c r="J3" s="1"/>
      <c r="K3" s="1"/>
      <c r="L3" s="1"/>
    </row>
    <row r="4" spans="1:12" x14ac:dyDescent="0.25">
      <c r="A4" s="1"/>
      <c r="B4" s="1"/>
      <c r="C4" s="1"/>
      <c r="D4" s="1"/>
      <c r="E4" s="1"/>
      <c r="F4" s="1"/>
      <c r="G4" s="1"/>
      <c r="H4" s="1"/>
      <c r="I4" s="1"/>
      <c r="J4" s="1"/>
      <c r="K4" s="1"/>
      <c r="L4" s="1"/>
    </row>
    <row r="5" spans="1:12" x14ac:dyDescent="0.25">
      <c r="A5" s="1"/>
      <c r="B5" s="1"/>
      <c r="C5" s="1"/>
      <c r="D5" s="1"/>
      <c r="E5" s="1"/>
      <c r="F5" s="1"/>
      <c r="G5" s="1"/>
      <c r="H5" s="1"/>
      <c r="I5" s="1"/>
      <c r="J5" s="1"/>
      <c r="K5" s="1"/>
      <c r="L5" s="1"/>
    </row>
    <row r="6" spans="1:12" x14ac:dyDescent="0.25">
      <c r="A6" s="1"/>
      <c r="B6" s="1"/>
      <c r="C6" s="1"/>
      <c r="D6" s="1"/>
      <c r="E6" s="1"/>
      <c r="F6" s="1"/>
      <c r="G6" s="1"/>
      <c r="H6" s="1"/>
      <c r="I6" s="1"/>
      <c r="J6" s="1"/>
      <c r="K6" s="1"/>
      <c r="L6" s="1"/>
    </row>
    <row r="7" spans="1:12" x14ac:dyDescent="0.25">
      <c r="A7" s="1"/>
      <c r="B7" s="1"/>
      <c r="C7" s="1"/>
      <c r="D7" s="1"/>
      <c r="E7" s="1"/>
      <c r="F7" s="1"/>
      <c r="G7" s="1"/>
      <c r="H7" s="1"/>
      <c r="I7" s="1"/>
      <c r="J7" s="1"/>
      <c r="K7" s="1"/>
      <c r="L7" s="1"/>
    </row>
    <row r="8" spans="1:12" x14ac:dyDescent="0.25">
      <c r="A8" s="1"/>
      <c r="B8" s="1"/>
      <c r="C8" s="1"/>
      <c r="D8" s="1"/>
      <c r="E8" s="1"/>
      <c r="F8" s="1"/>
      <c r="G8" s="1"/>
      <c r="H8" s="1"/>
      <c r="I8" s="1"/>
      <c r="J8" s="1"/>
      <c r="K8" s="1"/>
      <c r="L8" s="1"/>
    </row>
    <row r="9" spans="1:12" x14ac:dyDescent="0.25">
      <c r="A9" s="1"/>
      <c r="B9" s="1"/>
      <c r="C9" s="1"/>
      <c r="D9" s="1"/>
      <c r="E9" s="1"/>
      <c r="F9" s="1"/>
      <c r="G9" s="1"/>
      <c r="H9" s="1"/>
      <c r="I9" s="1"/>
      <c r="J9" s="1"/>
      <c r="K9" s="1"/>
      <c r="L9" s="1"/>
    </row>
    <row r="10" spans="1:12" x14ac:dyDescent="0.25">
      <c r="A10" s="1"/>
      <c r="B10" s="1"/>
      <c r="C10" s="1"/>
      <c r="D10" s="1"/>
      <c r="E10" s="1"/>
      <c r="F10" s="1"/>
      <c r="G10" s="1"/>
      <c r="H10" s="1"/>
      <c r="I10" s="1"/>
      <c r="J10" s="1"/>
      <c r="K10" s="1"/>
      <c r="L10" s="1"/>
    </row>
    <row r="11" spans="1:12" x14ac:dyDescent="0.25">
      <c r="A11" s="1"/>
      <c r="B11" s="1"/>
      <c r="C11" s="1"/>
      <c r="D11" s="1"/>
      <c r="E11" s="1"/>
      <c r="F11" s="1"/>
      <c r="G11" s="1"/>
      <c r="H11" s="1"/>
      <c r="I11" s="1"/>
      <c r="J11" s="1"/>
      <c r="K11" s="1"/>
      <c r="L11" s="1"/>
    </row>
    <row r="12" spans="1:12" x14ac:dyDescent="0.25">
      <c r="A12" s="1"/>
      <c r="B12" s="1"/>
      <c r="C12" s="1"/>
      <c r="D12" s="1"/>
      <c r="E12" s="1"/>
      <c r="F12" s="1"/>
      <c r="G12" s="1"/>
      <c r="H12" s="1"/>
      <c r="I12" s="1"/>
      <c r="J12" s="1"/>
      <c r="K12" s="1"/>
      <c r="L12" s="1"/>
    </row>
    <row r="13" spans="1:12" x14ac:dyDescent="0.25">
      <c r="A13" s="1"/>
      <c r="B13" s="1"/>
      <c r="C13" s="1"/>
      <c r="D13" s="1"/>
      <c r="E13" s="1"/>
      <c r="F13" s="1"/>
      <c r="G13" s="1"/>
      <c r="H13" s="1"/>
      <c r="I13" s="1"/>
      <c r="J13" s="1"/>
      <c r="K13" s="1"/>
      <c r="L13" s="1"/>
    </row>
    <row r="14" spans="1:12" x14ac:dyDescent="0.25">
      <c r="A14" s="1"/>
      <c r="B14" s="1"/>
      <c r="C14" s="1"/>
      <c r="D14" s="1"/>
      <c r="E14" s="1"/>
      <c r="F14" s="1"/>
      <c r="G14" s="1"/>
      <c r="H14" s="1"/>
      <c r="I14" s="1"/>
      <c r="J14" s="1"/>
      <c r="K14" s="1"/>
      <c r="L14" s="1"/>
    </row>
    <row r="15" spans="1:12" x14ac:dyDescent="0.25">
      <c r="A15" s="1"/>
      <c r="B15" s="1"/>
      <c r="C15" s="1"/>
      <c r="D15" s="1"/>
      <c r="E15" s="1"/>
      <c r="F15" s="1"/>
      <c r="G15" s="1"/>
      <c r="H15" s="1"/>
      <c r="I15" s="1"/>
      <c r="J15" s="1"/>
      <c r="K15" s="1"/>
      <c r="L15" s="1"/>
    </row>
    <row r="16" spans="1:12" x14ac:dyDescent="0.25">
      <c r="A16" s="1"/>
      <c r="B16" s="1"/>
      <c r="C16" s="1"/>
      <c r="D16" s="1"/>
      <c r="E16" s="1"/>
      <c r="F16" s="1"/>
      <c r="G16" s="1"/>
      <c r="H16" s="1"/>
      <c r="I16" s="1"/>
      <c r="J16" s="1"/>
      <c r="K16" s="1"/>
      <c r="L16" s="1"/>
    </row>
    <row r="17" spans="1:12" x14ac:dyDescent="0.25">
      <c r="A17" s="1"/>
      <c r="B17" s="1"/>
      <c r="C17" s="1"/>
      <c r="D17" s="1"/>
      <c r="E17" s="1"/>
      <c r="F17" s="1"/>
      <c r="G17" s="1"/>
      <c r="H17" s="1"/>
      <c r="I17" s="1"/>
      <c r="J17" s="1"/>
      <c r="K17" s="1"/>
      <c r="L17" s="1"/>
    </row>
    <row r="18" spans="1:12" x14ac:dyDescent="0.25">
      <c r="A18" s="1"/>
      <c r="B18" s="1"/>
      <c r="C18" s="1"/>
      <c r="D18" s="1"/>
      <c r="E18" s="1"/>
      <c r="F18" s="1"/>
      <c r="G18" s="1"/>
      <c r="H18" s="1"/>
      <c r="I18" s="1"/>
      <c r="J18" s="1"/>
      <c r="K18" s="1"/>
      <c r="L18" s="1"/>
    </row>
    <row r="19" spans="1:12" x14ac:dyDescent="0.25">
      <c r="A19" s="1"/>
      <c r="B19" s="1"/>
      <c r="C19" s="1"/>
      <c r="D19" s="1"/>
      <c r="E19" s="1"/>
      <c r="F19" s="1"/>
      <c r="G19" s="1"/>
      <c r="H19" s="1"/>
      <c r="I19" s="1"/>
      <c r="J19" s="1"/>
      <c r="K19" s="1"/>
      <c r="L19" s="1"/>
    </row>
    <row r="20" spans="1:12" x14ac:dyDescent="0.25">
      <c r="A20" s="1"/>
      <c r="B20" s="1"/>
      <c r="C20" s="1"/>
      <c r="D20" s="1"/>
      <c r="E20" s="1"/>
      <c r="F20" s="1"/>
      <c r="G20" s="1"/>
      <c r="H20" s="1"/>
      <c r="I20" s="1"/>
      <c r="J20" s="1"/>
      <c r="K20" s="1"/>
      <c r="L20" s="1"/>
    </row>
    <row r="21" spans="1:12" x14ac:dyDescent="0.25">
      <c r="A21" s="1"/>
      <c r="B21" s="1"/>
      <c r="C21" s="1"/>
      <c r="D21" s="1"/>
      <c r="E21" s="1"/>
      <c r="F21" s="1"/>
      <c r="G21" s="1"/>
      <c r="H21" s="1"/>
      <c r="I21" s="1"/>
      <c r="J21" s="1"/>
      <c r="K21" s="1"/>
      <c r="L21" s="1"/>
    </row>
    <row r="22" spans="1:12" x14ac:dyDescent="0.25">
      <c r="A22" s="1"/>
      <c r="B22" s="1"/>
      <c r="C22" s="1"/>
      <c r="D22" s="1"/>
      <c r="E22" s="1"/>
      <c r="F22" s="1"/>
      <c r="G22" s="1"/>
      <c r="H22" s="1"/>
      <c r="I22" s="1"/>
      <c r="J22" s="1"/>
      <c r="K22" s="1"/>
      <c r="L22" s="1"/>
    </row>
  </sheetData>
  <sheetProtection password="CB5C" sheet="1" objects="1" scenarios="1"/>
  <pageMargins left="0.7" right="0.7" top="0.75" bottom="0.75" header="0.3" footer="0.3"/>
  <pageSetup paperSize="9" scale="79" orientation="portrait" horizontalDpi="4294967293" verticalDpi="4294967293"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
  <sheetViews>
    <sheetView showGridLines="0" workbookViewId="0">
      <selection activeCell="K5" sqref="K5"/>
    </sheetView>
  </sheetViews>
  <sheetFormatPr defaultColWidth="8.85546875" defaultRowHeight="15" x14ac:dyDescent="0.25"/>
  <cols>
    <col min="1" max="16384" width="8.85546875" style="44"/>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12</vt:i4>
      </vt:variant>
    </vt:vector>
  </HeadingPairs>
  <TitlesOfParts>
    <vt:vector size="25" baseType="lpstr">
      <vt:lpstr>Introduction</vt:lpstr>
      <vt:lpstr>Variables</vt:lpstr>
      <vt:lpstr>Aircraft Schedule Info</vt:lpstr>
      <vt:lpstr>Airfields &amp; Performance Factors</vt:lpstr>
      <vt:lpstr>Weight &amp; Balance</vt:lpstr>
      <vt:lpstr>C152 W&amp;B Envelope</vt:lpstr>
      <vt:lpstr>C172 W&amp;B Envelope</vt:lpstr>
      <vt:lpstr>PA28 W&amp;B Envelope</vt:lpstr>
      <vt:lpstr>PA28R-200 W&amp;B Envelope</vt:lpstr>
      <vt:lpstr>PA28R-201 W&amp;B Envelope</vt:lpstr>
      <vt:lpstr>Performance Calcs &amp; Print Out</vt:lpstr>
      <vt:lpstr>Appendix 1 -AVGAS Fuel Conv</vt:lpstr>
      <vt:lpstr>Appendix 2 -AVTUR Fuel Conv</vt:lpstr>
      <vt:lpstr>Aircraft_Call_Sign</vt:lpstr>
      <vt:lpstr>Aircraft_Types</vt:lpstr>
      <vt:lpstr>Airfields</vt:lpstr>
      <vt:lpstr>Variables!Criteria</vt:lpstr>
      <vt:lpstr>'Aircraft Schedule Info'!Extract</vt:lpstr>
      <vt:lpstr>Variables!Extract</vt:lpstr>
      <vt:lpstr>Fuel_Type</vt:lpstr>
      <vt:lpstr>ISA_Density</vt:lpstr>
      <vt:lpstr>ISA_Pressure</vt:lpstr>
      <vt:lpstr>ISA_Temp</vt:lpstr>
      <vt:lpstr>ISA_Temp_Lapse</vt:lpstr>
      <vt:lpstr>SP.G_Conversion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Nicholas</dc:creator>
  <cp:lastModifiedBy>Jon</cp:lastModifiedBy>
  <cp:lastPrinted>2017-10-26T13:52:13Z</cp:lastPrinted>
  <dcterms:created xsi:type="dcterms:W3CDTF">2014-12-16T09:33:41Z</dcterms:created>
  <dcterms:modified xsi:type="dcterms:W3CDTF">2017-10-26T13:52:16Z</dcterms:modified>
</cp:coreProperties>
</file>