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45" windowWidth="20730" windowHeight="11760" tabRatio="799"/>
  </bookViews>
  <sheets>
    <sheet name="Summary" sheetId="15" r:id="rId1"/>
    <sheet name="Modules" sheetId="10" r:id="rId2"/>
    <sheet name="Controller PCB" sheetId="4" r:id="rId3"/>
    <sheet name="Battery Charger PCB" sheetId="6" r:id="rId4"/>
    <sheet name="Proximity Sensor PCB" sheetId="7" r:id="rId5"/>
    <sheet name="Gearbox" sheetId="8" r:id="rId6"/>
    <sheet name="Slipring" sheetId="17" r:id="rId7"/>
    <sheet name="Connector PCB" sheetId="9" r:id="rId8"/>
    <sheet name="Module Shell" sheetId="11" r:id="rId9"/>
    <sheet name="Battery Module Internals" sheetId="12" r:id="rId10"/>
    <sheet name="Misc" sheetId="13" r:id="rId11"/>
  </sheets>
  <definedNames>
    <definedName name="OBJET_PER_CM3">Summary!$D$18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5"/>
  <c r="F2"/>
  <c r="G2"/>
  <c r="H2"/>
  <c r="I2"/>
  <c r="J2"/>
  <c r="K2"/>
  <c r="L2"/>
  <c r="M2"/>
  <c r="D2"/>
  <c r="I2" i="10"/>
  <c r="N2"/>
  <c r="I30"/>
  <c r="T2" i="11"/>
  <c r="L30" i="10"/>
  <c r="W2" i="11"/>
  <c r="M30" i="10"/>
  <c r="X2" i="11"/>
  <c r="N30" i="10"/>
  <c r="Y2" i="11"/>
  <c r="Y3"/>
  <c r="Y4"/>
  <c r="Y5"/>
  <c r="Y6"/>
  <c r="Y7"/>
  <c r="Y8"/>
  <c r="N3" i="10"/>
  <c r="AA2" i="4"/>
  <c r="L2" i="10"/>
  <c r="AD2" i="4"/>
  <c r="M2" i="10"/>
  <c r="AE2" i="4"/>
  <c r="AF2"/>
  <c r="AF3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N4" i="10"/>
  <c r="AL2" i="9"/>
  <c r="AO2"/>
  <c r="AP2"/>
  <c r="AQ2"/>
  <c r="AQ3"/>
  <c r="AQ4"/>
  <c r="AQ5"/>
  <c r="AQ6"/>
  <c r="AQ7"/>
  <c r="AQ8"/>
  <c r="N5" i="10"/>
  <c r="Z2" i="7"/>
  <c r="AC2"/>
  <c r="AE2"/>
  <c r="N18" i="10"/>
  <c r="AF2" i="7"/>
  <c r="AE3"/>
  <c r="AE4"/>
  <c r="AE5"/>
  <c r="AE6"/>
  <c r="AE7"/>
  <c r="AE8"/>
  <c r="N6" i="10"/>
  <c r="Y2" i="8"/>
  <c r="J30" i="10"/>
  <c r="Z2" i="8"/>
  <c r="Y3"/>
  <c r="Y4"/>
  <c r="Y5"/>
  <c r="Y6"/>
  <c r="Y7"/>
  <c r="Y8"/>
  <c r="Y9"/>
  <c r="Y10"/>
  <c r="Y11"/>
  <c r="Y12"/>
  <c r="Y13"/>
  <c r="I7" i="10"/>
  <c r="Y2" i="17"/>
  <c r="Z2"/>
  <c r="Y3"/>
  <c r="Y4"/>
  <c r="I9" i="10"/>
  <c r="J18"/>
  <c r="N19"/>
  <c r="N20"/>
  <c r="N21"/>
  <c r="AF3" i="7"/>
  <c r="AF4"/>
  <c r="AF5"/>
  <c r="AF6"/>
  <c r="AF7"/>
  <c r="AF8"/>
  <c r="N22" i="10"/>
  <c r="I18"/>
  <c r="AA2" i="6"/>
  <c r="E18" i="10"/>
  <c r="W2" i="6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L18" i="10"/>
  <c r="AD2" i="6"/>
  <c r="AB2"/>
  <c r="K18" i="10"/>
  <c r="AC2" i="6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J24" i="10"/>
  <c r="X2" i="12"/>
  <c r="T2"/>
  <c r="T3"/>
  <c r="T4"/>
  <c r="T5"/>
  <c r="T6"/>
  <c r="AA2"/>
  <c r="Y2"/>
  <c r="Z2"/>
  <c r="Y3"/>
  <c r="Y4"/>
  <c r="Y5"/>
  <c r="Y6"/>
  <c r="J25" i="10"/>
  <c r="K30"/>
  <c r="N31"/>
  <c r="N32"/>
  <c r="N33"/>
  <c r="N34"/>
  <c r="D30"/>
  <c r="O2" i="11"/>
  <c r="O3"/>
  <c r="O4"/>
  <c r="O5"/>
  <c r="I6"/>
  <c r="O6"/>
  <c r="I7"/>
  <c r="O7"/>
  <c r="O8"/>
  <c r="U2"/>
  <c r="V2"/>
  <c r="D2" i="10"/>
  <c r="V2" i="4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J2" i="10"/>
  <c r="AB2" i="4"/>
  <c r="K2" i="10"/>
  <c r="AC2" i="4"/>
  <c r="AG2" i="9"/>
  <c r="AG3"/>
  <c r="AG4"/>
  <c r="AG5"/>
  <c r="AG6"/>
  <c r="AG7"/>
  <c r="AG8"/>
  <c r="AM2"/>
  <c r="AN2"/>
  <c r="U2" i="7"/>
  <c r="U3"/>
  <c r="U4"/>
  <c r="U5"/>
  <c r="U6"/>
  <c r="U7"/>
  <c r="U8"/>
  <c r="AA2"/>
  <c r="AB2"/>
  <c r="AD2"/>
  <c r="T2" i="8"/>
  <c r="T3"/>
  <c r="T4"/>
  <c r="T5"/>
  <c r="T6"/>
  <c r="T7"/>
  <c r="J8"/>
  <c r="T8"/>
  <c r="J9"/>
  <c r="T9"/>
  <c r="J10"/>
  <c r="T10"/>
  <c r="J11"/>
  <c r="T11"/>
  <c r="J12"/>
  <c r="T12"/>
  <c r="T13"/>
  <c r="O8"/>
  <c r="O9"/>
  <c r="O10"/>
  <c r="O11"/>
  <c r="O12"/>
  <c r="AA2"/>
  <c r="AB2"/>
  <c r="AC2"/>
  <c r="AD2"/>
  <c r="AD3"/>
  <c r="AD4"/>
  <c r="AD5"/>
  <c r="AD6"/>
  <c r="AD7"/>
  <c r="AD8"/>
  <c r="AD9"/>
  <c r="AD10"/>
  <c r="AD11"/>
  <c r="AD12"/>
  <c r="AD13"/>
  <c r="N8" i="10"/>
  <c r="T2" i="17"/>
  <c r="T3"/>
  <c r="T4"/>
  <c r="AA2"/>
  <c r="AB2"/>
  <c r="AC2"/>
  <c r="AD2"/>
  <c r="AD3"/>
  <c r="AD4"/>
  <c r="N23" i="10"/>
  <c r="D18"/>
  <c r="V2" i="6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F18" i="10"/>
  <c r="X2" i="6"/>
  <c r="M18" i="10"/>
  <c r="AE2" i="6"/>
  <c r="AF2"/>
  <c r="AF3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S2" i="12"/>
  <c r="S3"/>
  <c r="S4"/>
  <c r="I5"/>
  <c r="S5"/>
  <c r="S6"/>
  <c r="U2"/>
  <c r="AB2"/>
  <c r="AC2"/>
  <c r="AC3"/>
  <c r="AC4"/>
  <c r="AC5"/>
  <c r="AC6"/>
  <c r="N35" i="10"/>
  <c r="AE24" i="4"/>
  <c r="AE3"/>
  <c r="AE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5"/>
  <c r="AE26"/>
  <c r="AE27"/>
  <c r="AE28"/>
  <c r="AE29"/>
  <c r="AE30"/>
  <c r="AE32"/>
  <c r="G30" i="10"/>
  <c r="R2" i="11"/>
  <c r="F2" i="10"/>
  <c r="F30"/>
  <c r="Q2" i="11"/>
  <c r="Q3"/>
  <c r="Q4"/>
  <c r="Q5"/>
  <c r="Q6"/>
  <c r="Q7"/>
  <c r="Q8"/>
  <c r="F3" i="10"/>
  <c r="G2"/>
  <c r="Y2" i="4"/>
  <c r="X2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F4" i="10"/>
  <c r="AJ2" i="9"/>
  <c r="AI2"/>
  <c r="AI3"/>
  <c r="AI4"/>
  <c r="AI5"/>
  <c r="AI6"/>
  <c r="AI7"/>
  <c r="AI8"/>
  <c r="F5" i="10"/>
  <c r="X2" i="7"/>
  <c r="W2"/>
  <c r="W3"/>
  <c r="W4"/>
  <c r="W5"/>
  <c r="W6"/>
  <c r="W7"/>
  <c r="W8"/>
  <c r="F6" i="10"/>
  <c r="W2" i="8"/>
  <c r="V2"/>
  <c r="V3"/>
  <c r="V4"/>
  <c r="V5"/>
  <c r="V6"/>
  <c r="V7"/>
  <c r="V8"/>
  <c r="V9"/>
  <c r="V10"/>
  <c r="V11"/>
  <c r="V12"/>
  <c r="V13"/>
  <c r="F7" i="10"/>
  <c r="W2" i="17"/>
  <c r="V2"/>
  <c r="V3"/>
  <c r="V4"/>
  <c r="F9" i="10"/>
  <c r="F8"/>
  <c r="F10"/>
  <c r="F11"/>
  <c r="E3" i="15"/>
  <c r="G18" i="10"/>
  <c r="H30"/>
  <c r="S2" i="11"/>
  <c r="T3"/>
  <c r="T4"/>
  <c r="T5"/>
  <c r="T6"/>
  <c r="T7"/>
  <c r="T8"/>
  <c r="U3"/>
  <c r="U4"/>
  <c r="U5"/>
  <c r="U6"/>
  <c r="U7"/>
  <c r="U8"/>
  <c r="V3"/>
  <c r="V4"/>
  <c r="V5"/>
  <c r="V6"/>
  <c r="V7"/>
  <c r="V8"/>
  <c r="W3"/>
  <c r="W4"/>
  <c r="W5"/>
  <c r="W6"/>
  <c r="W7"/>
  <c r="W8"/>
  <c r="R3"/>
  <c r="R4"/>
  <c r="R5"/>
  <c r="R6"/>
  <c r="R7"/>
  <c r="R8"/>
  <c r="G19" i="10"/>
  <c r="H2"/>
  <c r="Z2" i="4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C3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D3"/>
  <c r="AD4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G20" i="10"/>
  <c r="AK2" i="9"/>
  <c r="AL3"/>
  <c r="AL4"/>
  <c r="AL5"/>
  <c r="AL6"/>
  <c r="AL7"/>
  <c r="AL8"/>
  <c r="AM3"/>
  <c r="AM4"/>
  <c r="AM5"/>
  <c r="AM6"/>
  <c r="AM7"/>
  <c r="AM8"/>
  <c r="AN3"/>
  <c r="AN4"/>
  <c r="AN5"/>
  <c r="AN6"/>
  <c r="AN7"/>
  <c r="AN8"/>
  <c r="AO3"/>
  <c r="AO4"/>
  <c r="AO5"/>
  <c r="AO6"/>
  <c r="AO7"/>
  <c r="AO8"/>
  <c r="AJ3"/>
  <c r="AJ4"/>
  <c r="AJ5"/>
  <c r="AJ6"/>
  <c r="AJ7"/>
  <c r="AJ8"/>
  <c r="G21" i="10"/>
  <c r="Y2" i="7"/>
  <c r="Y3"/>
  <c r="Y4"/>
  <c r="Y5"/>
  <c r="Y6"/>
  <c r="Y7"/>
  <c r="Y8"/>
  <c r="AA3"/>
  <c r="AA4"/>
  <c r="AA5"/>
  <c r="AA6"/>
  <c r="AA7"/>
  <c r="AA8"/>
  <c r="AB3"/>
  <c r="AB4"/>
  <c r="AB5"/>
  <c r="AB6"/>
  <c r="AB7"/>
  <c r="AB8"/>
  <c r="AC3"/>
  <c r="AC4"/>
  <c r="AC5"/>
  <c r="AC6"/>
  <c r="AC7"/>
  <c r="AC8"/>
  <c r="AD3"/>
  <c r="AD4"/>
  <c r="AD5"/>
  <c r="AD6"/>
  <c r="AD7"/>
  <c r="AD8"/>
  <c r="X3"/>
  <c r="X4"/>
  <c r="X5"/>
  <c r="X6"/>
  <c r="X7"/>
  <c r="X8"/>
  <c r="G22" i="10"/>
  <c r="Y2" i="6"/>
  <c r="H18" i="10"/>
  <c r="Z2" i="6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C3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D3"/>
  <c r="AD4"/>
  <c r="AD5"/>
  <c r="AD6"/>
  <c r="AD7"/>
  <c r="AD8"/>
  <c r="AD9"/>
  <c r="AD10"/>
  <c r="AD11"/>
  <c r="AD12"/>
  <c r="AD13"/>
  <c r="AD14"/>
  <c r="AD15"/>
  <c r="AD16"/>
  <c r="AD17"/>
  <c r="AD18"/>
  <c r="AD19"/>
  <c r="AD20"/>
  <c r="AD21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G24" i="10"/>
  <c r="G23"/>
  <c r="G26"/>
  <c r="G27"/>
  <c r="F5" i="15"/>
  <c r="S3" i="11"/>
  <c r="S4"/>
  <c r="S5"/>
  <c r="S6"/>
  <c r="S7"/>
  <c r="S8"/>
  <c r="X3"/>
  <c r="X4"/>
  <c r="X5"/>
  <c r="X6"/>
  <c r="X7"/>
  <c r="X8"/>
  <c r="H31" i="10"/>
  <c r="Z3" i="4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H32" i="10"/>
  <c r="AK3" i="9"/>
  <c r="AK4"/>
  <c r="AK5"/>
  <c r="AK6"/>
  <c r="AK7"/>
  <c r="AK8"/>
  <c r="AP3"/>
  <c r="AP4"/>
  <c r="AP5"/>
  <c r="AP6"/>
  <c r="AP7"/>
  <c r="AP8"/>
  <c r="H33" i="10"/>
  <c r="H34"/>
  <c r="H35"/>
  <c r="H36"/>
  <c r="H37"/>
  <c r="G6" i="15"/>
  <c r="C35" i="10"/>
  <c r="C34"/>
  <c r="C33"/>
  <c r="C32"/>
  <c r="C31"/>
  <c r="C25"/>
  <c r="C24"/>
  <c r="C23"/>
  <c r="C22"/>
  <c r="C21"/>
  <c r="C20"/>
  <c r="C19"/>
  <c r="C9"/>
  <c r="C8"/>
  <c r="C7"/>
  <c r="C6"/>
  <c r="C5"/>
  <c r="C4"/>
  <c r="C3"/>
  <c r="E30"/>
  <c r="P2" i="11"/>
  <c r="D3"/>
  <c r="I3"/>
  <c r="P3"/>
  <c r="D4"/>
  <c r="I4"/>
  <c r="P4"/>
  <c r="P5"/>
  <c r="P6"/>
  <c r="P7"/>
  <c r="P8"/>
  <c r="E2" i="10"/>
  <c r="M3" i="11"/>
  <c r="M4"/>
  <c r="L6"/>
  <c r="L7"/>
  <c r="E3" i="10"/>
  <c r="J28" i="4"/>
  <c r="W2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E4" i="10"/>
  <c r="P3" i="9"/>
  <c r="Q3"/>
  <c r="R3"/>
  <c r="S3"/>
  <c r="J5"/>
  <c r="J6"/>
  <c r="J7"/>
  <c r="AH2"/>
  <c r="AH3"/>
  <c r="M4"/>
  <c r="AH4"/>
  <c r="M5"/>
  <c r="AH5"/>
  <c r="M6"/>
  <c r="AH6"/>
  <c r="M7"/>
  <c r="AH7"/>
  <c r="AH8"/>
  <c r="AE5"/>
  <c r="AB6"/>
  <c r="AC6"/>
  <c r="AD6"/>
  <c r="AE6"/>
  <c r="AC7"/>
  <c r="AE7"/>
  <c r="E5" i="10"/>
  <c r="V2" i="7"/>
  <c r="V3"/>
  <c r="V4"/>
  <c r="V5"/>
  <c r="V6"/>
  <c r="J7"/>
  <c r="K7"/>
  <c r="V7"/>
  <c r="V8"/>
  <c r="N7"/>
  <c r="O7"/>
  <c r="P7"/>
  <c r="Q7"/>
  <c r="R7"/>
  <c r="S7"/>
  <c r="E6" i="10"/>
  <c r="A4" i="8"/>
  <c r="A5"/>
  <c r="P5"/>
  <c r="A6"/>
  <c r="J6"/>
  <c r="A7"/>
  <c r="J7"/>
  <c r="A8"/>
  <c r="A9"/>
  <c r="A10"/>
  <c r="A11"/>
  <c r="A12"/>
  <c r="U2"/>
  <c r="U3"/>
  <c r="U4"/>
  <c r="Q5"/>
  <c r="U5"/>
  <c r="L6"/>
  <c r="U6"/>
  <c r="L7"/>
  <c r="U7"/>
  <c r="L8"/>
  <c r="U8"/>
  <c r="L9"/>
  <c r="U9"/>
  <c r="L10"/>
  <c r="U10"/>
  <c r="L11"/>
  <c r="U11"/>
  <c r="L12"/>
  <c r="U12"/>
  <c r="U13"/>
  <c r="R5"/>
  <c r="R6"/>
  <c r="R7"/>
  <c r="R8"/>
  <c r="Q8"/>
  <c r="R9"/>
  <c r="Q9"/>
  <c r="R10"/>
  <c r="Q10"/>
  <c r="R11"/>
  <c r="Q11"/>
  <c r="R12"/>
  <c r="Q12"/>
  <c r="E7" i="10"/>
  <c r="U2" i="17"/>
  <c r="U3"/>
  <c r="U4"/>
  <c r="E9" i="10"/>
  <c r="I3" i="13"/>
  <c r="E8" i="10"/>
  <c r="E10"/>
  <c r="E11"/>
  <c r="D3" i="15"/>
  <c r="E14" i="10"/>
  <c r="E15"/>
  <c r="D4" i="15"/>
  <c r="E19" i="10"/>
  <c r="E20"/>
  <c r="E21"/>
  <c r="E22"/>
  <c r="J20" i="6"/>
  <c r="E24" i="10"/>
  <c r="E23"/>
  <c r="E26"/>
  <c r="E27"/>
  <c r="D5" i="15"/>
  <c r="E31" i="10"/>
  <c r="E32"/>
  <c r="E33"/>
  <c r="E34"/>
  <c r="E35"/>
  <c r="E36"/>
  <c r="E37"/>
  <c r="D6" i="15"/>
  <c r="Y7" i="9"/>
  <c r="Y6"/>
  <c r="Y5"/>
  <c r="X4"/>
  <c r="Y4"/>
  <c r="X3"/>
  <c r="Y3"/>
  <c r="N36" i="10"/>
  <c r="N37"/>
  <c r="M6" i="15"/>
  <c r="X7" i="9"/>
  <c r="X6"/>
  <c r="X5"/>
  <c r="V7"/>
  <c r="V6"/>
  <c r="V5"/>
  <c r="U4"/>
  <c r="V4"/>
  <c r="U3"/>
  <c r="V3"/>
  <c r="P4"/>
  <c r="P5"/>
  <c r="Q4"/>
  <c r="R4"/>
  <c r="S4"/>
  <c r="S5"/>
  <c r="U5"/>
  <c r="T5"/>
  <c r="U6"/>
  <c r="T6"/>
  <c r="U7"/>
  <c r="T7"/>
  <c r="L7" i="7"/>
  <c r="N6" i="8"/>
  <c r="N7"/>
  <c r="N8"/>
  <c r="N9"/>
  <c r="N10"/>
  <c r="N11"/>
  <c r="N12"/>
  <c r="F14" i="10"/>
  <c r="F15"/>
  <c r="E4" i="15"/>
  <c r="J3" i="11"/>
  <c r="J4"/>
  <c r="G3" i="10"/>
  <c r="L28" i="4"/>
  <c r="G4" i="10"/>
  <c r="W5" i="9"/>
  <c r="W6"/>
  <c r="G5" i="10"/>
  <c r="Z3" i="7"/>
  <c r="Z4"/>
  <c r="Z5"/>
  <c r="Z6"/>
  <c r="Z7"/>
  <c r="Z8"/>
  <c r="G6" i="10"/>
  <c r="X2" i="8"/>
  <c r="W3"/>
  <c r="W4"/>
  <c r="W5"/>
  <c r="Q6"/>
  <c r="W6"/>
  <c r="Q7"/>
  <c r="W7"/>
  <c r="W8"/>
  <c r="W9"/>
  <c r="W10"/>
  <c r="W11"/>
  <c r="W12"/>
  <c r="W13"/>
  <c r="Z3"/>
  <c r="Z4"/>
  <c r="Z5"/>
  <c r="Z6"/>
  <c r="Z7"/>
  <c r="Z8"/>
  <c r="Z9"/>
  <c r="Z10"/>
  <c r="Z11"/>
  <c r="Z12"/>
  <c r="Z13"/>
  <c r="AA3"/>
  <c r="AA4"/>
  <c r="AA5"/>
  <c r="AA6"/>
  <c r="AA7"/>
  <c r="AA8"/>
  <c r="AA9"/>
  <c r="AA10"/>
  <c r="AA11"/>
  <c r="AA12"/>
  <c r="AA13"/>
  <c r="AB3"/>
  <c r="AB4"/>
  <c r="AB5"/>
  <c r="AB6"/>
  <c r="AB7"/>
  <c r="AB8"/>
  <c r="AB9"/>
  <c r="AB10"/>
  <c r="AB11"/>
  <c r="AB12"/>
  <c r="AB13"/>
  <c r="G7" i="10"/>
  <c r="G8"/>
  <c r="G14"/>
  <c r="G15"/>
  <c r="F4" i="15"/>
  <c r="K3" i="11"/>
  <c r="H3" i="10"/>
  <c r="M28" i="4"/>
  <c r="H4" i="10"/>
  <c r="Z5" i="9"/>
  <c r="Z6"/>
  <c r="H5" i="10"/>
  <c r="H6"/>
  <c r="X3" i="8"/>
  <c r="X4"/>
  <c r="X5"/>
  <c r="X6"/>
  <c r="X7"/>
  <c r="X8"/>
  <c r="X9"/>
  <c r="X10"/>
  <c r="X11"/>
  <c r="X12"/>
  <c r="X13"/>
  <c r="AC3"/>
  <c r="AC4"/>
  <c r="AC5"/>
  <c r="AC6"/>
  <c r="AC7"/>
  <c r="AC8"/>
  <c r="AC9"/>
  <c r="AC10"/>
  <c r="AC11"/>
  <c r="AC12"/>
  <c r="AC13"/>
  <c r="H7" i="10"/>
  <c r="H8"/>
  <c r="H14"/>
  <c r="H15"/>
  <c r="G4" i="15"/>
  <c r="I3" i="10"/>
  <c r="I4"/>
  <c r="I5"/>
  <c r="I6"/>
  <c r="I8"/>
  <c r="I14"/>
  <c r="I15"/>
  <c r="H4" i="15"/>
  <c r="K4" i="11"/>
  <c r="J3" i="10"/>
  <c r="N28" i="4"/>
  <c r="J4" i="10"/>
  <c r="AB5" i="9"/>
  <c r="J5" i="10"/>
  <c r="J6"/>
  <c r="J7"/>
  <c r="J8"/>
  <c r="J14"/>
  <c r="J15"/>
  <c r="I4" i="15"/>
  <c r="L3" i="11"/>
  <c r="J6"/>
  <c r="J7"/>
  <c r="K3" i="10"/>
  <c r="O28" i="4"/>
  <c r="K4" i="10"/>
  <c r="AA5" i="9"/>
  <c r="AD5"/>
  <c r="AD7"/>
  <c r="K5" i="10"/>
  <c r="K6"/>
  <c r="K7"/>
  <c r="K8"/>
  <c r="K14"/>
  <c r="K15"/>
  <c r="J4" i="15"/>
  <c r="L4" i="11"/>
  <c r="K6"/>
  <c r="K7"/>
  <c r="L3" i="10"/>
  <c r="L4"/>
  <c r="L5"/>
  <c r="L6"/>
  <c r="L7"/>
  <c r="L8"/>
  <c r="L14"/>
  <c r="L15"/>
  <c r="K4" i="15"/>
  <c r="M3" i="10"/>
  <c r="M4"/>
  <c r="AC5" i="9"/>
  <c r="M5" i="10"/>
  <c r="M6"/>
  <c r="M7"/>
  <c r="M8"/>
  <c r="M14"/>
  <c r="M15"/>
  <c r="L4" i="15"/>
  <c r="N7" i="10"/>
  <c r="N14"/>
  <c r="N15"/>
  <c r="M4" i="15"/>
  <c r="D3" i="10"/>
  <c r="D4"/>
  <c r="D5"/>
  <c r="D6"/>
  <c r="D7"/>
  <c r="D8"/>
  <c r="D14"/>
  <c r="D15"/>
  <c r="C4" i="15"/>
  <c r="N5" i="9"/>
  <c r="N4"/>
  <c r="R5"/>
  <c r="Q5"/>
  <c r="O5"/>
  <c r="L5"/>
  <c r="K5"/>
  <c r="M3"/>
  <c r="S7"/>
  <c r="R7"/>
  <c r="Q7"/>
  <c r="S6"/>
  <c r="R6"/>
  <c r="Q6"/>
  <c r="P7"/>
  <c r="P6"/>
  <c r="K7"/>
  <c r="L7"/>
  <c r="N7"/>
  <c r="O7"/>
  <c r="W7"/>
  <c r="N6"/>
  <c r="K6"/>
  <c r="L6"/>
  <c r="O6"/>
  <c r="AH9"/>
  <c r="AI9"/>
  <c r="AJ9"/>
  <c r="AK9"/>
  <c r="AL9"/>
  <c r="AM9"/>
  <c r="AN9"/>
  <c r="AO9"/>
  <c r="AP9"/>
  <c r="AQ9"/>
  <c r="AG9"/>
  <c r="F31" i="10"/>
  <c r="G31"/>
  <c r="I31"/>
  <c r="J31"/>
  <c r="K31"/>
  <c r="L31"/>
  <c r="M31"/>
  <c r="F32"/>
  <c r="G32"/>
  <c r="I32"/>
  <c r="J32"/>
  <c r="K32"/>
  <c r="L32"/>
  <c r="M32"/>
  <c r="F33"/>
  <c r="G33"/>
  <c r="I33"/>
  <c r="J33"/>
  <c r="K33"/>
  <c r="L33"/>
  <c r="M33"/>
  <c r="F34"/>
  <c r="G34"/>
  <c r="I34"/>
  <c r="J34"/>
  <c r="K34"/>
  <c r="L34"/>
  <c r="M34"/>
  <c r="F35"/>
  <c r="G35"/>
  <c r="I35"/>
  <c r="J35"/>
  <c r="K35"/>
  <c r="L35"/>
  <c r="M35"/>
  <c r="F36"/>
  <c r="G36"/>
  <c r="I36"/>
  <c r="J36"/>
  <c r="K36"/>
  <c r="L36"/>
  <c r="M36"/>
  <c r="D31"/>
  <c r="D32"/>
  <c r="D33"/>
  <c r="D34"/>
  <c r="D35"/>
  <c r="D36"/>
  <c r="F19"/>
  <c r="H19"/>
  <c r="I19"/>
  <c r="J19"/>
  <c r="K19"/>
  <c r="L19"/>
  <c r="M19"/>
  <c r="F20"/>
  <c r="H20"/>
  <c r="I20"/>
  <c r="J20"/>
  <c r="K20"/>
  <c r="L20"/>
  <c r="M20"/>
  <c r="F21"/>
  <c r="H21"/>
  <c r="I21"/>
  <c r="J21"/>
  <c r="K21"/>
  <c r="L21"/>
  <c r="M21"/>
  <c r="F22"/>
  <c r="H22"/>
  <c r="I22"/>
  <c r="J22"/>
  <c r="K22"/>
  <c r="L22"/>
  <c r="M22"/>
  <c r="F23"/>
  <c r="H23"/>
  <c r="I23"/>
  <c r="J23"/>
  <c r="K23"/>
  <c r="L23"/>
  <c r="M23"/>
  <c r="X3" i="6"/>
  <c r="X4"/>
  <c r="X5"/>
  <c r="X6"/>
  <c r="X7"/>
  <c r="X8"/>
  <c r="X9"/>
  <c r="X10"/>
  <c r="X11"/>
  <c r="X12"/>
  <c r="X13"/>
  <c r="X14"/>
  <c r="X15"/>
  <c r="X16"/>
  <c r="X17"/>
  <c r="X18"/>
  <c r="X19"/>
  <c r="X20"/>
  <c r="X21"/>
  <c r="F24" i="10"/>
  <c r="L20" i="6"/>
  <c r="Z3"/>
  <c r="Z4"/>
  <c r="Z5"/>
  <c r="Z6"/>
  <c r="Z7"/>
  <c r="Z8"/>
  <c r="Z9"/>
  <c r="Z10"/>
  <c r="Z11"/>
  <c r="Z12"/>
  <c r="Z13"/>
  <c r="Z14"/>
  <c r="Z15"/>
  <c r="Z16"/>
  <c r="Z17"/>
  <c r="Z18"/>
  <c r="Z19"/>
  <c r="M20"/>
  <c r="Z20"/>
  <c r="Z21"/>
  <c r="AE3"/>
  <c r="AE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H24" i="10"/>
  <c r="I24"/>
  <c r="N20" i="6"/>
  <c r="K24" i="10"/>
  <c r="L24"/>
  <c r="M24"/>
  <c r="N24"/>
  <c r="Q5" i="12"/>
  <c r="K5"/>
  <c r="E25" i="10"/>
  <c r="V2" i="12"/>
  <c r="U3"/>
  <c r="U4"/>
  <c r="J5"/>
  <c r="U5"/>
  <c r="U6"/>
  <c r="F25" i="10"/>
  <c r="W2" i="12"/>
  <c r="V3"/>
  <c r="V4"/>
  <c r="V5"/>
  <c r="V6"/>
  <c r="X3"/>
  <c r="X4"/>
  <c r="X5"/>
  <c r="X6"/>
  <c r="Z3"/>
  <c r="Z4"/>
  <c r="Z5"/>
  <c r="Z6"/>
  <c r="AA3"/>
  <c r="AA4"/>
  <c r="AA5"/>
  <c r="AA6"/>
  <c r="G25" i="10"/>
  <c r="W3" i="12"/>
  <c r="W4"/>
  <c r="L5"/>
  <c r="W5"/>
  <c r="W6"/>
  <c r="AB3"/>
  <c r="AB4"/>
  <c r="AB5"/>
  <c r="AB6"/>
  <c r="H25" i="10"/>
  <c r="I25"/>
  <c r="M5" i="12"/>
  <c r="N5"/>
  <c r="K25" i="10"/>
  <c r="P5" i="12"/>
  <c r="L25" i="10"/>
  <c r="M25"/>
  <c r="N25"/>
  <c r="F26"/>
  <c r="H26"/>
  <c r="I26"/>
  <c r="J26"/>
  <c r="K26"/>
  <c r="L26"/>
  <c r="M26"/>
  <c r="N26"/>
  <c r="F27"/>
  <c r="H27"/>
  <c r="I27"/>
  <c r="J27"/>
  <c r="K27"/>
  <c r="L27"/>
  <c r="M27"/>
  <c r="N27"/>
  <c r="D19"/>
  <c r="D20"/>
  <c r="D21"/>
  <c r="D22"/>
  <c r="D24"/>
  <c r="D23"/>
  <c r="D26"/>
  <c r="D25"/>
  <c r="X2" i="17"/>
  <c r="W3"/>
  <c r="W4"/>
  <c r="Z3"/>
  <c r="Z4"/>
  <c r="AA3"/>
  <c r="AA4"/>
  <c r="AB3"/>
  <c r="AB4"/>
  <c r="G9" i="10"/>
  <c r="G10"/>
  <c r="X3" i="17"/>
  <c r="X4"/>
  <c r="AC3"/>
  <c r="AC4"/>
  <c r="H9" i="10"/>
  <c r="H10"/>
  <c r="I10"/>
  <c r="J9"/>
  <c r="J10"/>
  <c r="K9"/>
  <c r="K10"/>
  <c r="L9"/>
  <c r="L10"/>
  <c r="M9"/>
  <c r="M10"/>
  <c r="N9"/>
  <c r="N10"/>
  <c r="G11"/>
  <c r="H11"/>
  <c r="I11"/>
  <c r="J11"/>
  <c r="K11"/>
  <c r="L11"/>
  <c r="M11"/>
  <c r="N11"/>
  <c r="D9"/>
  <c r="D10"/>
  <c r="U5" i="17"/>
  <c r="V5"/>
  <c r="W5"/>
  <c r="X5"/>
  <c r="Y5"/>
  <c r="Z5"/>
  <c r="AA5"/>
  <c r="AB5"/>
  <c r="AC5"/>
  <c r="AD5"/>
  <c r="T5"/>
  <c r="D37" i="10"/>
  <c r="F37"/>
  <c r="G37"/>
  <c r="I37"/>
  <c r="J37"/>
  <c r="K37"/>
  <c r="L37"/>
  <c r="M37"/>
  <c r="D27"/>
  <c r="W30" i="4"/>
  <c r="X30"/>
  <c r="Y30"/>
  <c r="Z30"/>
  <c r="AA30"/>
  <c r="AB30"/>
  <c r="AC30"/>
  <c r="AD30"/>
  <c r="AF30"/>
  <c r="W22" i="6"/>
  <c r="X22"/>
  <c r="Y22"/>
  <c r="Z22"/>
  <c r="AA22"/>
  <c r="AB22"/>
  <c r="AC22"/>
  <c r="AD22"/>
  <c r="AE22"/>
  <c r="AF22"/>
  <c r="V9" i="7"/>
  <c r="W9"/>
  <c r="X9"/>
  <c r="Y9"/>
  <c r="Z9"/>
  <c r="AA9"/>
  <c r="AB9"/>
  <c r="AC9"/>
  <c r="AD9"/>
  <c r="AE9"/>
  <c r="AF9"/>
  <c r="K5" i="8"/>
  <c r="L5"/>
  <c r="M5"/>
  <c r="N5"/>
  <c r="O5"/>
  <c r="K7"/>
  <c r="M7"/>
  <c r="O7"/>
  <c r="P7"/>
  <c r="K8"/>
  <c r="M8"/>
  <c r="P8"/>
  <c r="K9"/>
  <c r="M9"/>
  <c r="P9"/>
  <c r="K10"/>
  <c r="M10"/>
  <c r="P10"/>
  <c r="K11"/>
  <c r="M11"/>
  <c r="P11"/>
  <c r="K12"/>
  <c r="M12"/>
  <c r="P12"/>
  <c r="U14"/>
  <c r="V14"/>
  <c r="W14"/>
  <c r="X14"/>
  <c r="Y14"/>
  <c r="Z14"/>
  <c r="AA14"/>
  <c r="AB14"/>
  <c r="AC14"/>
  <c r="AD14"/>
  <c r="T7" i="12"/>
  <c r="U7"/>
  <c r="V7"/>
  <c r="W7"/>
  <c r="X7"/>
  <c r="Y7"/>
  <c r="Z7"/>
  <c r="AA7"/>
  <c r="AB7"/>
  <c r="AC7"/>
  <c r="P9" i="11"/>
  <c r="Q9"/>
  <c r="R9"/>
  <c r="S9"/>
  <c r="T9"/>
  <c r="U9"/>
  <c r="V9"/>
  <c r="W9"/>
  <c r="X9"/>
  <c r="Y9"/>
  <c r="O5" i="12"/>
  <c r="J5" i="8"/>
  <c r="P6"/>
  <c r="F3" i="15"/>
  <c r="G3"/>
  <c r="H3"/>
  <c r="I3"/>
  <c r="J3"/>
  <c r="K3"/>
  <c r="L3"/>
  <c r="M3"/>
  <c r="E5"/>
  <c r="G5"/>
  <c r="H5"/>
  <c r="I5"/>
  <c r="J5"/>
  <c r="K5"/>
  <c r="L5"/>
  <c r="M5"/>
  <c r="E6"/>
  <c r="F6"/>
  <c r="H6"/>
  <c r="I6"/>
  <c r="J6"/>
  <c r="K6"/>
  <c r="L6"/>
  <c r="V30" i="4"/>
  <c r="V22" i="6"/>
  <c r="U9" i="7"/>
  <c r="T14" i="8"/>
  <c r="O9" i="11"/>
  <c r="S7" i="12"/>
  <c r="C6" i="15"/>
  <c r="C5"/>
  <c r="D11" i="10"/>
  <c r="C3" i="15"/>
  <c r="K28" i="4"/>
  <c r="M7" i="11"/>
  <c r="M6"/>
  <c r="K20" i="6"/>
  <c r="M7" i="7"/>
  <c r="M6" i="8"/>
  <c r="K6"/>
  <c r="O6"/>
</calcChain>
</file>

<file path=xl/sharedStrings.xml><?xml version="1.0" encoding="utf-8"?>
<sst xmlns="http://schemas.openxmlformats.org/spreadsheetml/2006/main" count="614" uniqueCount="277">
  <si>
    <t>Qty</t>
  </si>
  <si>
    <t>Value</t>
  </si>
  <si>
    <t>Parts</t>
  </si>
  <si>
    <t>Description</t>
  </si>
  <si>
    <t>1.5uF</t>
  </si>
  <si>
    <t>C1</t>
  </si>
  <si>
    <t>Capacitor</t>
  </si>
  <si>
    <t>AVX</t>
  </si>
  <si>
    <t>TPSA155K025R3000</t>
  </si>
  <si>
    <t>Digikey</t>
  </si>
  <si>
    <t>1M</t>
  </si>
  <si>
    <t>R1</t>
  </si>
  <si>
    <t>Resistor</t>
  </si>
  <si>
    <t>Rohm</t>
  </si>
  <si>
    <t>MCR01MRTJ105</t>
  </si>
  <si>
    <t>1k</t>
  </si>
  <si>
    <t>R8, R9</t>
  </si>
  <si>
    <t>MCR01MRTJ102</t>
  </si>
  <si>
    <t>2.2uF</t>
  </si>
  <si>
    <t>C3, C5</t>
  </si>
  <si>
    <t>TPSA225K035R1500</t>
  </si>
  <si>
    <t>4.7uF</t>
  </si>
  <si>
    <t>C7, CA4</t>
  </si>
  <si>
    <t>Murata</t>
  </si>
  <si>
    <t>GRM155R60J475ME87D</t>
  </si>
  <si>
    <t>10k</t>
  </si>
  <si>
    <t>MCR01MRTJ103</t>
  </si>
  <si>
    <t>10uF Al</t>
  </si>
  <si>
    <t>CA2</t>
  </si>
  <si>
    <t>Vishay</t>
  </si>
  <si>
    <t>298D106X0004K2T</t>
  </si>
  <si>
    <t>R6, R7</t>
  </si>
  <si>
    <t>NXP</t>
  </si>
  <si>
    <t>100nF</t>
  </si>
  <si>
    <t>C6, CA1</t>
  </si>
  <si>
    <t>GRM155R61C104KA88D</t>
  </si>
  <si>
    <t>R5</t>
  </si>
  <si>
    <t>MCR01MRTF2003</t>
  </si>
  <si>
    <t>CA3</t>
  </si>
  <si>
    <t>GRM155R60J224KE01D</t>
  </si>
  <si>
    <t>STMicroelectronics</t>
  </si>
  <si>
    <t>LSM303DLHC</t>
  </si>
  <si>
    <t>TI</t>
  </si>
  <si>
    <t>PCA9306DCUR</t>
  </si>
  <si>
    <t>U1</t>
  </si>
  <si>
    <t>Atmel</t>
  </si>
  <si>
    <t>ATMEGA1284-AUR</t>
  </si>
  <si>
    <t>FUSE</t>
  </si>
  <si>
    <t>Littlefuse</t>
  </si>
  <si>
    <t>0157.500DR</t>
  </si>
  <si>
    <t>VR3.3</t>
  </si>
  <si>
    <t>Linear Technology</t>
  </si>
  <si>
    <t>VR5.0</t>
  </si>
  <si>
    <t>Micrel</t>
  </si>
  <si>
    <t>MIC5219-5.0YM5 TR</t>
  </si>
  <si>
    <t>CRA04S08310K0JTD</t>
  </si>
  <si>
    <t>CSTCE16M0V53-R0</t>
  </si>
  <si>
    <t>Quad bus buffer</t>
  </si>
  <si>
    <t>I2C Voltage Level Translator</t>
  </si>
  <si>
    <t>Controller PCB</t>
  </si>
  <si>
    <t>Atmega1284 Controller</t>
  </si>
  <si>
    <t>Holder for 500mA fuse</t>
  </si>
  <si>
    <t>Power Regulator</t>
  </si>
  <si>
    <t>3.3V</t>
  </si>
  <si>
    <t>5.0V</t>
  </si>
  <si>
    <t>Resistor Array</t>
  </si>
  <si>
    <t>Resonator</t>
  </si>
  <si>
    <t>Dynamixel Motor</t>
  </si>
  <si>
    <t>Thin Section Ball Bearing</t>
  </si>
  <si>
    <t>FFC Connector</t>
  </si>
  <si>
    <t>High Power Resistor</t>
  </si>
  <si>
    <t>200k</t>
  </si>
  <si>
    <t>N-Fet Heater Switch</t>
  </si>
  <si>
    <t>Fields Metal</t>
  </si>
  <si>
    <t>FDME410NZT</t>
  </si>
  <si>
    <t>Fairchild</t>
  </si>
  <si>
    <t>Robotis</t>
  </si>
  <si>
    <t>SPC Global</t>
  </si>
  <si>
    <t>IM-KAA15XLO </t>
  </si>
  <si>
    <t>Moog</t>
  </si>
  <si>
    <t>SRA−73540−12</t>
  </si>
  <si>
    <t>Magnets</t>
  </si>
  <si>
    <t>Dia: 1/16, L: 1/4, NdFeB, N52</t>
  </si>
  <si>
    <t>KJMagnetics</t>
  </si>
  <si>
    <t>D14-N52</t>
  </si>
  <si>
    <t>Wavelink</t>
  </si>
  <si>
    <t>TE Connectivity</t>
  </si>
  <si>
    <t>1-84981-0</t>
  </si>
  <si>
    <t>Torx Screws</t>
  </si>
  <si>
    <t>McMaster</t>
  </si>
  <si>
    <t>J. I. Morris</t>
  </si>
  <si>
    <t>Vendor</t>
  </si>
  <si>
    <t>99397A314</t>
  </si>
  <si>
    <t>Susumu</t>
  </si>
  <si>
    <t>10ohm, 1W</t>
  </si>
  <si>
    <t>Panasonic</t>
  </si>
  <si>
    <t>Stackpole</t>
  </si>
  <si>
    <t>220nF</t>
  </si>
  <si>
    <t>Indicator LED Orange</t>
  </si>
  <si>
    <t>Indicator LED Green</t>
  </si>
  <si>
    <t>GREEN</t>
  </si>
  <si>
    <t>ORGNE</t>
  </si>
  <si>
    <t>FFC Connector Programming</t>
  </si>
  <si>
    <t>HFW6R-2STE1LF</t>
  </si>
  <si>
    <t>FCI</t>
  </si>
  <si>
    <t>PROG</t>
  </si>
  <si>
    <t>ATMEGA1284P-AUR</t>
  </si>
  <si>
    <t>Comments</t>
  </si>
  <si>
    <t>Rotometals</t>
  </si>
  <si>
    <t>Dowel Pin Small</t>
  </si>
  <si>
    <t>Dowel Pin Large</t>
  </si>
  <si>
    <t>000-120, L 3/32, Brass</t>
  </si>
  <si>
    <t>Metric Thread-Forming Screw for Plastics Zinc-Pltd STL, Torx, M2.0 Size, 6mm L, .91mm Pitch</t>
  </si>
  <si>
    <t>LowMeltingPoint144</t>
  </si>
  <si>
    <t>Impact Bearing</t>
  </si>
  <si>
    <t>1.5in x 1.875in x .1875in Precision Ball Bearing 4-PT contact Nylon</t>
  </si>
  <si>
    <t>Miniature Screws 3/32"</t>
  </si>
  <si>
    <t>Miniature Screws 1/8"</t>
  </si>
  <si>
    <t>000-120. L 1/8, Brass</t>
  </si>
  <si>
    <t>J.I. Morris</t>
  </si>
  <si>
    <t>F000120B094</t>
  </si>
  <si>
    <t>F000120B125</t>
  </si>
  <si>
    <t>98380A429</t>
  </si>
  <si>
    <t>D 5/64, L 1/2</t>
  </si>
  <si>
    <t>91585A011</t>
  </si>
  <si>
    <t>D 1.5mm, L 12mm</t>
  </si>
  <si>
    <t>FFC</t>
  </si>
  <si>
    <t>RMCF2512JT10R0</t>
  </si>
  <si>
    <t>All-battery.com</t>
  </si>
  <si>
    <t>Taiyo Yuden</t>
  </si>
  <si>
    <t>R2, R10, R11</t>
  </si>
  <si>
    <t>RA1</t>
  </si>
  <si>
    <t>LNJ347W83RA</t>
  </si>
  <si>
    <t>LNJ847W86RA</t>
  </si>
  <si>
    <t>RESISTOR-0402</t>
  </si>
  <si>
    <t>R4</t>
  </si>
  <si>
    <t>0.1uF</t>
  </si>
  <si>
    <t>CAPACITOR-0402</t>
  </si>
  <si>
    <t>C5, C7, C8</t>
  </si>
  <si>
    <t>1kOhm</t>
  </si>
  <si>
    <t>R10</t>
  </si>
  <si>
    <t>2.4kOhm</t>
  </si>
  <si>
    <t>R1, R2</t>
  </si>
  <si>
    <t>RMCF0402JT2K40</t>
  </si>
  <si>
    <t>CAPACITOR-0805</t>
  </si>
  <si>
    <t>C4</t>
  </si>
  <si>
    <t>TDK Corporation</t>
  </si>
  <si>
    <t>7.5kOhm</t>
  </si>
  <si>
    <t>RR0510P-752-D</t>
  </si>
  <si>
    <t>10uF</t>
  </si>
  <si>
    <t>CAPACITOR-1206</t>
  </si>
  <si>
    <t>C1, C2</t>
  </si>
  <si>
    <t>TMK316F106ZL-T</t>
  </si>
  <si>
    <t>20kOhm</t>
  </si>
  <si>
    <t>RR0510P-203-D</t>
  </si>
  <si>
    <t>22uH</t>
  </si>
  <si>
    <t>INDUCTOR1210</t>
  </si>
  <si>
    <t>L1</t>
  </si>
  <si>
    <t>CBC3225T220MR</t>
  </si>
  <si>
    <t>83kOhm</t>
  </si>
  <si>
    <t>BQ24105-RHLR</t>
  </si>
  <si>
    <t>U$1</t>
  </si>
  <si>
    <t>BQ24105RHLR</t>
  </si>
  <si>
    <t>DIODE-1206</t>
  </si>
  <si>
    <t>D1</t>
  </si>
  <si>
    <t>SD0805S020S1R0</t>
  </si>
  <si>
    <t>LED</t>
  </si>
  <si>
    <t>Small inidicator LED</t>
  </si>
  <si>
    <t>VLMB1500-GS08</t>
  </si>
  <si>
    <t>RESISTOR_ARRAY</t>
  </si>
  <si>
    <t>EXB-28V104JX</t>
  </si>
  <si>
    <t>TI-LM211</t>
  </si>
  <si>
    <t>U$2</t>
  </si>
  <si>
    <t>LM211DR</t>
  </si>
  <si>
    <t>Battery Connector Spring</t>
  </si>
  <si>
    <t>Voltage Comparator</t>
  </si>
  <si>
    <t>Switching Diode</t>
  </si>
  <si>
    <t>Battery Charging IC</t>
  </si>
  <si>
    <t>Inductor</t>
  </si>
  <si>
    <t>PINK</t>
  </si>
  <si>
    <t>BLUE</t>
  </si>
  <si>
    <t>SMLP12HBC7W1</t>
  </si>
  <si>
    <t>100kOhm</t>
  </si>
  <si>
    <t>Proximity Sensor</t>
  </si>
  <si>
    <t>OSRAM-SFH7741</t>
  </si>
  <si>
    <t>SFH 7741-Z</t>
  </si>
  <si>
    <t>Osram</t>
  </si>
  <si>
    <t>1.0uF</t>
  </si>
  <si>
    <t>2kOhm</t>
  </si>
  <si>
    <t>10kOhm</t>
  </si>
  <si>
    <t>GRM155R60J105ME19D</t>
  </si>
  <si>
    <t>RMCF0402FT2K00</t>
  </si>
  <si>
    <t>R2</t>
  </si>
  <si>
    <t>N-FET for Sensors</t>
  </si>
  <si>
    <t>SENSFET</t>
  </si>
  <si>
    <t>2N7002K-T1-E3</t>
  </si>
  <si>
    <t>0.43 Ohm</t>
  </si>
  <si>
    <t>ERJ-2BQFR43X</t>
  </si>
  <si>
    <t>Power Switch</t>
  </si>
  <si>
    <t>NKK Switches</t>
  </si>
  <si>
    <t>SM0320102</t>
  </si>
  <si>
    <t>Manufacturer</t>
  </si>
  <si>
    <t>Man Part No</t>
  </si>
  <si>
    <t>Price / Unit</t>
  </si>
  <si>
    <t>Accelerometer &amp; Compass</t>
  </si>
  <si>
    <t>R3, R4, R8, R9</t>
  </si>
  <si>
    <t>RMCF0402FT47R0</t>
  </si>
  <si>
    <t>U3</t>
  </si>
  <si>
    <t>U2</t>
  </si>
  <si>
    <t>U4</t>
  </si>
  <si>
    <t>RES</t>
  </si>
  <si>
    <t>FFC1, FFC2, FFC3, FFC4, FFC5</t>
  </si>
  <si>
    <t>Alternative</t>
  </si>
  <si>
    <t>N74F126D,623</t>
  </si>
  <si>
    <t>end of life</t>
  </si>
  <si>
    <t>LT1761MPS5-3.3#TRMPBF</t>
  </si>
  <si>
    <t>R7, R3, R6</t>
  </si>
  <si>
    <t>Keystone</t>
  </si>
  <si>
    <t>2-1879216-1</t>
  </si>
  <si>
    <t>C2012X5R1C475K125AC</t>
  </si>
  <si>
    <t>Trossen Robotics</t>
  </si>
  <si>
    <t>Vendor Part No</t>
  </si>
  <si>
    <t>Description/Value</t>
  </si>
  <si>
    <t>AX-12A</t>
  </si>
  <si>
    <t>Different product sold under same part number by McMaster starting Dec 2012, now obsolete</t>
  </si>
  <si>
    <t>Outer Shell Large Part</t>
  </si>
  <si>
    <t>Outer Shell Small Part</t>
  </si>
  <si>
    <t>3D printed</t>
  </si>
  <si>
    <t>Connector PCB</t>
  </si>
  <si>
    <t>Proximity Sensor PCB</t>
  </si>
  <si>
    <t>Gearbox</t>
  </si>
  <si>
    <t>Potentiometer Idle Gear</t>
  </si>
  <si>
    <t>69 Tooth Internal Gear</t>
  </si>
  <si>
    <t>12-stranded</t>
  </si>
  <si>
    <t>Slipring Cap</t>
  </si>
  <si>
    <t>Module Shell</t>
  </si>
  <si>
    <t>Tenergy</t>
  </si>
  <si>
    <t>Enclosure</t>
  </si>
  <si>
    <t>M2.0 Torx Screws</t>
  </si>
  <si>
    <t>Battery Charger PCB</t>
  </si>
  <si>
    <t>Quantity</t>
  </si>
  <si>
    <t>Actuator Module</t>
  </si>
  <si>
    <t xml:space="preserve">Atmega </t>
  </si>
  <si>
    <t>Printed Circuit Board</t>
  </si>
  <si>
    <t>Sunstone/OSHPark</t>
  </si>
  <si>
    <t>Energy Module</t>
  </si>
  <si>
    <t>Structural Module</t>
  </si>
  <si>
    <t>Gearbox Enclosure Small Part</t>
  </si>
  <si>
    <t>Gearbox Enclosure Large Part</t>
  </si>
  <si>
    <t>-&gt;</t>
  </si>
  <si>
    <t>Subassembly Count</t>
  </si>
  <si>
    <t>Price / Specified Quantity</t>
  </si>
  <si>
    <t>Total / Subassembly Count</t>
  </si>
  <si>
    <t>LiFePO4 Rechargeable Batteries</t>
  </si>
  <si>
    <t>RCR123A 3.0V (3.2V NOM) 750mAh</t>
  </si>
  <si>
    <t>Price / Assembly Count</t>
  </si>
  <si>
    <t>Total / Assembly Count</t>
  </si>
  <si>
    <t>Price / Subassembly @ SA Count</t>
  </si>
  <si>
    <t>Total / Subassy Count</t>
  </si>
  <si>
    <t>Price / Subassy @ Subassy Count</t>
  </si>
  <si>
    <t>Subassy Count</t>
  </si>
  <si>
    <t>Battery Module Internals</t>
  </si>
  <si>
    <t>Price per cm^3 Objet 3D printing material (incl. estimated support material use)</t>
  </si>
  <si>
    <t>Actuation Module</t>
  </si>
  <si>
    <t>Slipring</t>
  </si>
  <si>
    <t>Hawk Electronics</t>
  </si>
  <si>
    <t>Actuation Module w/out Slipring</t>
  </si>
  <si>
    <t>Act Mod without Slip Ring</t>
  </si>
  <si>
    <t>14.98 cm³</t>
  </si>
  <si>
    <t>4.43 cm³</t>
  </si>
  <si>
    <t>25.2 cm^3</t>
  </si>
  <si>
    <t>100-010-0020-AC</t>
  </si>
  <si>
    <t>10.92 cm^3</t>
  </si>
  <si>
    <t>3.68 cm^3</t>
  </si>
  <si>
    <t>0.13 cm^3</t>
  </si>
  <si>
    <t>7.03 cm^3</t>
  </si>
  <si>
    <t>0.16 cm^3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</si>
</sst>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&quot;$&quot;#,##0.00000"/>
    <numFmt numFmtId="165" formatCode="&quot;$&quot;#,##0.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8"/>
      <color theme="1"/>
      <name val="Segoe UI"/>
      <family val="2"/>
    </font>
    <font>
      <sz val="10"/>
      <color rgb="FF000000"/>
      <name val="Segoe UI"/>
      <family val="2"/>
    </font>
    <font>
      <sz val="10"/>
      <color theme="1"/>
      <name val="Segoe UI"/>
      <family val="2"/>
    </font>
    <font>
      <sz val="10"/>
      <color rgb="FF006100"/>
      <name val="Segoe UI"/>
      <family val="2"/>
    </font>
    <font>
      <sz val="10"/>
      <color theme="0"/>
      <name val="Segoe UI"/>
      <family val="2"/>
    </font>
    <font>
      <sz val="10"/>
      <color rgb="FF3F3F3F"/>
      <name val="Segoe UI Semibold"/>
      <family val="2"/>
    </font>
    <font>
      <sz val="10"/>
      <name val="Segoe UI"/>
      <family val="2"/>
    </font>
    <font>
      <sz val="9"/>
      <color theme="1"/>
      <name val="Segoe UI Semibold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0"/>
      <color rgb="FF7F7F7F"/>
      <name val="Segoe UI"/>
      <family val="2"/>
    </font>
    <font>
      <sz val="10"/>
      <color rgb="FF3F3F3F"/>
      <name val="Segoe UI"/>
      <family val="2"/>
    </font>
    <font>
      <sz val="10"/>
      <color rgb="FFFA7D00"/>
      <name val="Segoe UI"/>
      <family val="2"/>
    </font>
    <font>
      <sz val="9"/>
      <color theme="1"/>
      <name val="Calibri"/>
      <family val="2"/>
      <scheme val="minor"/>
    </font>
    <font>
      <i/>
      <sz val="10"/>
      <color rgb="FF7F7F7F"/>
      <name val="Segoe UI Semibold"/>
      <family val="2"/>
    </font>
    <font>
      <b/>
      <u/>
      <sz val="10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22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17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/>
    <xf numFmtId="0" fontId="19" fillId="0" borderId="0" xfId="0" applyFont="1" applyAlignment="1">
      <alignment vertical="top" wrapText="1"/>
    </xf>
    <xf numFmtId="164" fontId="19" fillId="0" borderId="0" xfId="0" applyNumberFormat="1" applyFont="1" applyAlignment="1">
      <alignment vertical="top"/>
    </xf>
    <xf numFmtId="0" fontId="19" fillId="0" borderId="0" xfId="0" applyFont="1"/>
    <xf numFmtId="0" fontId="18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164" fontId="19" fillId="0" borderId="0" xfId="0" applyNumberFormat="1" applyFont="1"/>
    <xf numFmtId="0" fontId="17" fillId="0" borderId="0" xfId="0" applyFont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horizontal="left" wrapText="1"/>
    </xf>
    <xf numFmtId="0" fontId="17" fillId="0" borderId="0" xfId="0" applyFont="1" applyFill="1" applyAlignment="1">
      <alignment vertical="top" wrapText="1"/>
    </xf>
    <xf numFmtId="0" fontId="19" fillId="0" borderId="0" xfId="0" applyFont="1" applyFill="1" applyAlignment="1">
      <alignment horizontal="center" vertical="top"/>
    </xf>
    <xf numFmtId="0" fontId="19" fillId="0" borderId="0" xfId="0" applyFont="1" applyFill="1" applyAlignment="1">
      <alignment vertical="top"/>
    </xf>
    <xf numFmtId="0" fontId="23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 vertical="top"/>
    </xf>
    <xf numFmtId="0" fontId="17" fillId="0" borderId="0" xfId="0" applyFont="1" applyAlignment="1">
      <alignment vertical="top" wrapText="1"/>
    </xf>
    <xf numFmtId="0" fontId="19" fillId="0" borderId="0" xfId="0" applyFont="1" applyAlignment="1">
      <alignment horizontal="left" vertical="top"/>
    </xf>
    <xf numFmtId="0" fontId="19" fillId="0" borderId="0" xfId="0" applyFont="1" applyFill="1" applyAlignment="1">
      <alignment horizontal="left" vertical="top"/>
    </xf>
    <xf numFmtId="0" fontId="24" fillId="33" borderId="0" xfId="0" applyFont="1" applyFill="1" applyAlignment="1">
      <alignment wrapText="1"/>
    </xf>
    <xf numFmtId="0" fontId="24" fillId="33" borderId="0" xfId="0" applyFont="1" applyFill="1" applyAlignment="1">
      <alignment horizontal="center" wrapText="1"/>
    </xf>
    <xf numFmtId="0" fontId="24" fillId="33" borderId="0" xfId="0" applyFont="1" applyFill="1" applyAlignment="1">
      <alignment horizontal="left" wrapText="1"/>
    </xf>
    <xf numFmtId="0" fontId="24" fillId="33" borderId="0" xfId="0" applyFont="1" applyFill="1"/>
    <xf numFmtId="0" fontId="17" fillId="0" borderId="0" xfId="0" applyFont="1" applyAlignment="1">
      <alignment wrapText="1"/>
    </xf>
    <xf numFmtId="0" fontId="10" fillId="0" borderId="6" xfId="12"/>
    <xf numFmtId="0" fontId="14" fillId="0" borderId="0" xfId="0" applyFont="1"/>
    <xf numFmtId="0" fontId="8" fillId="5" borderId="4" xfId="9"/>
    <xf numFmtId="0" fontId="23" fillId="0" borderId="0" xfId="0" applyFont="1" applyAlignment="1">
      <alignment horizontal="center"/>
    </xf>
    <xf numFmtId="165" fontId="9" fillId="6" borderId="4" xfId="11" applyNumberFormat="1"/>
    <xf numFmtId="165" fontId="22" fillId="6" borderId="5" xfId="10" applyNumberFormat="1"/>
    <xf numFmtId="0" fontId="13" fillId="0" borderId="0" xfId="16"/>
    <xf numFmtId="0" fontId="13" fillId="0" borderId="0" xfId="16" applyAlignment="1">
      <alignment horizontal="right"/>
    </xf>
    <xf numFmtId="0" fontId="13" fillId="0" borderId="0" xfId="16" quotePrefix="1" applyAlignment="1">
      <alignment horizontal="center"/>
    </xf>
    <xf numFmtId="0" fontId="13" fillId="0" borderId="0" xfId="16" applyAlignment="1">
      <alignment horizontal="center"/>
    </xf>
    <xf numFmtId="0" fontId="0" fillId="0" borderId="0" xfId="0" applyAlignment="1"/>
    <xf numFmtId="0" fontId="19" fillId="0" borderId="0" xfId="0" applyFont="1" applyAlignment="1"/>
    <xf numFmtId="0" fontId="16" fillId="0" borderId="0" xfId="0" applyFont="1" applyAlignment="1"/>
    <xf numFmtId="164" fontId="19" fillId="0" borderId="0" xfId="0" applyNumberFormat="1" applyFont="1" applyAlignment="1"/>
    <xf numFmtId="0" fontId="27" fillId="0" borderId="0" xfId="16" applyFont="1"/>
    <xf numFmtId="0" fontId="19" fillId="33" borderId="0" xfId="0" applyFont="1" applyFill="1" applyAlignment="1">
      <alignment wrapText="1"/>
    </xf>
    <xf numFmtId="0" fontId="19" fillId="33" borderId="0" xfId="0" applyFont="1" applyFill="1" applyAlignment="1">
      <alignment horizontal="center" wrapText="1"/>
    </xf>
    <xf numFmtId="0" fontId="27" fillId="0" borderId="0" xfId="16" applyFont="1" applyAlignment="1">
      <alignment horizontal="right"/>
    </xf>
    <xf numFmtId="0" fontId="29" fillId="0" borderId="6" xfId="12" applyFont="1"/>
    <xf numFmtId="164" fontId="8" fillId="5" borderId="4" xfId="9" applyNumberFormat="1"/>
    <xf numFmtId="0" fontId="24" fillId="33" borderId="0" xfId="0" applyFont="1" applyFill="1" applyAlignment="1"/>
    <xf numFmtId="164" fontId="8" fillId="5" borderId="4" xfId="9" applyNumberFormat="1" applyAlignment="1">
      <alignment vertical="top"/>
    </xf>
    <xf numFmtId="44" fontId="10" fillId="0" borderId="6" xfId="12" applyNumberFormat="1"/>
    <xf numFmtId="165" fontId="0" fillId="0" borderId="0" xfId="0" applyNumberFormat="1"/>
    <xf numFmtId="0" fontId="30" fillId="0" borderId="0" xfId="0" applyFont="1" applyAlignment="1">
      <alignment wrapText="1"/>
    </xf>
    <xf numFmtId="44" fontId="8" fillId="5" borderId="4" xfId="9" applyNumberFormat="1"/>
    <xf numFmtId="165" fontId="28" fillId="6" borderId="5" xfId="10" applyNumberFormat="1" applyFont="1"/>
    <xf numFmtId="165" fontId="29" fillId="6" borderId="4" xfId="11" applyNumberFormat="1" applyFont="1"/>
    <xf numFmtId="165" fontId="22" fillId="6" borderId="5" xfId="10" applyNumberFormat="1" applyFont="1"/>
    <xf numFmtId="0" fontId="32" fillId="0" borderId="0" xfId="0" applyFont="1"/>
    <xf numFmtId="0" fontId="19" fillId="0" borderId="0" xfId="0" applyFont="1" applyAlignment="1">
      <alignment horizontal="right"/>
    </xf>
    <xf numFmtId="0" fontId="27" fillId="0" borderId="0" xfId="16" quotePrefix="1" applyFont="1" applyAlignment="1">
      <alignment horizontal="right"/>
    </xf>
    <xf numFmtId="0" fontId="31" fillId="0" borderId="0" xfId="16" applyFont="1" applyFill="1" applyBorder="1" applyAlignment="1">
      <alignment horizontal="right"/>
    </xf>
    <xf numFmtId="44" fontId="0" fillId="0" borderId="0" xfId="0" applyNumberFormat="1"/>
    <xf numFmtId="0" fontId="0" fillId="0" borderId="0" xfId="0" applyAlignment="1">
      <alignment horizontal="right"/>
    </xf>
  </cellXfs>
  <cellStyles count="13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="0">
                <a:latin typeface="Arial" pitchFamily="34" charset="0"/>
                <a:cs typeface="Arial" pitchFamily="34" charset="0"/>
              </a:defRPr>
            </a:pPr>
            <a:r>
              <a:rPr lang="en-US" b="0">
                <a:latin typeface="Arial" pitchFamily="34" charset="0"/>
                <a:cs typeface="Arial" pitchFamily="34" charset="0"/>
              </a:rPr>
              <a:t>Cost per Module vs</a:t>
            </a:r>
            <a:r>
              <a:rPr lang="en-US" b="0" baseline="0">
                <a:latin typeface="Arial" pitchFamily="34" charset="0"/>
                <a:cs typeface="Arial" pitchFamily="34" charset="0"/>
              </a:rPr>
              <a:t> Batch Size</a:t>
            </a:r>
            <a:endParaRPr lang="en-US" b="0">
              <a:latin typeface="Arial" pitchFamily="34" charset="0"/>
              <a:cs typeface="Arial" pitchFamily="34" charset="0"/>
            </a:endParaRPr>
          </a:p>
        </c:rich>
      </c:tx>
      <c:layout/>
    </c:title>
    <c:plotArea>
      <c:layout>
        <c:manualLayout>
          <c:layoutTarget val="inner"/>
          <c:xMode val="edge"/>
          <c:yMode val="edge"/>
          <c:x val="0.14536897637795301"/>
          <c:y val="0.11921143474883404"/>
          <c:w val="0.81559401574803203"/>
          <c:h val="0.75074689528862748"/>
        </c:manualLayout>
      </c:layout>
      <c:scatterChart>
        <c:scatterStyle val="smoothMarker"/>
        <c:ser>
          <c:idx val="0"/>
          <c:order val="0"/>
          <c:tx>
            <c:strRef>
              <c:f>Summary!$B$3</c:f>
              <c:strCache>
                <c:ptCount val="1"/>
                <c:pt idx="0">
                  <c:v>Actuator Module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circle"/>
            <c:size val="6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Summary!$C$2:$M$2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Summary!$C$3:$M$3</c:f>
              <c:numCache>
                <c:formatCode>_("$"* #,##0.00_);_("$"* \(#,##0.00\);_("$"* "-"??_);_(@_)</c:formatCode>
                <c:ptCount val="11"/>
                <c:pt idx="0">
                  <c:v>1131.8188000000002</c:v>
                </c:pt>
                <c:pt idx="1">
                  <c:v>745.51780000000008</c:v>
                </c:pt>
                <c:pt idx="2">
                  <c:v>548.11009999999999</c:v>
                </c:pt>
                <c:pt idx="3">
                  <c:v>437.77132000000006</c:v>
                </c:pt>
                <c:pt idx="4">
                  <c:v>369.80833769230765</c:v>
                </c:pt>
                <c:pt idx="5">
                  <c:v>326.84433000000001</c:v>
                </c:pt>
                <c:pt idx="6">
                  <c:v>313.93966999999998</c:v>
                </c:pt>
                <c:pt idx="7">
                  <c:v>294.45735000000002</c:v>
                </c:pt>
                <c:pt idx="8">
                  <c:v>289.13198999999997</c:v>
                </c:pt>
                <c:pt idx="9">
                  <c:v>286.26027999999997</c:v>
                </c:pt>
                <c:pt idx="10">
                  <c:v>283.91057999999998</c:v>
                </c:pt>
              </c:numCache>
            </c:numRef>
          </c:yVal>
        </c:ser>
        <c:ser>
          <c:idx val="1"/>
          <c:order val="1"/>
          <c:tx>
            <c:strRef>
              <c:f>Summary!$B$4</c:f>
              <c:strCache>
                <c:ptCount val="1"/>
                <c:pt idx="0">
                  <c:v>Act Mod without Slip Ring</c:v>
                </c:pt>
              </c:strCache>
            </c:strRef>
          </c:tx>
          <c:spPr>
            <a:ln>
              <a:solidFill>
                <a:schemeClr val="tx1">
                  <a:lumMod val="85000"/>
                  <a:lumOff val="15000"/>
                </a:schemeClr>
              </a:solidFill>
              <a:prstDash val="sysDash"/>
            </a:ln>
          </c:spPr>
          <c:marker>
            <c:symbol val="circle"/>
            <c:size val="6"/>
            <c:spPr>
              <a:solidFill>
                <a:schemeClr val="tx1">
                  <a:lumMod val="85000"/>
                  <a:lumOff val="15000"/>
                </a:schemeClr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Summary!$C$2:$M$2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Summary!$C$4:$M$4</c:f>
              <c:numCache>
                <c:formatCode>_("$"* #,##0.00_);_("$"* \(#,##0.00\);_("$"* "-"??_);_(@_)</c:formatCode>
                <c:ptCount val="11"/>
                <c:pt idx="0">
                  <c:v>967.51880000000017</c:v>
                </c:pt>
                <c:pt idx="1">
                  <c:v>585.81780000000003</c:v>
                </c:pt>
                <c:pt idx="2">
                  <c:v>392.71009999999995</c:v>
                </c:pt>
                <c:pt idx="3">
                  <c:v>288.37132000000003</c:v>
                </c:pt>
                <c:pt idx="4">
                  <c:v>238.90833769230767</c:v>
                </c:pt>
                <c:pt idx="5">
                  <c:v>205.24432999999999</c:v>
                </c:pt>
                <c:pt idx="6">
                  <c:v>192.33967000000001</c:v>
                </c:pt>
                <c:pt idx="7">
                  <c:v>172.85735</c:v>
                </c:pt>
                <c:pt idx="8">
                  <c:v>167.53199000000001</c:v>
                </c:pt>
                <c:pt idx="9">
                  <c:v>164.66028</c:v>
                </c:pt>
                <c:pt idx="10">
                  <c:v>162.31058000000002</c:v>
                </c:pt>
              </c:numCache>
            </c:numRef>
          </c:yVal>
        </c:ser>
        <c:ser>
          <c:idx val="2"/>
          <c:order val="2"/>
          <c:tx>
            <c:strRef>
              <c:f>Summary!$B$5</c:f>
              <c:strCache>
                <c:ptCount val="1"/>
                <c:pt idx="0">
                  <c:v>Energy Module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circle"/>
            <c:size val="6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Summary!$C$2:$M$2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Summary!$C$5:$M$5</c:f>
              <c:numCache>
                <c:formatCode>_("$"* #,##0.00_);_("$"* \(#,##0.00\);_("$"* "-"??_);_(@_)</c:formatCode>
                <c:ptCount val="11"/>
                <c:pt idx="0">
                  <c:v>891.8492500000001</c:v>
                </c:pt>
                <c:pt idx="1">
                  <c:v>510.14825000000002</c:v>
                </c:pt>
                <c:pt idx="2">
                  <c:v>315.15019999999998</c:v>
                </c:pt>
                <c:pt idx="3">
                  <c:v>218.23093</c:v>
                </c:pt>
                <c:pt idx="4">
                  <c:v>158.43950269230766</c:v>
                </c:pt>
                <c:pt idx="5">
                  <c:v>122.285495</c:v>
                </c:pt>
                <c:pt idx="6">
                  <c:v>108.070335</c:v>
                </c:pt>
                <c:pt idx="7">
                  <c:v>87.249454999999983</c:v>
                </c:pt>
                <c:pt idx="8">
                  <c:v>79.116995000000003</c:v>
                </c:pt>
                <c:pt idx="9">
                  <c:v>74.503905000000003</c:v>
                </c:pt>
                <c:pt idx="10">
                  <c:v>70.43766500000001</c:v>
                </c:pt>
              </c:numCache>
            </c:numRef>
          </c:yVal>
        </c:ser>
        <c:ser>
          <c:idx val="3"/>
          <c:order val="3"/>
          <c:tx>
            <c:strRef>
              <c:f>Summary!$B$6</c:f>
              <c:strCache>
                <c:ptCount val="1"/>
                <c:pt idx="0">
                  <c:v>Structural Module</c:v>
                </c:pt>
              </c:strCache>
            </c:strRef>
          </c:tx>
          <c:spPr>
            <a:ln>
              <a:solidFill>
                <a:prstClr val="black"/>
              </a:solidFill>
              <a:prstDash val="dash"/>
            </a:ln>
          </c:spPr>
          <c:marker>
            <c:symbol val="circle"/>
            <c:size val="6"/>
            <c:spPr>
              <a:solidFill>
                <a:sysClr val="windowText" lastClr="000000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Summary!$C$2:$M$2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xVal>
          <c:yVal>
            <c:numRef>
              <c:f>Summary!$C$6:$M$6</c:f>
              <c:numCache>
                <c:formatCode>_("$"* #,##0.00_);_("$"* \(#,##0.00\);_("$"* "-"??_);_(@_)</c:formatCode>
                <c:ptCount val="11"/>
                <c:pt idx="0">
                  <c:v>864.42925000000014</c:v>
                </c:pt>
                <c:pt idx="1">
                  <c:v>482.72825</c:v>
                </c:pt>
                <c:pt idx="2">
                  <c:v>288.08119999999997</c:v>
                </c:pt>
                <c:pt idx="3">
                  <c:v>191.34993</c:v>
                </c:pt>
                <c:pt idx="4">
                  <c:v>141.80450269230766</c:v>
                </c:pt>
                <c:pt idx="5">
                  <c:v>107.57649499999999</c:v>
                </c:pt>
                <c:pt idx="6">
                  <c:v>94.385435000000001</c:v>
                </c:pt>
                <c:pt idx="7">
                  <c:v>74.72995499999999</c:v>
                </c:pt>
                <c:pt idx="8">
                  <c:v>69.393294999999995</c:v>
                </c:pt>
                <c:pt idx="9">
                  <c:v>66.521585000000002</c:v>
                </c:pt>
                <c:pt idx="10">
                  <c:v>64.153285000000011</c:v>
                </c:pt>
              </c:numCache>
            </c:numRef>
          </c:yVal>
          <c:smooth val="1"/>
        </c:ser>
        <c:axId val="49067520"/>
        <c:axId val="49070080"/>
      </c:scatterChart>
      <c:valAx>
        <c:axId val="49067520"/>
        <c:scaling>
          <c:logBase val="10"/>
          <c:orientation val="minMax"/>
          <c:max val="1100"/>
        </c:scaling>
        <c:axPos val="b"/>
        <c:title>
          <c:tx>
            <c:rich>
              <a:bodyPr/>
              <a:lstStyle/>
              <a:p>
                <a:pPr>
                  <a:defRPr sz="1200" b="0">
                    <a:latin typeface="Arial" pitchFamily="34" charset="0"/>
                    <a:cs typeface="Arial" pitchFamily="34" charset="0"/>
                  </a:defRPr>
                </a:pPr>
                <a:r>
                  <a:rPr lang="en-US" sz="1200" b="0">
                    <a:latin typeface="Arial" pitchFamily="34" charset="0"/>
                    <a:cs typeface="Arial" pitchFamily="34" charset="0"/>
                  </a:rPr>
                  <a:t>Number of Modules per</a:t>
                </a:r>
                <a:r>
                  <a:rPr lang="en-US" sz="1200" b="0" baseline="0">
                    <a:latin typeface="Arial" pitchFamily="34" charset="0"/>
                    <a:cs typeface="Arial" pitchFamily="34" charset="0"/>
                  </a:rPr>
                  <a:t> Batch</a:t>
                </a:r>
                <a:endParaRPr lang="en-US" sz="1200" b="0">
                  <a:latin typeface="Arial" pitchFamily="34" charset="0"/>
                  <a:cs typeface="Arial" pitchFamily="34" charset="0"/>
                </a:endParaRP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>
            <a:solidFill>
              <a:prstClr val="black">
                <a:lumMod val="85000"/>
                <a:lumOff val="15000"/>
              </a:prstClr>
            </a:solidFill>
          </a:ln>
        </c:spPr>
        <c:txPr>
          <a:bodyPr/>
          <a:lstStyle/>
          <a:p>
            <a:pPr>
              <a:defRPr sz="12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49070080"/>
        <c:crosses val="autoZero"/>
        <c:crossBetween val="midCat"/>
      </c:valAx>
      <c:valAx>
        <c:axId val="490700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 b="0">
                    <a:latin typeface="Arial" pitchFamily="34" charset="0"/>
                    <a:cs typeface="Arial" pitchFamily="34" charset="0"/>
                  </a:defRPr>
                </a:pPr>
                <a:r>
                  <a:rPr lang="en-US" sz="1200" b="0">
                    <a:latin typeface="Arial" pitchFamily="34" charset="0"/>
                    <a:cs typeface="Arial" pitchFamily="34" charset="0"/>
                  </a:rPr>
                  <a:t>Cost per Module</a:t>
                </a:r>
              </a:p>
            </c:rich>
          </c:tx>
          <c:layout/>
        </c:title>
        <c:numFmt formatCode="_(&quot;$&quot;* #,##0_);_(&quot;$&quot;* \(#,##0\);_(&quot;$&quot;* &quot;-&quot;_);_(@_)" sourceLinked="0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49067520"/>
        <c:crosses val="autoZero"/>
        <c:crossBetween val="midCat"/>
      </c:valAx>
      <c:spPr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448801399825022"/>
          <c:y val="0.16254860143476901"/>
          <c:w val="0.45945691163604552"/>
          <c:h val="0.3491036016331292"/>
        </c:manualLayout>
      </c:layout>
      <c:spPr>
        <a:solidFill>
          <a:schemeClr val="bg1"/>
        </a:solidFill>
        <a:ln>
          <a:solidFill>
            <a:sysClr val="windowText" lastClr="000000"/>
          </a:solidFill>
        </a:ln>
      </c:spPr>
      <c:txPr>
        <a:bodyPr/>
        <a:lstStyle/>
        <a:p>
          <a:pPr>
            <a:defRPr sz="1100">
              <a:latin typeface="Arial" pitchFamily="34" charset="0"/>
              <a:cs typeface="Arial" pitchFamily="34" charset="0"/>
            </a:defRPr>
          </a:pPr>
          <a:endParaRPr lang="en-US"/>
        </a:p>
      </c:txPr>
    </c:legend>
    <c:plotVisOnly val="1"/>
    <c:dispBlanksAs val="gap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7</xdr:row>
      <xdr:rowOff>0</xdr:rowOff>
    </xdr:from>
    <xdr:to>
      <xdr:col>12</xdr:col>
      <xdr:colOff>838200</xdr:colOff>
      <xdr:row>19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3"/>
  <sheetViews>
    <sheetView tabSelected="1" workbookViewId="0">
      <selection activeCell="N10" sqref="N10"/>
    </sheetView>
  </sheetViews>
  <sheetFormatPr defaultColWidth="11.42578125" defaultRowHeight="15"/>
  <cols>
    <col min="2" max="2" width="25.85546875" customWidth="1"/>
    <col min="3" max="4" width="11.42578125" bestFit="1" customWidth="1"/>
    <col min="5" max="5" width="11.42578125" customWidth="1"/>
    <col min="6" max="6" width="11.42578125" bestFit="1" customWidth="1"/>
    <col min="7" max="12" width="11.42578125" customWidth="1"/>
    <col min="13" max="13" width="12.7109375" customWidth="1"/>
    <col min="15" max="15" width="17" bestFit="1" customWidth="1"/>
  </cols>
  <sheetData>
    <row r="1" spans="2:13">
      <c r="B1" s="32"/>
      <c r="C1" t="s">
        <v>240</v>
      </c>
      <c r="D1">
        <v>3</v>
      </c>
    </row>
    <row r="2" spans="2:13">
      <c r="C2" s="33">
        <v>1</v>
      </c>
      <c r="D2" s="33">
        <f>2*C2</f>
        <v>2</v>
      </c>
      <c r="E2" s="33">
        <f t="shared" ref="E2:M2" si="0">2*D2</f>
        <v>4</v>
      </c>
      <c r="F2" s="33">
        <f t="shared" si="0"/>
        <v>8</v>
      </c>
      <c r="G2" s="33">
        <f t="shared" si="0"/>
        <v>16</v>
      </c>
      <c r="H2" s="33">
        <f t="shared" si="0"/>
        <v>32</v>
      </c>
      <c r="I2" s="33">
        <f t="shared" si="0"/>
        <v>64</v>
      </c>
      <c r="J2" s="33">
        <f t="shared" si="0"/>
        <v>128</v>
      </c>
      <c r="K2" s="33">
        <f t="shared" si="0"/>
        <v>256</v>
      </c>
      <c r="L2" s="33">
        <f t="shared" si="0"/>
        <v>512</v>
      </c>
      <c r="M2" s="33">
        <f t="shared" si="0"/>
        <v>1024</v>
      </c>
    </row>
    <row r="3" spans="2:13" ht="15.75" thickBot="1">
      <c r="B3" t="s">
        <v>241</v>
      </c>
      <c r="C3" s="53">
        <f>Modules!D11</f>
        <v>1131.8188000000002</v>
      </c>
      <c r="D3" s="53">
        <f>Modules!E11</f>
        <v>745.51780000000008</v>
      </c>
      <c r="E3" s="53">
        <f>Modules!F11</f>
        <v>548.11009999999999</v>
      </c>
      <c r="F3" s="53">
        <f>Modules!G11</f>
        <v>437.77132000000006</v>
      </c>
      <c r="G3" s="53">
        <f>Modules!H11</f>
        <v>369.80833769230765</v>
      </c>
      <c r="H3" s="53">
        <f>Modules!I11</f>
        <v>326.84433000000001</v>
      </c>
      <c r="I3" s="53">
        <f>Modules!J11</f>
        <v>313.93966999999998</v>
      </c>
      <c r="J3" s="53">
        <f>Modules!K11</f>
        <v>294.45735000000002</v>
      </c>
      <c r="K3" s="53">
        <f>Modules!L11</f>
        <v>289.13198999999997</v>
      </c>
      <c r="L3" s="53">
        <f>Modules!M11</f>
        <v>286.26027999999997</v>
      </c>
      <c r="M3" s="53">
        <f>Modules!N11</f>
        <v>283.91057999999998</v>
      </c>
    </row>
    <row r="4" spans="2:13" ht="16.5" thickTop="1" thickBot="1">
      <c r="B4" t="s">
        <v>267</v>
      </c>
      <c r="C4" s="53">
        <f>Modules!D15</f>
        <v>967.51880000000017</v>
      </c>
      <c r="D4" s="53">
        <f>Modules!E15</f>
        <v>585.81780000000003</v>
      </c>
      <c r="E4" s="53">
        <f>Modules!F15</f>
        <v>392.71009999999995</v>
      </c>
      <c r="F4" s="53">
        <f>Modules!G15</f>
        <v>288.37132000000003</v>
      </c>
      <c r="G4" s="53">
        <f>Modules!H15</f>
        <v>238.90833769230767</v>
      </c>
      <c r="H4" s="53">
        <f>Modules!I15</f>
        <v>205.24432999999999</v>
      </c>
      <c r="I4" s="53">
        <f>Modules!J15</f>
        <v>192.33967000000001</v>
      </c>
      <c r="J4" s="53">
        <f>Modules!K15</f>
        <v>172.85735</v>
      </c>
      <c r="K4" s="53">
        <f>Modules!L15</f>
        <v>167.53199000000001</v>
      </c>
      <c r="L4" s="53">
        <f>Modules!M15</f>
        <v>164.66028</v>
      </c>
      <c r="M4" s="53">
        <f>Modules!N15</f>
        <v>162.31058000000002</v>
      </c>
    </row>
    <row r="5" spans="2:13" ht="16.5" thickTop="1" thickBot="1">
      <c r="B5" t="s">
        <v>245</v>
      </c>
      <c r="C5" s="53">
        <f>Modules!D27</f>
        <v>891.8492500000001</v>
      </c>
      <c r="D5" s="53">
        <f>Modules!E27</f>
        <v>510.14825000000002</v>
      </c>
      <c r="E5" s="53">
        <f>Modules!F27</f>
        <v>315.15019999999998</v>
      </c>
      <c r="F5" s="53">
        <f>Modules!G27</f>
        <v>218.23093</v>
      </c>
      <c r="G5" s="53">
        <f>Modules!H27</f>
        <v>158.43950269230766</v>
      </c>
      <c r="H5" s="53">
        <f>Modules!I27</f>
        <v>122.285495</v>
      </c>
      <c r="I5" s="53">
        <f>Modules!J27</f>
        <v>108.070335</v>
      </c>
      <c r="J5" s="53">
        <f>Modules!K27</f>
        <v>87.249454999999983</v>
      </c>
      <c r="K5" s="53">
        <f>Modules!L27</f>
        <v>79.116995000000003</v>
      </c>
      <c r="L5" s="53">
        <f>Modules!M27</f>
        <v>74.503905000000003</v>
      </c>
      <c r="M5" s="53">
        <f>Modules!N27</f>
        <v>70.43766500000001</v>
      </c>
    </row>
    <row r="6" spans="2:13" ht="16.5" thickTop="1" thickBot="1">
      <c r="B6" t="s">
        <v>246</v>
      </c>
      <c r="C6" s="53">
        <f>Modules!D37</f>
        <v>864.42925000000014</v>
      </c>
      <c r="D6" s="53">
        <f>Modules!E37</f>
        <v>482.72825</v>
      </c>
      <c r="E6" s="53">
        <f>Modules!F37</f>
        <v>288.08119999999997</v>
      </c>
      <c r="F6" s="53">
        <f>Modules!G37</f>
        <v>191.34993</v>
      </c>
      <c r="G6" s="53">
        <f>Modules!H37</f>
        <v>141.80450269230766</v>
      </c>
      <c r="H6" s="53">
        <f>Modules!I37</f>
        <v>107.57649499999999</v>
      </c>
      <c r="I6" s="53">
        <f>Modules!J37</f>
        <v>94.385435000000001</v>
      </c>
      <c r="J6" s="53">
        <f>Modules!K37</f>
        <v>74.72995499999999</v>
      </c>
      <c r="K6" s="53">
        <f>Modules!L37</f>
        <v>69.393294999999995</v>
      </c>
      <c r="L6" s="53">
        <f>Modules!M37</f>
        <v>66.521585000000002</v>
      </c>
      <c r="M6" s="53">
        <f>Modules!N37</f>
        <v>64.153285000000011</v>
      </c>
    </row>
    <row r="7" spans="2:13" ht="15.75" thickTop="1"/>
    <row r="9" spans="2:13">
      <c r="F9" s="65"/>
      <c r="H9" s="64"/>
      <c r="I9" s="64"/>
    </row>
    <row r="10" spans="2:13">
      <c r="F10" s="65"/>
      <c r="H10" s="64"/>
      <c r="I10" s="64"/>
    </row>
    <row r="11" spans="2:13">
      <c r="F11" s="65"/>
      <c r="H11" s="64"/>
      <c r="I11" s="64"/>
    </row>
    <row r="12" spans="2:13">
      <c r="F12" s="64"/>
      <c r="H12" s="64"/>
    </row>
    <row r="13" spans="2:13" ht="38.25" customHeight="1">
      <c r="B13" s="55" t="s">
        <v>262</v>
      </c>
      <c r="C13" s="56">
        <v>0.43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>
      <selection activeCell="H1" sqref="H1"/>
    </sheetView>
  </sheetViews>
  <sheetFormatPr defaultColWidth="8.85546875" defaultRowHeight="14.25"/>
  <cols>
    <col min="1" max="1" width="27.7109375" style="7" customWidth="1"/>
    <col min="2" max="2" width="8.85546875" style="10"/>
    <col min="3" max="3" width="21.85546875" style="61" bestFit="1" customWidth="1"/>
    <col min="4" max="11" width="11.42578125" style="7" customWidth="1"/>
    <col min="12" max="14" width="12.28515625" style="7" bestFit="1" customWidth="1"/>
    <col min="15" max="16384" width="8.85546875" style="7"/>
  </cols>
  <sheetData>
    <row r="1" spans="1:14">
      <c r="A1" s="60" t="s">
        <v>263</v>
      </c>
    </row>
    <row r="2" spans="1:14" s="46" customFormat="1" ht="15" thickBot="1">
      <c r="A2" s="46" t="s">
        <v>3</v>
      </c>
      <c r="B2" s="47" t="s">
        <v>0</v>
      </c>
      <c r="C2" s="48"/>
      <c r="D2" s="49">
        <f>Summary!C2</f>
        <v>1</v>
      </c>
      <c r="E2" s="49">
        <f>Summary!D2</f>
        <v>2</v>
      </c>
      <c r="F2" s="49">
        <f>Summary!E2</f>
        <v>4</v>
      </c>
      <c r="G2" s="49">
        <f>Summary!F2</f>
        <v>8</v>
      </c>
      <c r="H2" s="49">
        <f>Summary!G2</f>
        <v>16</v>
      </c>
      <c r="I2" s="49">
        <f>Summary!H2</f>
        <v>32</v>
      </c>
      <c r="J2" s="49">
        <f>Summary!I2</f>
        <v>64</v>
      </c>
      <c r="K2" s="49">
        <f>Summary!J2</f>
        <v>128</v>
      </c>
      <c r="L2" s="49">
        <f>Summary!K2</f>
        <v>256</v>
      </c>
      <c r="M2" s="49">
        <f>Summary!L2</f>
        <v>512</v>
      </c>
      <c r="N2" s="49">
        <f>Summary!M2</f>
        <v>1024</v>
      </c>
    </row>
    <row r="3" spans="1:14" ht="15" thickTop="1">
      <c r="A3" s="7" t="s">
        <v>235</v>
      </c>
      <c r="B3" s="10">
        <v>1</v>
      </c>
      <c r="C3" s="62" t="str">
        <f>A3</f>
        <v>Module Shell</v>
      </c>
      <c r="D3" s="58">
        <f>HLOOKUP(D$2*$B3,'Module Shell'!$O$2:$Y$8,COUNT('Module Shell'!$O$2:$O$8),TRUE)*$B3</f>
        <v>13.811299999999999</v>
      </c>
      <c r="E3" s="58">
        <f>HLOOKUP(E$2*$B3,'Module Shell'!$O$2:$Y$8,COUNT('Module Shell'!$O$2:$O$8),TRUE)*$B3</f>
        <v>13.811299999999999</v>
      </c>
      <c r="F3" s="58">
        <f>HLOOKUP(F$2*$B3,'Module Shell'!$O$2:$Y$8,COUNT('Module Shell'!$O$2:$O$8),TRUE)*$B3</f>
        <v>13.811299999999999</v>
      </c>
      <c r="G3" s="58">
        <f>HLOOKUP(G$2*$B3,'Module Shell'!$O$2:$Y$8,COUNT('Module Shell'!$O$2:$O$8),TRUE)*$B3</f>
        <v>13.811299999999999</v>
      </c>
      <c r="H3" s="58">
        <f>HLOOKUP(H$2*$B3,'Module Shell'!$O$2:$Y$8,COUNT('Module Shell'!$O$2:$O$8),TRUE)*$B3</f>
        <v>13.811299999999999</v>
      </c>
      <c r="I3" s="58">
        <f>HLOOKUP(I$2*$B3,'Module Shell'!$O$2:$Y$8,COUNT('Module Shell'!$O$2:$O$8),TRUE)*$B3</f>
        <v>13.811299999999999</v>
      </c>
      <c r="J3" s="58">
        <f>HLOOKUP(J$2*$B3,'Module Shell'!$O$2:$Y$8,COUNT('Module Shell'!$O$2:$O$8),TRUE)*$B3</f>
        <v>13.771299999999998</v>
      </c>
      <c r="K3" s="58">
        <f>HLOOKUP(K$2*$B3,'Module Shell'!$O$2:$Y$8,COUNT('Module Shell'!$O$2:$O$8),TRUE)*$B3</f>
        <v>13.771299999999998</v>
      </c>
      <c r="L3" s="58">
        <f>HLOOKUP(L$2*$B3,'Module Shell'!$O$2:$Y$8,COUNT('Module Shell'!$O$2:$O$8),TRUE)*$B3</f>
        <v>13.731299999999999</v>
      </c>
      <c r="M3" s="58">
        <f>HLOOKUP(M$2*$B3,'Module Shell'!$O$2:$Y$8,COUNT('Module Shell'!$O$2:$O$8),TRUE)*$B3</f>
        <v>13.731299999999999</v>
      </c>
      <c r="N3" s="58">
        <f>HLOOKUP(N$2*$B3,'Module Shell'!$O$2:$Y$8,COUNT('Module Shell'!$O$2:$O$8),TRUE)*$B3</f>
        <v>13.731299999999999</v>
      </c>
    </row>
    <row r="4" spans="1:14">
      <c r="A4" s="7" t="s">
        <v>59</v>
      </c>
      <c r="B4" s="10">
        <v>1</v>
      </c>
      <c r="C4" s="62" t="str">
        <f t="shared" ref="C4:C9" si="0">A4</f>
        <v>Controller PCB</v>
      </c>
      <c r="D4" s="58">
        <f>HLOOKUP(D$2*$B4,'Controller PCB'!$V$2:$AF$29,COUNT('Controller PCB'!$V$2:$V$29),TRUE)*$B4</f>
        <v>50.123999999999995</v>
      </c>
      <c r="E4" s="58">
        <f>HLOOKUP(E$2*$B4,'Controller PCB'!$V$2:$AF$29,COUNT('Controller PCB'!$V$2:$V$29),TRUE)*$B4</f>
        <v>49.938999999999993</v>
      </c>
      <c r="F4" s="58">
        <f>HLOOKUP(F$2*$B4,'Controller PCB'!$V$2:$AF$29,COUNT('Controller PCB'!$V$2:$V$29),TRUE)*$B4</f>
        <v>49.33</v>
      </c>
      <c r="G4" s="58">
        <f>HLOOKUP(G$2*$B4,'Controller PCB'!$V$2:$AF$29,COUNT('Controller PCB'!$V$2:$V$29),TRUE)*$B4</f>
        <v>48.375799999999998</v>
      </c>
      <c r="H4" s="58">
        <f>HLOOKUP(H$2*$B4,'Controller PCB'!$V$2:$AF$29,COUNT('Controller PCB'!$V$2:$V$29),TRUE)*$B4</f>
        <v>36.623399999999997</v>
      </c>
      <c r="I4" s="58">
        <f>HLOOKUP(I$2*$B4,'Controller PCB'!$V$2:$AF$29,COUNT('Controller PCB'!$V$2:$V$29),TRUE)*$B4</f>
        <v>33.158499999999997</v>
      </c>
      <c r="J4" s="58">
        <f>HLOOKUP(J$2*$B4,'Controller PCB'!$V$2:$AF$29,COUNT('Controller PCB'!$V$2:$V$29),TRUE)*$B4</f>
        <v>31.449840000000002</v>
      </c>
      <c r="K4" s="58">
        <f>HLOOKUP(K$2*$B4,'Controller PCB'!$V$2:$AF$29,COUNT('Controller PCB'!$V$2:$V$29),TRUE)*$B4</f>
        <v>28.269039999999997</v>
      </c>
      <c r="L4" s="58">
        <f>HLOOKUP(L$2*$B4,'Controller PCB'!$V$2:$AF$29,COUNT('Controller PCB'!$V$2:$V$29),TRUE)*$B4</f>
        <v>24.384059999999998</v>
      </c>
      <c r="M4" s="58">
        <f>HLOOKUP(M$2*$B4,'Controller PCB'!$V$2:$AF$29,COUNT('Controller PCB'!$V$2:$V$29),TRUE)*$B4</f>
        <v>21.675549999999998</v>
      </c>
      <c r="N4" s="58">
        <f>HLOOKUP(N$2*$B4,'Controller PCB'!$V$2:$AF$29,COUNT('Controller PCB'!$V$2:$V$29),TRUE)*$B4</f>
        <v>19.328250000000001</v>
      </c>
    </row>
    <row r="5" spans="1:14">
      <c r="A5" s="7" t="s">
        <v>228</v>
      </c>
      <c r="B5" s="10">
        <v>6</v>
      </c>
      <c r="C5" s="62" t="str">
        <f t="shared" si="0"/>
        <v>Connector PCB</v>
      </c>
      <c r="D5" s="58">
        <f>HLOOKUP(D$2*$B5,'Connector PCB'!$AG$2:$AQ$8,COUNT('Connector PCB'!$AG$2:$AG$8),TRUE)*$B5</f>
        <v>785.1400000000001</v>
      </c>
      <c r="E5" s="58">
        <f>HLOOKUP(E$2*$B5,'Connector PCB'!$AG$2:$AQ$8,COUNT('Connector PCB'!$AG$2:$AG$8),TRUE)*$B5</f>
        <v>403.62400000000002</v>
      </c>
      <c r="F5" s="58">
        <f>HLOOKUP(F$2*$B5,'Connector PCB'!$AG$2:$AQ$8,COUNT('Connector PCB'!$AG$2:$AG$8),TRUE)*$B5</f>
        <v>214.20399999999998</v>
      </c>
      <c r="G5" s="58">
        <f>HLOOKUP(G$2*$B5,'Connector PCB'!$AG$2:$AQ$8,COUNT('Connector PCB'!$AG$2:$AG$8),TRUE)*$B5</f>
        <v>118.58440000000002</v>
      </c>
      <c r="H5" s="58">
        <f>HLOOKUP(H$2*$B5,'Connector PCB'!$AG$2:$AQ$8,COUNT('Connector PCB'!$AG$2:$AG$8),TRUE)*$B5</f>
        <v>81.038707692307682</v>
      </c>
      <c r="I5" s="58">
        <f>HLOOKUP(I$2*$B5,'Connector PCB'!$AG$2:$AQ$8,COUNT('Connector PCB'!$AG$2:$AG$8),TRUE)*$B5</f>
        <v>51.967599999999997</v>
      </c>
      <c r="J5" s="58">
        <f>HLOOKUP(J$2*$B5,'Connector PCB'!$AG$2:$AQ$8,COUNT('Connector PCB'!$AG$2:$AG$8),TRUE)*$B5</f>
        <v>41.384399999999999</v>
      </c>
      <c r="K5" s="58">
        <f>HLOOKUP(K$2*$B5,'Connector PCB'!$AG$2:$AQ$8,COUNT('Connector PCB'!$AG$2:$AG$8),TRUE)*$B5</f>
        <v>25.429200000000002</v>
      </c>
      <c r="L5" s="58">
        <f>HLOOKUP(L$2*$B5,'Connector PCB'!$AG$2:$AQ$8,COUNT('Connector PCB'!$AG$2:$AG$8),TRUE)*$B5</f>
        <v>24.05142</v>
      </c>
      <c r="M5" s="58">
        <f>HLOOKUP(M$2*$B5,'Connector PCB'!$AG$2:$AQ$8,COUNT('Connector PCB'!$AG$2:$AG$8),TRUE)*$B5</f>
        <v>23.88822</v>
      </c>
      <c r="N5" s="58">
        <f>HLOOKUP(N$2*$B5,'Connector PCB'!$AG$2:$AQ$8,COUNT('Connector PCB'!$AG$2:$AG$8),TRUE)*$B5</f>
        <v>23.88822</v>
      </c>
    </row>
    <row r="6" spans="1:14">
      <c r="A6" s="7" t="s">
        <v>229</v>
      </c>
      <c r="B6" s="10">
        <v>4</v>
      </c>
      <c r="C6" s="62" t="str">
        <f t="shared" si="0"/>
        <v>Proximity Sensor PCB</v>
      </c>
      <c r="D6" s="58">
        <f>HLOOKUP(D$2*$B6,'Proximity Sensor PCB'!$U$2:$AF$8,COUNT('Proximity Sensor PCB'!$U$2:$U$8),TRUE)*$B6</f>
        <v>9.7245000000000008</v>
      </c>
      <c r="E6" s="58">
        <f>HLOOKUP(E$2*$B6,'Proximity Sensor PCB'!$U$2:$AF$8,COUNT('Proximity Sensor PCB'!$U$2:$U$8),TRUE)*$B6</f>
        <v>9.7245000000000008</v>
      </c>
      <c r="F6" s="58">
        <f>HLOOKUP(F$2*$B6,'Proximity Sensor PCB'!$U$2:$AF$8,COUNT('Proximity Sensor PCB'!$U$2:$U$8),TRUE)*$B6</f>
        <v>6.6457999999999995</v>
      </c>
      <c r="G6" s="58">
        <f>HLOOKUP(G$2*$B6,'Proximity Sensor PCB'!$U$2:$AF$8,COUNT('Proximity Sensor PCB'!$U$2:$U$8),TRUE)*$B6</f>
        <v>6.5408200000000001</v>
      </c>
      <c r="H6" s="58">
        <f>HLOOKUP(H$2*$B6,'Proximity Sensor PCB'!$U$2:$AF$8,COUNT('Proximity Sensor PCB'!$U$2:$U$8),TRUE)*$B6</f>
        <v>6.3759300000000012</v>
      </c>
      <c r="I6" s="58">
        <f>HLOOKUP(I$2*$B6,'Proximity Sensor PCB'!$U$2:$AF$8,COUNT('Proximity Sensor PCB'!$U$2:$U$8),TRUE)*$B6</f>
        <v>5.2479300000000002</v>
      </c>
      <c r="J6" s="58">
        <f>HLOOKUP(J$2*$B6,'Proximity Sensor PCB'!$U$2:$AF$8,COUNT('Proximity Sensor PCB'!$U$2:$U$8),TRUE)*$B6</f>
        <v>4.6751300000000002</v>
      </c>
      <c r="K6" s="58">
        <f>HLOOKUP(K$2*$B6,'Proximity Sensor PCB'!$U$2:$AF$8,COUNT('Proximity Sensor PCB'!$U$2:$U$8),TRUE)*$B6</f>
        <v>4.3288099999999998</v>
      </c>
      <c r="L6" s="58">
        <f>HLOOKUP(L$2*$B6,'Proximity Sensor PCB'!$U$2:$AF$8,COUNT('Proximity Sensor PCB'!$U$2:$U$8),TRUE)*$B6</f>
        <v>4.3062100000000001</v>
      </c>
      <c r="M6" s="58">
        <f>HLOOKUP(M$2*$B6,'Proximity Sensor PCB'!$U$2:$AF$8,COUNT('Proximity Sensor PCB'!$U$2:$U$8),TRUE)*$B6</f>
        <v>4.3062100000000001</v>
      </c>
      <c r="N6" s="58">
        <f>HLOOKUP(N$2*$B6,'Proximity Sensor PCB'!$U$2:$AF$8,COUNT('Proximity Sensor PCB'!$U$2:$U$8),TRUE)*$B6</f>
        <v>4.3038100000000004</v>
      </c>
    </row>
    <row r="7" spans="1:14">
      <c r="A7" s="7" t="s">
        <v>230</v>
      </c>
      <c r="B7" s="10">
        <v>1</v>
      </c>
      <c r="C7" s="62" t="str">
        <f t="shared" si="0"/>
        <v>Gearbox</v>
      </c>
      <c r="D7" s="58">
        <f>HLOOKUP(D$2*$B7,Gearbox!$T$2:$AD$13,COUNT(Gearbox!$T$2:$T$13),TRUE)*$B7</f>
        <v>107.95180000000001</v>
      </c>
      <c r="E7" s="58">
        <f>HLOOKUP(E$2*$B7,Gearbox!$T$2:$AD$13,COUNT(Gearbox!$T$2:$T$13),TRUE)*$B7</f>
        <v>107.95180000000001</v>
      </c>
      <c r="F7" s="58">
        <f>HLOOKUP(F$2*$B7,Gearbox!$T$2:$AD$13,COUNT(Gearbox!$T$2:$T$13),TRUE)*$B7</f>
        <v>107.95180000000001</v>
      </c>
      <c r="G7" s="58">
        <f>HLOOKUP(G$2*$B7,Gearbox!$T$2:$AD$13,COUNT(Gearbox!$T$2:$T$13),TRUE)*$B7</f>
        <v>100.29180000000001</v>
      </c>
      <c r="H7" s="58">
        <f>HLOOKUP(H$2*$B7,Gearbox!$T$2:$AD$13,COUNT(Gearbox!$T$2:$T$13),TRUE)*$B7</f>
        <v>100.29180000000001</v>
      </c>
      <c r="I7" s="58">
        <f>HLOOKUP(I$2*$B7,Gearbox!$T$2:$AD$13,COUNT(Gearbox!$T$2:$T$13),TRUE)*$B7</f>
        <v>100.29180000000001</v>
      </c>
      <c r="J7" s="58">
        <f>HLOOKUP(J$2*$B7,Gearbox!$T$2:$AD$13,COUNT(Gearbox!$T$2:$T$13),TRUE)*$B7</f>
        <v>100.29180000000001</v>
      </c>
      <c r="K7" s="58">
        <f>HLOOKUP(K$2*$B7,Gearbox!$T$2:$AD$13,COUNT(Gearbox!$T$2:$T$13),TRUE)*$B7</f>
        <v>100.29180000000001</v>
      </c>
      <c r="L7" s="58">
        <f>HLOOKUP(L$2*$B7,Gearbox!$T$2:$AD$13,COUNT(Gearbox!$T$2:$T$13),TRUE)*$B7</f>
        <v>100.29180000000001</v>
      </c>
      <c r="M7" s="58">
        <f>HLOOKUP(M$2*$B7,Gearbox!$T$2:$AD$13,COUNT(Gearbox!$T$2:$T$13),TRUE)*$B7</f>
        <v>100.29180000000001</v>
      </c>
      <c r="N7" s="58">
        <f>HLOOKUP(N$2*$B7,Gearbox!$T$2:$AD$13,COUNT(Gearbox!$T$2:$T$13),TRUE)*$B7</f>
        <v>100.29180000000001</v>
      </c>
    </row>
    <row r="8" spans="1:14">
      <c r="A8" s="7" t="s">
        <v>238</v>
      </c>
      <c r="B8" s="10">
        <v>4</v>
      </c>
      <c r="C8" s="62" t="str">
        <f t="shared" si="0"/>
        <v>M2.0 Torx Screws</v>
      </c>
      <c r="D8" s="58">
        <f>VLOOKUP($A$8,Misc!$A$3:$I$15,9,FALSE)*$B8</f>
        <v>0.76719999999999999</v>
      </c>
      <c r="E8" s="58">
        <f>VLOOKUP($A$8,Misc!$A$3:$I$15,9,FALSE)*$B8</f>
        <v>0.76719999999999999</v>
      </c>
      <c r="F8" s="58">
        <f>VLOOKUP($A$8,Misc!$A$3:$I$15,9,FALSE)*$B8</f>
        <v>0.76719999999999999</v>
      </c>
      <c r="G8" s="58">
        <f>VLOOKUP($A$8,Misc!$A$3:$I$15,9,FALSE)*$B8</f>
        <v>0.76719999999999999</v>
      </c>
      <c r="H8" s="58">
        <f>VLOOKUP($A$8,Misc!$A$3:$I$15,9,FALSE)*$B8</f>
        <v>0.76719999999999999</v>
      </c>
      <c r="I8" s="58">
        <f>VLOOKUP($A$8,Misc!$A$3:$I$15,9,FALSE)*$B8</f>
        <v>0.76719999999999999</v>
      </c>
      <c r="J8" s="58">
        <f>VLOOKUP($A$8,Misc!$A$3:$I$15,9,FALSE)*$B8</f>
        <v>0.76719999999999999</v>
      </c>
      <c r="K8" s="58">
        <f>VLOOKUP($A$8,Misc!$A$3:$I$15,9,FALSE)*$B8</f>
        <v>0.76719999999999999</v>
      </c>
      <c r="L8" s="58">
        <f>VLOOKUP($A$8,Misc!$A$3:$I$15,9,FALSE)*$B8</f>
        <v>0.76719999999999999</v>
      </c>
      <c r="M8" s="58">
        <f>VLOOKUP($A$8,Misc!$A$3:$I$15,9,FALSE)*$B8</f>
        <v>0.76719999999999999</v>
      </c>
      <c r="N8" s="58">
        <f>VLOOKUP($A$8,Misc!$A$3:$I$15,9,FALSE)*$B8</f>
        <v>0.76719999999999999</v>
      </c>
    </row>
    <row r="9" spans="1:14">
      <c r="A9" s="7" t="s">
        <v>264</v>
      </c>
      <c r="B9" s="10">
        <v>1</v>
      </c>
      <c r="C9" s="62" t="str">
        <f t="shared" si="0"/>
        <v>Slipring</v>
      </c>
      <c r="D9" s="58">
        <f>HLOOKUP(D$2*$B7,Slipring!$T$2:$AD$4,COUNT(Slipring!$T$2:$T$4),TRUE)*$B7</f>
        <v>164.3</v>
      </c>
      <c r="E9" s="58">
        <f>HLOOKUP(E$2*$B7,Slipring!$T$2:$AD$4,COUNT(Slipring!$T$2:$T$4),TRUE)*$B7</f>
        <v>159.69999999999999</v>
      </c>
      <c r="F9" s="58">
        <f>HLOOKUP(F$2*$B7,Slipring!$T$2:$AD$4,COUNT(Slipring!$T$2:$T$4),TRUE)*$B7</f>
        <v>155.4</v>
      </c>
      <c r="G9" s="58">
        <f>HLOOKUP(G$2*$B7,Slipring!$T$2:$AD$4,COUNT(Slipring!$T$2:$T$4),TRUE)*$B7</f>
        <v>149.4</v>
      </c>
      <c r="H9" s="58">
        <f>HLOOKUP(H$2*$B7,Slipring!$T$2:$AD$4,COUNT(Slipring!$T$2:$T$4),TRUE)*$B7</f>
        <v>130.9</v>
      </c>
      <c r="I9" s="58">
        <f>HLOOKUP(I$2*$B7,Slipring!$T$2:$AD$4,COUNT(Slipring!$T$2:$T$4),TRUE)*$B7</f>
        <v>121.6</v>
      </c>
      <c r="J9" s="58">
        <f>HLOOKUP(J$2*$B7,Slipring!$T$2:$AD$4,COUNT(Slipring!$T$2:$T$4),TRUE)*$B7</f>
        <v>121.6</v>
      </c>
      <c r="K9" s="58">
        <f>HLOOKUP(K$2*$B7,Slipring!$T$2:$AD$4,COUNT(Slipring!$T$2:$T$4),TRUE)*$B7</f>
        <v>121.6</v>
      </c>
      <c r="L9" s="58">
        <f>HLOOKUP(L$2*$B7,Slipring!$T$2:$AD$4,COUNT(Slipring!$T$2:$T$4),TRUE)*$B7</f>
        <v>121.6</v>
      </c>
      <c r="M9" s="58">
        <f>HLOOKUP(M$2*$B7,Slipring!$T$2:$AD$4,COUNT(Slipring!$T$2:$T$4),TRUE)*$B7</f>
        <v>121.6</v>
      </c>
      <c r="N9" s="58">
        <f>HLOOKUP(N$2*$B7,Slipring!$T$2:$AD$4,COUNT(Slipring!$T$2:$T$4),TRUE)*$B7</f>
        <v>121.6</v>
      </c>
    </row>
    <row r="10" spans="1:14">
      <c r="C10" s="48" t="s">
        <v>256</v>
      </c>
      <c r="D10" s="57">
        <f>SUM(D3:D9)*D2</f>
        <v>1131.8188000000002</v>
      </c>
      <c r="E10" s="57">
        <f t="shared" ref="E10:N10" si="1">SUM(E3:E9)*E2</f>
        <v>1491.0356000000002</v>
      </c>
      <c r="F10" s="57">
        <f t="shared" si="1"/>
        <v>2192.4404</v>
      </c>
      <c r="G10" s="57">
        <f t="shared" si="1"/>
        <v>3502.1705600000005</v>
      </c>
      <c r="H10" s="57">
        <f t="shared" si="1"/>
        <v>5916.9334030769223</v>
      </c>
      <c r="I10" s="57">
        <f t="shared" si="1"/>
        <v>10459.01856</v>
      </c>
      <c r="J10" s="57">
        <f t="shared" si="1"/>
        <v>20092.138879999999</v>
      </c>
      <c r="K10" s="57">
        <f t="shared" si="1"/>
        <v>37690.540800000002</v>
      </c>
      <c r="L10" s="57">
        <f t="shared" si="1"/>
        <v>74017.789439999993</v>
      </c>
      <c r="M10" s="57">
        <f t="shared" si="1"/>
        <v>146565.26335999998</v>
      </c>
      <c r="N10" s="57">
        <f t="shared" si="1"/>
        <v>290724.43391999998</v>
      </c>
    </row>
    <row r="11" spans="1:14">
      <c r="C11" s="63" t="s">
        <v>255</v>
      </c>
      <c r="D11" s="59">
        <f>D10/D$2</f>
        <v>1131.8188000000002</v>
      </c>
      <c r="E11" s="59">
        <f t="shared" ref="E11:N11" si="2">E10/E$2</f>
        <v>745.51780000000008</v>
      </c>
      <c r="F11" s="59">
        <f t="shared" si="2"/>
        <v>548.11009999999999</v>
      </c>
      <c r="G11" s="59">
        <f t="shared" si="2"/>
        <v>437.77132000000006</v>
      </c>
      <c r="H11" s="59">
        <f t="shared" si="2"/>
        <v>369.80833769230765</v>
      </c>
      <c r="I11" s="59">
        <f t="shared" si="2"/>
        <v>326.84433000000001</v>
      </c>
      <c r="J11" s="59">
        <f t="shared" si="2"/>
        <v>313.93966999999998</v>
      </c>
      <c r="K11" s="59">
        <f t="shared" si="2"/>
        <v>294.45735000000002</v>
      </c>
      <c r="L11" s="59">
        <f t="shared" si="2"/>
        <v>289.13198999999997</v>
      </c>
      <c r="M11" s="59">
        <f t="shared" si="2"/>
        <v>286.26027999999997</v>
      </c>
      <c r="N11" s="59">
        <f t="shared" si="2"/>
        <v>283.91057999999998</v>
      </c>
    </row>
    <row r="12" spans="1:14" ht="15">
      <c r="C12" s="63"/>
      <c r="D12"/>
      <c r="E12"/>
      <c r="F12"/>
      <c r="G12"/>
      <c r="H12"/>
      <c r="I12"/>
      <c r="J12"/>
      <c r="K12"/>
      <c r="L12"/>
      <c r="M12"/>
      <c r="N12"/>
    </row>
    <row r="13" spans="1:14" ht="15">
      <c r="A13" s="60" t="s">
        <v>266</v>
      </c>
      <c r="C13" s="63"/>
      <c r="D13"/>
      <c r="E13"/>
      <c r="F13"/>
      <c r="G13"/>
      <c r="H13"/>
      <c r="I13"/>
      <c r="J13"/>
      <c r="K13"/>
      <c r="L13"/>
      <c r="M13"/>
      <c r="N13"/>
    </row>
    <row r="14" spans="1:14">
      <c r="C14" s="48" t="s">
        <v>256</v>
      </c>
      <c r="D14" s="59">
        <f>SUM(D3:D8)*D2</f>
        <v>967.51880000000017</v>
      </c>
      <c r="E14" s="59">
        <f t="shared" ref="E14:N14" si="3">SUM(E3:E8)*E2</f>
        <v>1171.6356000000001</v>
      </c>
      <c r="F14" s="59">
        <f t="shared" si="3"/>
        <v>1570.8403999999998</v>
      </c>
      <c r="G14" s="59">
        <f t="shared" si="3"/>
        <v>2306.9705600000002</v>
      </c>
      <c r="H14" s="59">
        <f t="shared" si="3"/>
        <v>3822.5334030769227</v>
      </c>
      <c r="I14" s="59">
        <f t="shared" si="3"/>
        <v>6567.8185599999997</v>
      </c>
      <c r="J14" s="59">
        <f t="shared" si="3"/>
        <v>12309.738880000001</v>
      </c>
      <c r="K14" s="59">
        <f t="shared" si="3"/>
        <v>22125.7408</v>
      </c>
      <c r="L14" s="59">
        <f t="shared" si="3"/>
        <v>42888.189440000002</v>
      </c>
      <c r="M14" s="59">
        <f t="shared" si="3"/>
        <v>84306.06336</v>
      </c>
      <c r="N14" s="59">
        <f t="shared" si="3"/>
        <v>166206.03392000002</v>
      </c>
    </row>
    <row r="15" spans="1:14">
      <c r="C15" s="63" t="s">
        <v>255</v>
      </c>
      <c r="D15" s="59">
        <f>D14/D$2</f>
        <v>967.51880000000017</v>
      </c>
      <c r="E15" s="59">
        <f t="shared" ref="E15:N15" si="4">E14/E$2</f>
        <v>585.81780000000003</v>
      </c>
      <c r="F15" s="59">
        <f t="shared" si="4"/>
        <v>392.71009999999995</v>
      </c>
      <c r="G15" s="59">
        <f t="shared" si="4"/>
        <v>288.37132000000003</v>
      </c>
      <c r="H15" s="59">
        <f t="shared" si="4"/>
        <v>238.90833769230767</v>
      </c>
      <c r="I15" s="59">
        <f t="shared" si="4"/>
        <v>205.24432999999999</v>
      </c>
      <c r="J15" s="59">
        <f t="shared" si="4"/>
        <v>192.33967000000001</v>
      </c>
      <c r="K15" s="59">
        <f t="shared" si="4"/>
        <v>172.85735</v>
      </c>
      <c r="L15" s="59">
        <f t="shared" si="4"/>
        <v>167.53199000000001</v>
      </c>
      <c r="M15" s="59">
        <f t="shared" si="4"/>
        <v>164.66028</v>
      </c>
      <c r="N15" s="59">
        <f t="shared" si="4"/>
        <v>162.31058000000002</v>
      </c>
    </row>
    <row r="17" spans="1:14">
      <c r="A17" s="60" t="s">
        <v>245</v>
      </c>
    </row>
    <row r="18" spans="1:14" ht="15" thickBot="1">
      <c r="A18" s="46" t="s">
        <v>3</v>
      </c>
      <c r="B18" s="47" t="s">
        <v>0</v>
      </c>
      <c r="D18" s="49">
        <f>Summary!C2</f>
        <v>1</v>
      </c>
      <c r="E18" s="49">
        <f>Summary!D2</f>
        <v>2</v>
      </c>
      <c r="F18" s="49">
        <f>Summary!E2</f>
        <v>4</v>
      </c>
      <c r="G18" s="49">
        <f>Summary!F2</f>
        <v>8</v>
      </c>
      <c r="H18" s="49">
        <f>Summary!G2</f>
        <v>16</v>
      </c>
      <c r="I18" s="49">
        <f>Summary!H2</f>
        <v>32</v>
      </c>
      <c r="J18" s="49">
        <f>Summary!I2</f>
        <v>64</v>
      </c>
      <c r="K18" s="49">
        <f>Summary!J2</f>
        <v>128</v>
      </c>
      <c r="L18" s="49">
        <f>Summary!K2</f>
        <v>256</v>
      </c>
      <c r="M18" s="49">
        <f>Summary!L2</f>
        <v>512</v>
      </c>
      <c r="N18" s="49">
        <f>Summary!M2</f>
        <v>1024</v>
      </c>
    </row>
    <row r="19" spans="1:14" ht="15" thickTop="1">
      <c r="A19" s="7" t="s">
        <v>235</v>
      </c>
      <c r="B19" s="10">
        <v>1</v>
      </c>
      <c r="C19" s="62" t="str">
        <f t="shared" ref="C19:C25" si="5">A19</f>
        <v>Module Shell</v>
      </c>
      <c r="D19" s="58">
        <f>HLOOKUP(D$18*$B19,'Module Shell'!$O$2:$Y$8,COUNT('Module Shell'!$O$2:$O$8),TRUE)*$B19</f>
        <v>13.811299999999999</v>
      </c>
      <c r="E19" s="58">
        <f>HLOOKUP(E$18*$B19,'Module Shell'!$O$2:$Y$8,COUNT('Module Shell'!$O$2:$O$8),TRUE)*$B19</f>
        <v>13.811299999999999</v>
      </c>
      <c r="F19" s="58">
        <f>HLOOKUP(F$18*$B19,'Module Shell'!$O$2:$Y$8,COUNT('Module Shell'!$O$2:$O$8),TRUE)*$B19</f>
        <v>13.811299999999999</v>
      </c>
      <c r="G19" s="58">
        <f>HLOOKUP(G$18*$B19,'Module Shell'!$O$2:$Y$8,COUNT('Module Shell'!$O$2:$O$8),TRUE)*$B19</f>
        <v>13.811299999999999</v>
      </c>
      <c r="H19" s="58">
        <f>HLOOKUP(H$18*$B19,'Module Shell'!$O$2:$Y$8,COUNT('Module Shell'!$O$2:$O$8),TRUE)*$B19</f>
        <v>13.811299999999999</v>
      </c>
      <c r="I19" s="58">
        <f>HLOOKUP(I$18*$B19,'Module Shell'!$O$2:$Y$8,COUNT('Module Shell'!$O$2:$O$8),TRUE)*$B19</f>
        <v>13.811299999999999</v>
      </c>
      <c r="J19" s="58">
        <f>HLOOKUP(J$18*$B19,'Module Shell'!$O$2:$Y$8,COUNT('Module Shell'!$O$2:$O$8),TRUE)*$B19</f>
        <v>13.771299999999998</v>
      </c>
      <c r="K19" s="58">
        <f>HLOOKUP(K$18*$B19,'Module Shell'!$O$2:$Y$8,COUNT('Module Shell'!$O$2:$O$8),TRUE)*$B19</f>
        <v>13.771299999999998</v>
      </c>
      <c r="L19" s="58">
        <f>HLOOKUP(L$18*$B19,'Module Shell'!$O$2:$Y$8,COUNT('Module Shell'!$O$2:$O$8),TRUE)*$B19</f>
        <v>13.731299999999999</v>
      </c>
      <c r="M19" s="58">
        <f>HLOOKUP(M$18*$B19,'Module Shell'!$O$2:$Y$8,COUNT('Module Shell'!$O$2:$O$8),TRUE)*$B19</f>
        <v>13.731299999999999</v>
      </c>
      <c r="N19" s="58">
        <f>HLOOKUP(N$18*$B19,'Module Shell'!$O$2:$Y$8,COUNT('Module Shell'!$O$2:$O$8),TRUE)*$B19</f>
        <v>13.731299999999999</v>
      </c>
    </row>
    <row r="20" spans="1:14">
      <c r="A20" s="7" t="s">
        <v>59</v>
      </c>
      <c r="B20" s="10">
        <v>1</v>
      </c>
      <c r="C20" s="62" t="str">
        <f t="shared" si="5"/>
        <v>Controller PCB</v>
      </c>
      <c r="D20" s="58">
        <f>HLOOKUP(D$18*$B20,'Controller PCB'!$V$2:$AF$29,COUNT('Controller PCB'!$V$2:$V$29),TRUE)*$B20</f>
        <v>50.123999999999995</v>
      </c>
      <c r="E20" s="58">
        <f>HLOOKUP(E$18*$B20,'Controller PCB'!$V$2:$AF$29,COUNT('Controller PCB'!$V$2:$V$29),TRUE)*$B20</f>
        <v>49.938999999999993</v>
      </c>
      <c r="F20" s="58">
        <f>HLOOKUP(F$18*$B20,'Controller PCB'!$V$2:$AF$29,COUNT('Controller PCB'!$V$2:$V$29),TRUE)*$B20</f>
        <v>49.33</v>
      </c>
      <c r="G20" s="58">
        <f>HLOOKUP(G$18*$B20,'Controller PCB'!$V$2:$AF$29,COUNT('Controller PCB'!$V$2:$V$29),TRUE)*$B20</f>
        <v>48.375799999999998</v>
      </c>
      <c r="H20" s="58">
        <f>HLOOKUP(H$18*$B20,'Controller PCB'!$V$2:$AF$29,COUNT('Controller PCB'!$V$2:$V$29),TRUE)*$B20</f>
        <v>36.623399999999997</v>
      </c>
      <c r="I20" s="58">
        <f>HLOOKUP(I$18*$B20,'Controller PCB'!$V$2:$AF$29,COUNT('Controller PCB'!$V$2:$V$29),TRUE)*$B20</f>
        <v>33.158499999999997</v>
      </c>
      <c r="J20" s="58">
        <f>HLOOKUP(J$18*$B20,'Controller PCB'!$V$2:$AF$29,COUNT('Controller PCB'!$V$2:$V$29),TRUE)*$B20</f>
        <v>31.449840000000002</v>
      </c>
      <c r="K20" s="58">
        <f>HLOOKUP(K$18*$B20,'Controller PCB'!$V$2:$AF$29,COUNT('Controller PCB'!$V$2:$V$29),TRUE)*$B20</f>
        <v>28.269039999999997</v>
      </c>
      <c r="L20" s="58">
        <f>HLOOKUP(L$18*$B20,'Controller PCB'!$V$2:$AF$29,COUNT('Controller PCB'!$V$2:$V$29),TRUE)*$B20</f>
        <v>24.384059999999998</v>
      </c>
      <c r="M20" s="58">
        <f>HLOOKUP(M$18*$B20,'Controller PCB'!$V$2:$AF$29,COUNT('Controller PCB'!$V$2:$V$29),TRUE)*$B20</f>
        <v>21.675549999999998</v>
      </c>
      <c r="N20" s="58">
        <f>HLOOKUP(N$18*$B20,'Controller PCB'!$V$2:$AF$29,COUNT('Controller PCB'!$V$2:$V$29),TRUE)*$B20</f>
        <v>19.328250000000001</v>
      </c>
    </row>
    <row r="21" spans="1:14">
      <c r="A21" s="7" t="s">
        <v>228</v>
      </c>
      <c r="B21" s="10">
        <v>6</v>
      </c>
      <c r="C21" s="62" t="str">
        <f t="shared" si="5"/>
        <v>Connector PCB</v>
      </c>
      <c r="D21" s="58">
        <f>HLOOKUP(D$18*$B21,'Connector PCB'!$AG$2:$AQ$8,COUNT('Connector PCB'!$AG$2:$AG$8),TRUE)*$B21</f>
        <v>785.1400000000001</v>
      </c>
      <c r="E21" s="58">
        <f>HLOOKUP(E$18*$B21,'Connector PCB'!$AG$2:$AQ$8,COUNT('Connector PCB'!$AG$2:$AG$8),TRUE)*$B21</f>
        <v>403.62400000000002</v>
      </c>
      <c r="F21" s="58">
        <f>HLOOKUP(F$18*$B21,'Connector PCB'!$AG$2:$AQ$8,COUNT('Connector PCB'!$AG$2:$AG$8),TRUE)*$B21</f>
        <v>214.20399999999998</v>
      </c>
      <c r="G21" s="58">
        <f>HLOOKUP(G$18*$B21,'Connector PCB'!$AG$2:$AQ$8,COUNT('Connector PCB'!$AG$2:$AG$8),TRUE)*$B21</f>
        <v>118.58440000000002</v>
      </c>
      <c r="H21" s="58">
        <f>HLOOKUP(H$18*$B21,'Connector PCB'!$AG$2:$AQ$8,COUNT('Connector PCB'!$AG$2:$AG$8),TRUE)*$B21</f>
        <v>81.038707692307682</v>
      </c>
      <c r="I21" s="58">
        <f>HLOOKUP(I$18*$B21,'Connector PCB'!$AG$2:$AQ$8,COUNT('Connector PCB'!$AG$2:$AG$8),TRUE)*$B21</f>
        <v>51.967599999999997</v>
      </c>
      <c r="J21" s="58">
        <f>HLOOKUP(J$18*$B21,'Connector PCB'!$AG$2:$AQ$8,COUNT('Connector PCB'!$AG$2:$AG$8),TRUE)*$B21</f>
        <v>41.384399999999999</v>
      </c>
      <c r="K21" s="58">
        <f>HLOOKUP(K$18*$B21,'Connector PCB'!$AG$2:$AQ$8,COUNT('Connector PCB'!$AG$2:$AG$8),TRUE)*$B21</f>
        <v>25.429200000000002</v>
      </c>
      <c r="L21" s="58">
        <f>HLOOKUP(L$18*$B21,'Connector PCB'!$AG$2:$AQ$8,COUNT('Connector PCB'!$AG$2:$AG$8),TRUE)*$B21</f>
        <v>24.05142</v>
      </c>
      <c r="M21" s="58">
        <f>HLOOKUP(M$18*$B21,'Connector PCB'!$AG$2:$AQ$8,COUNT('Connector PCB'!$AG$2:$AG$8),TRUE)*$B21</f>
        <v>23.88822</v>
      </c>
      <c r="N21" s="58">
        <f>HLOOKUP(N$18*$B21,'Connector PCB'!$AG$2:$AQ$8,COUNT('Connector PCB'!$AG$2:$AG$8),TRUE)*$B21</f>
        <v>23.88822</v>
      </c>
    </row>
    <row r="22" spans="1:14">
      <c r="A22" s="7" t="s">
        <v>229</v>
      </c>
      <c r="B22" s="10">
        <v>6</v>
      </c>
      <c r="C22" s="62" t="str">
        <f t="shared" si="5"/>
        <v>Proximity Sensor PCB</v>
      </c>
      <c r="D22" s="58">
        <f>HLOOKUP(D$18*$B22,'Proximity Sensor PCB'!$U$2:$AF$8,COUNT('Proximity Sensor PCB'!$U$2:$U$8),TRUE)*$B22</f>
        <v>14.586750000000002</v>
      </c>
      <c r="E22" s="58">
        <f>HLOOKUP(E$18*$B22,'Proximity Sensor PCB'!$U$2:$AF$8,COUNT('Proximity Sensor PCB'!$U$2:$U$8),TRUE)*$B22</f>
        <v>14.586750000000002</v>
      </c>
      <c r="F22" s="58">
        <f>HLOOKUP(F$18*$B22,'Proximity Sensor PCB'!$U$2:$AF$8,COUNT('Proximity Sensor PCB'!$U$2:$U$8),TRUE)*$B22</f>
        <v>9.9686999999999983</v>
      </c>
      <c r="G22" s="58">
        <f>HLOOKUP(G$18*$B22,'Proximity Sensor PCB'!$U$2:$AF$8,COUNT('Proximity Sensor PCB'!$U$2:$U$8),TRUE)*$B22</f>
        <v>9.8112300000000001</v>
      </c>
      <c r="H22" s="58">
        <f>HLOOKUP(H$18*$B22,'Proximity Sensor PCB'!$U$2:$AF$8,COUNT('Proximity Sensor PCB'!$U$2:$U$8),TRUE)*$B22</f>
        <v>9.5638950000000023</v>
      </c>
      <c r="I22" s="58">
        <f>HLOOKUP(I$18*$B22,'Proximity Sensor PCB'!$U$2:$AF$8,COUNT('Proximity Sensor PCB'!$U$2:$U$8),TRUE)*$B22</f>
        <v>7.8718950000000003</v>
      </c>
      <c r="J22" s="58">
        <f>HLOOKUP(J$18*$B22,'Proximity Sensor PCB'!$U$2:$AF$8,COUNT('Proximity Sensor PCB'!$U$2:$U$8),TRUE)*$B22</f>
        <v>7.0126950000000008</v>
      </c>
      <c r="K22" s="58">
        <f>HLOOKUP(K$18*$B22,'Proximity Sensor PCB'!$U$2:$AF$8,COUNT('Proximity Sensor PCB'!$U$2:$U$8),TRUE)*$B22</f>
        <v>6.4932149999999993</v>
      </c>
      <c r="L22" s="58">
        <f>HLOOKUP(L$18*$B22,'Proximity Sensor PCB'!$U$2:$AF$8,COUNT('Proximity Sensor PCB'!$U$2:$U$8),TRUE)*$B22</f>
        <v>6.4593150000000001</v>
      </c>
      <c r="M22" s="58">
        <f>HLOOKUP(M$18*$B22,'Proximity Sensor PCB'!$U$2:$AF$8,COUNT('Proximity Sensor PCB'!$U$2:$U$8),TRUE)*$B22</f>
        <v>6.4593150000000001</v>
      </c>
      <c r="N22" s="58">
        <f>HLOOKUP(N$18*$B22,'Proximity Sensor PCB'!$U$2:$AF$8,COUNT('Proximity Sensor PCB'!$U$2:$U$8),TRUE)*$B22</f>
        <v>6.4383150000000011</v>
      </c>
    </row>
    <row r="23" spans="1:14">
      <c r="A23" s="7" t="s">
        <v>238</v>
      </c>
      <c r="B23" s="10">
        <v>4</v>
      </c>
      <c r="C23" s="62" t="str">
        <f t="shared" si="5"/>
        <v>M2.0 Torx Screws</v>
      </c>
      <c r="D23" s="58">
        <f>VLOOKUP($A$23,Misc!$A$3:$I$15,9,FALSE)*$B23</f>
        <v>0.76719999999999999</v>
      </c>
      <c r="E23" s="58">
        <f>VLOOKUP($A$23,Misc!$A$3:$I$15,9,FALSE)*$B23</f>
        <v>0.76719999999999999</v>
      </c>
      <c r="F23" s="58">
        <f>VLOOKUP($A$23,Misc!$A$3:$I$15,9,FALSE)*$B23</f>
        <v>0.76719999999999999</v>
      </c>
      <c r="G23" s="58">
        <f>VLOOKUP($A$23,Misc!$A$3:$I$15,9,FALSE)*$B23</f>
        <v>0.76719999999999999</v>
      </c>
      <c r="H23" s="58">
        <f>VLOOKUP($A$23,Misc!$A$3:$I$15,9,FALSE)*$B23</f>
        <v>0.76719999999999999</v>
      </c>
      <c r="I23" s="58">
        <f>VLOOKUP($A$23,Misc!$A$3:$I$15,9,FALSE)*$B23</f>
        <v>0.76719999999999999</v>
      </c>
      <c r="J23" s="58">
        <f>VLOOKUP($A$23,Misc!$A$3:$I$15,9,FALSE)*$B23</f>
        <v>0.76719999999999999</v>
      </c>
      <c r="K23" s="58">
        <f>VLOOKUP($A$23,Misc!$A$3:$I$15,9,FALSE)*$B23</f>
        <v>0.76719999999999999</v>
      </c>
      <c r="L23" s="58">
        <f>VLOOKUP($A$23,Misc!$A$3:$I$15,9,FALSE)*$B23</f>
        <v>0.76719999999999999</v>
      </c>
      <c r="M23" s="58">
        <f>VLOOKUP($A$23,Misc!$A$3:$I$15,9,FALSE)*$B23</f>
        <v>0.76719999999999999</v>
      </c>
      <c r="N23" s="58">
        <f>VLOOKUP($A$23,Misc!$A$3:$I$15,9,FALSE)*$B23</f>
        <v>0.76719999999999999</v>
      </c>
    </row>
    <row r="24" spans="1:14">
      <c r="A24" s="7" t="s">
        <v>239</v>
      </c>
      <c r="B24" s="10">
        <v>1</v>
      </c>
      <c r="C24" s="62" t="str">
        <f t="shared" si="5"/>
        <v>Battery Charger PCB</v>
      </c>
      <c r="D24" s="58">
        <f>HLOOKUP(D$18*$B24,'Battery Charger PCB'!$V$2:$AF$21,COUNT('Battery Charger PCB'!$V$2:$V$21),TRUE)*$B24</f>
        <v>27.419999999999998</v>
      </c>
      <c r="E24" s="58">
        <f>HLOOKUP(E$18*$B24,'Battery Charger PCB'!$V$2:$AF$21,COUNT('Battery Charger PCB'!$V$2:$V$21),TRUE)*$B24</f>
        <v>27.419999999999998</v>
      </c>
      <c r="F24" s="58">
        <f>HLOOKUP(F$18*$B24,'Battery Charger PCB'!$V$2:$AF$21,COUNT('Battery Charger PCB'!$V$2:$V$21),TRUE)*$B24</f>
        <v>27.068999999999996</v>
      </c>
      <c r="G24" s="58">
        <f>HLOOKUP(G$18*$B24,'Battery Charger PCB'!$V$2:$AF$21,COUNT('Battery Charger PCB'!$V$2:$V$21),TRUE)*$B24</f>
        <v>26.881</v>
      </c>
      <c r="H24" s="58">
        <f>HLOOKUP(H$18*$B24,'Battery Charger PCB'!$V$2:$AF$21,COUNT('Battery Charger PCB'!$V$2:$V$21),TRUE)*$B24</f>
        <v>16.634999999999998</v>
      </c>
      <c r="I24" s="58">
        <f>HLOOKUP(I$18*$B24,'Battery Charger PCB'!$V$2:$AF$21,COUNT('Battery Charger PCB'!$V$2:$V$21),TRUE)*$B24</f>
        <v>14.709</v>
      </c>
      <c r="J24" s="58">
        <f>HLOOKUP(J$18*$B24,'Battery Charger PCB'!$V$2:$AF$21,COUNT('Battery Charger PCB'!$V$2:$V$21),TRUE)*$B24</f>
        <v>13.684899999999999</v>
      </c>
      <c r="K24" s="58">
        <f>HLOOKUP(K$18*$B24,'Battery Charger PCB'!$V$2:$AF$21,COUNT('Battery Charger PCB'!$V$2:$V$21),TRUE)*$B24</f>
        <v>12.519499999999999</v>
      </c>
      <c r="L24" s="58">
        <f>HLOOKUP(L$18*$B24,'Battery Charger PCB'!$V$2:$AF$21,COUNT('Battery Charger PCB'!$V$2:$V$21),TRUE)*$B24</f>
        <v>9.7237000000000009</v>
      </c>
      <c r="M24" s="58">
        <f>HLOOKUP(M$18*$B24,'Battery Charger PCB'!$V$2:$AF$21,COUNT('Battery Charger PCB'!$V$2:$V$21),TRUE)*$B24</f>
        <v>7.9823199999999996</v>
      </c>
      <c r="N24" s="58">
        <f>HLOOKUP(N$18*$B24,'Battery Charger PCB'!$V$2:$AF$21,COUNT('Battery Charger PCB'!$V$2:$V$21),TRUE)*$B24</f>
        <v>6.2843800000000005</v>
      </c>
    </row>
    <row r="25" spans="1:14">
      <c r="A25" s="7" t="s">
        <v>261</v>
      </c>
      <c r="B25" s="10">
        <v>1</v>
      </c>
      <c r="C25" s="62" t="str">
        <f t="shared" si="5"/>
        <v>Battery Module Internals</v>
      </c>
      <c r="D25" s="58">
        <f>HLOOKUP(D$18*$B25,'Battery Module Internals'!$S$2:$AC$6,COUNT('Battery Module Internals'!$S$2:$S$6),TRUE)*$B25</f>
        <v>23.646000000000001</v>
      </c>
      <c r="E25" s="58">
        <f>HLOOKUP(E$18*$B25,'Battery Module Internals'!$S$2:$AC$6,COUNT('Battery Module Internals'!$S$2:$S$6),TRUE)*$B25</f>
        <v>23.286000000000001</v>
      </c>
      <c r="F25" s="58">
        <f>HLOOKUP(F$18*$B25,'Battery Module Internals'!$S$2:$AC$6,COUNT('Battery Module Internals'!$S$2:$S$6),TRUE)*$B25</f>
        <v>23.195999999999998</v>
      </c>
      <c r="G25" s="58">
        <f>HLOOKUP(G$18*$B25,'Battery Module Internals'!$S$2:$AC$6,COUNT('Battery Module Internals'!$S$2:$S$6),TRUE)*$B25</f>
        <v>23.195999999999998</v>
      </c>
      <c r="H25" s="58">
        <f>HLOOKUP(H$18*$B25,'Battery Module Internals'!$S$2:$AC$6,COUNT('Battery Module Internals'!$S$2:$S$6),TRUE)*$B25</f>
        <v>23.036000000000001</v>
      </c>
      <c r="I25" s="58">
        <f>HLOOKUP(I$18*$B25,'Battery Module Internals'!$S$2:$AC$6,COUNT('Battery Module Internals'!$S$2:$S$6),TRUE)*$B25</f>
        <v>22.945999999999998</v>
      </c>
      <c r="J25" s="58">
        <f>HLOOKUP(J$18*$B25,'Battery Module Internals'!$S$2:$AC$6,COUNT('Battery Module Internals'!$S$2:$S$6),TRUE)*$B25</f>
        <v>22.445999999999998</v>
      </c>
      <c r="K25" s="58">
        <f>HLOOKUP(K$18*$B25,'Battery Module Internals'!$S$2:$AC$6,COUNT('Battery Module Internals'!$S$2:$S$6),TRUE)*$B25</f>
        <v>22.125999999999998</v>
      </c>
      <c r="L25" s="58">
        <f>HLOOKUP(L$18*$B25,'Battery Module Internals'!$S$2:$AC$6,COUNT('Battery Module Internals'!$S$2:$S$6),TRUE)*$B25</f>
        <v>22.085999999999999</v>
      </c>
      <c r="M25" s="58">
        <f>HLOOKUP(M$18*$B25,'Battery Module Internals'!$S$2:$AC$6,COUNT('Battery Module Internals'!$S$2:$S$6),TRUE)*$B25</f>
        <v>21.566000000000003</v>
      </c>
      <c r="N25" s="58">
        <f>HLOOKUP(N$18*$B25,'Battery Module Internals'!$S$2:$AC$6,COUNT('Battery Module Internals'!$S$2:$S$6),TRUE)*$B25</f>
        <v>21.405999999999999</v>
      </c>
    </row>
    <row r="26" spans="1:14">
      <c r="C26" s="48" t="s">
        <v>256</v>
      </c>
      <c r="D26" s="57">
        <f>SUM(D19:D24)*D18</f>
        <v>891.8492500000001</v>
      </c>
      <c r="E26" s="57">
        <f t="shared" ref="E26:N26" si="6">SUM(E19:E24)*E18</f>
        <v>1020.2965</v>
      </c>
      <c r="F26" s="57">
        <f t="shared" si="6"/>
        <v>1260.6007999999999</v>
      </c>
      <c r="G26" s="57">
        <f t="shared" si="6"/>
        <v>1745.84744</v>
      </c>
      <c r="H26" s="57">
        <f t="shared" si="6"/>
        <v>2535.0320430769225</v>
      </c>
      <c r="I26" s="57">
        <f t="shared" si="6"/>
        <v>3913.1358399999999</v>
      </c>
      <c r="J26" s="57">
        <f t="shared" si="6"/>
        <v>6916.50144</v>
      </c>
      <c r="K26" s="57">
        <f t="shared" si="6"/>
        <v>11167.930239999998</v>
      </c>
      <c r="L26" s="57">
        <f t="shared" si="6"/>
        <v>20253.950720000001</v>
      </c>
      <c r="M26" s="57">
        <f t="shared" si="6"/>
        <v>38145.999360000002</v>
      </c>
      <c r="N26" s="57">
        <f t="shared" si="6"/>
        <v>72128.16896000001</v>
      </c>
    </row>
    <row r="27" spans="1:14">
      <c r="C27" s="63" t="s">
        <v>255</v>
      </c>
      <c r="D27" s="59">
        <f>D26/D$18</f>
        <v>891.8492500000001</v>
      </c>
      <c r="E27" s="59">
        <f t="shared" ref="E27:N27" si="7">E26/E$18</f>
        <v>510.14825000000002</v>
      </c>
      <c r="F27" s="59">
        <f t="shared" si="7"/>
        <v>315.15019999999998</v>
      </c>
      <c r="G27" s="59">
        <f t="shared" si="7"/>
        <v>218.23093</v>
      </c>
      <c r="H27" s="59">
        <f t="shared" si="7"/>
        <v>158.43950269230766</v>
      </c>
      <c r="I27" s="59">
        <f t="shared" si="7"/>
        <v>122.285495</v>
      </c>
      <c r="J27" s="59">
        <f t="shared" si="7"/>
        <v>108.070335</v>
      </c>
      <c r="K27" s="59">
        <f t="shared" si="7"/>
        <v>87.249454999999983</v>
      </c>
      <c r="L27" s="59">
        <f t="shared" si="7"/>
        <v>79.116995000000003</v>
      </c>
      <c r="M27" s="59">
        <f t="shared" si="7"/>
        <v>74.503905000000003</v>
      </c>
      <c r="N27" s="59">
        <f t="shared" si="7"/>
        <v>70.43766500000001</v>
      </c>
    </row>
    <row r="29" spans="1:14">
      <c r="A29" s="60" t="s">
        <v>246</v>
      </c>
    </row>
    <row r="30" spans="1:14" ht="15" thickBot="1">
      <c r="A30" s="46" t="s">
        <v>3</v>
      </c>
      <c r="B30" s="47" t="s">
        <v>0</v>
      </c>
      <c r="D30" s="49">
        <f>Summary!C2</f>
        <v>1</v>
      </c>
      <c r="E30" s="49">
        <f>Summary!D2</f>
        <v>2</v>
      </c>
      <c r="F30" s="49">
        <f>Summary!E2</f>
        <v>4</v>
      </c>
      <c r="G30" s="49">
        <f>Summary!F2</f>
        <v>8</v>
      </c>
      <c r="H30" s="49">
        <f>Summary!G2</f>
        <v>16</v>
      </c>
      <c r="I30" s="49">
        <f>Summary!H2</f>
        <v>32</v>
      </c>
      <c r="J30" s="49">
        <f>Summary!I2</f>
        <v>64</v>
      </c>
      <c r="K30" s="49">
        <f>Summary!J2</f>
        <v>128</v>
      </c>
      <c r="L30" s="49">
        <f>Summary!K2</f>
        <v>256</v>
      </c>
      <c r="M30" s="49">
        <f>Summary!L2</f>
        <v>512</v>
      </c>
      <c r="N30" s="49">
        <f>Summary!M2</f>
        <v>1024</v>
      </c>
    </row>
    <row r="31" spans="1:14" ht="15" thickTop="1">
      <c r="A31" s="7" t="s">
        <v>235</v>
      </c>
      <c r="B31" s="10">
        <v>1</v>
      </c>
      <c r="C31" s="62" t="str">
        <f t="shared" ref="C31:C35" si="8">A31</f>
        <v>Module Shell</v>
      </c>
      <c r="D31" s="58">
        <f>HLOOKUP(D$30*$B31,'Module Shell'!$O$2:$Y$8,COUNT('Module Shell'!$O$2:$O$8),TRUE)*$B31</f>
        <v>13.811299999999999</v>
      </c>
      <c r="E31" s="58">
        <f>HLOOKUP(E$30*$B31,'Module Shell'!$O$2:$Y$8,COUNT('Module Shell'!$O$2:$O$8),TRUE)*$B31</f>
        <v>13.811299999999999</v>
      </c>
      <c r="F31" s="58">
        <f>HLOOKUP(F$30*$B31,'Module Shell'!$O$2:$Y$8,COUNT('Module Shell'!$O$2:$O$8),TRUE)*$B31</f>
        <v>13.811299999999999</v>
      </c>
      <c r="G31" s="58">
        <f>HLOOKUP(G$30*$B31,'Module Shell'!$O$2:$Y$8,COUNT('Module Shell'!$O$2:$O$8),TRUE)*$B31</f>
        <v>13.811299999999999</v>
      </c>
      <c r="H31" s="58">
        <f>HLOOKUP(H$30*$B31,'Module Shell'!$O$2:$Y$8,COUNT('Module Shell'!$O$2:$O$8),TRUE)*$B31</f>
        <v>13.811299999999999</v>
      </c>
      <c r="I31" s="58">
        <f>HLOOKUP(I$30*$B31,'Module Shell'!$O$2:$Y$8,COUNT('Module Shell'!$O$2:$O$8),TRUE)*$B31</f>
        <v>13.811299999999999</v>
      </c>
      <c r="J31" s="58">
        <f>HLOOKUP(J$30*$B31,'Module Shell'!$O$2:$Y$8,COUNT('Module Shell'!$O$2:$O$8),TRUE)*$B31</f>
        <v>13.771299999999998</v>
      </c>
      <c r="K31" s="58">
        <f>HLOOKUP(K$30*$B31,'Module Shell'!$O$2:$Y$8,COUNT('Module Shell'!$O$2:$O$8),TRUE)*$B31</f>
        <v>13.771299999999998</v>
      </c>
      <c r="L31" s="58">
        <f>HLOOKUP(L$30*$B31,'Module Shell'!$O$2:$Y$8,COUNT('Module Shell'!$O$2:$O$8),TRUE)*$B31</f>
        <v>13.731299999999999</v>
      </c>
      <c r="M31" s="58">
        <f>HLOOKUP(M$30*$B31,'Module Shell'!$O$2:$Y$8,COUNT('Module Shell'!$O$2:$O$8),TRUE)*$B31</f>
        <v>13.731299999999999</v>
      </c>
      <c r="N31" s="58">
        <f>HLOOKUP(N$30*$B31,'Module Shell'!$O$2:$Y$8,COUNT('Module Shell'!$O$2:$O$8),TRUE)*$B31</f>
        <v>13.731299999999999</v>
      </c>
    </row>
    <row r="32" spans="1:14">
      <c r="A32" s="7" t="s">
        <v>59</v>
      </c>
      <c r="B32" s="10">
        <v>1</v>
      </c>
      <c r="C32" s="62" t="str">
        <f t="shared" si="8"/>
        <v>Controller PCB</v>
      </c>
      <c r="D32" s="58">
        <f>HLOOKUP(D$30*$B32,'Controller PCB'!$V$2:$AF$29,COUNT('Controller PCB'!$V$2:$V$29),TRUE)*$B32</f>
        <v>50.123999999999995</v>
      </c>
      <c r="E32" s="58">
        <f>HLOOKUP(E$30*$B32,'Controller PCB'!$V$2:$AF$29,COUNT('Controller PCB'!$V$2:$V$29),TRUE)*$B32</f>
        <v>49.938999999999993</v>
      </c>
      <c r="F32" s="58">
        <f>HLOOKUP(F$30*$B32,'Controller PCB'!$V$2:$AF$29,COUNT('Controller PCB'!$V$2:$V$29),TRUE)*$B32</f>
        <v>49.33</v>
      </c>
      <c r="G32" s="58">
        <f>HLOOKUP(G$30*$B32,'Controller PCB'!$V$2:$AF$29,COUNT('Controller PCB'!$V$2:$V$29),TRUE)*$B32</f>
        <v>48.375799999999998</v>
      </c>
      <c r="H32" s="58">
        <f>HLOOKUP(H$30*$B32,'Controller PCB'!$V$2:$AF$29,COUNT('Controller PCB'!$V$2:$V$29),TRUE)*$B32</f>
        <v>36.623399999999997</v>
      </c>
      <c r="I32" s="58">
        <f>HLOOKUP(I$30*$B32,'Controller PCB'!$V$2:$AF$29,COUNT('Controller PCB'!$V$2:$V$29),TRUE)*$B32</f>
        <v>33.158499999999997</v>
      </c>
      <c r="J32" s="58">
        <f>HLOOKUP(J$30*$B32,'Controller PCB'!$V$2:$AF$29,COUNT('Controller PCB'!$V$2:$V$29),TRUE)*$B32</f>
        <v>31.449840000000002</v>
      </c>
      <c r="K32" s="58">
        <f>HLOOKUP(K$30*$B32,'Controller PCB'!$V$2:$AF$29,COUNT('Controller PCB'!$V$2:$V$29),TRUE)*$B32</f>
        <v>28.269039999999997</v>
      </c>
      <c r="L32" s="58">
        <f>HLOOKUP(L$30*$B32,'Controller PCB'!$V$2:$AF$29,COUNT('Controller PCB'!$V$2:$V$29),TRUE)*$B32</f>
        <v>24.384059999999998</v>
      </c>
      <c r="M32" s="58">
        <f>HLOOKUP(M$30*$B32,'Controller PCB'!$V$2:$AF$29,COUNT('Controller PCB'!$V$2:$V$29),TRUE)*$B32</f>
        <v>21.675549999999998</v>
      </c>
      <c r="N32" s="58">
        <f>HLOOKUP(N$30*$B32,'Controller PCB'!$V$2:$AF$29,COUNT('Controller PCB'!$V$2:$V$29),TRUE)*$B32</f>
        <v>19.328250000000001</v>
      </c>
    </row>
    <row r="33" spans="1:14">
      <c r="A33" s="7" t="s">
        <v>228</v>
      </c>
      <c r="B33" s="10">
        <v>6</v>
      </c>
      <c r="C33" s="62" t="str">
        <f t="shared" si="8"/>
        <v>Connector PCB</v>
      </c>
      <c r="D33" s="58">
        <f>HLOOKUP(D$30*$B33,'Connector PCB'!$AG$2:$AQ$8,COUNT('Connector PCB'!$AG$2:$AG$8),TRUE)*$B33</f>
        <v>785.1400000000001</v>
      </c>
      <c r="E33" s="58">
        <f>HLOOKUP(E$30*$B33,'Connector PCB'!$AG$2:$AQ$8,COUNT('Connector PCB'!$AG$2:$AG$8),TRUE)*$B33</f>
        <v>403.62400000000002</v>
      </c>
      <c r="F33" s="58">
        <f>HLOOKUP(F$30*$B33,'Connector PCB'!$AG$2:$AQ$8,COUNT('Connector PCB'!$AG$2:$AG$8),TRUE)*$B33</f>
        <v>214.20399999999998</v>
      </c>
      <c r="G33" s="58">
        <f>HLOOKUP(G$30*$B33,'Connector PCB'!$AG$2:$AQ$8,COUNT('Connector PCB'!$AG$2:$AG$8),TRUE)*$B33</f>
        <v>118.58440000000002</v>
      </c>
      <c r="H33" s="58">
        <f>HLOOKUP(H$30*$B33,'Connector PCB'!$AG$2:$AQ$8,COUNT('Connector PCB'!$AG$2:$AG$8),TRUE)*$B33</f>
        <v>81.038707692307682</v>
      </c>
      <c r="I33" s="58">
        <f>HLOOKUP(I$30*$B33,'Connector PCB'!$AG$2:$AQ$8,COUNT('Connector PCB'!$AG$2:$AG$8),TRUE)*$B33</f>
        <v>51.967599999999997</v>
      </c>
      <c r="J33" s="58">
        <f>HLOOKUP(J$30*$B33,'Connector PCB'!$AG$2:$AQ$8,COUNT('Connector PCB'!$AG$2:$AG$8),TRUE)*$B33</f>
        <v>41.384399999999999</v>
      </c>
      <c r="K33" s="58">
        <f>HLOOKUP(K$30*$B33,'Connector PCB'!$AG$2:$AQ$8,COUNT('Connector PCB'!$AG$2:$AG$8),TRUE)*$B33</f>
        <v>25.429200000000002</v>
      </c>
      <c r="L33" s="58">
        <f>HLOOKUP(L$30*$B33,'Connector PCB'!$AG$2:$AQ$8,COUNT('Connector PCB'!$AG$2:$AG$8),TRUE)*$B33</f>
        <v>24.05142</v>
      </c>
      <c r="M33" s="58">
        <f>HLOOKUP(M$30*$B33,'Connector PCB'!$AG$2:$AQ$8,COUNT('Connector PCB'!$AG$2:$AG$8),TRUE)*$B33</f>
        <v>23.88822</v>
      </c>
      <c r="N33" s="58">
        <f>HLOOKUP(N$30*$B33,'Connector PCB'!$AG$2:$AQ$8,COUNT('Connector PCB'!$AG$2:$AG$8),TRUE)*$B33</f>
        <v>23.88822</v>
      </c>
    </row>
    <row r="34" spans="1:14">
      <c r="A34" s="7" t="s">
        <v>229</v>
      </c>
      <c r="B34" s="10">
        <v>6</v>
      </c>
      <c r="C34" s="62" t="str">
        <f t="shared" si="8"/>
        <v>Proximity Sensor PCB</v>
      </c>
      <c r="D34" s="58">
        <f>HLOOKUP(D$30*$B34,'Proximity Sensor PCB'!$U$2:$AF$8,COUNT('Proximity Sensor PCB'!$U$2:$U$8),TRUE)*$B34</f>
        <v>14.586750000000002</v>
      </c>
      <c r="E34" s="58">
        <f>HLOOKUP(E$30*$B34,'Proximity Sensor PCB'!$U$2:$AF$8,COUNT('Proximity Sensor PCB'!$U$2:$U$8),TRUE)*$B34</f>
        <v>14.586750000000002</v>
      </c>
      <c r="F34" s="58">
        <f>HLOOKUP(F$30*$B34,'Proximity Sensor PCB'!$U$2:$AF$8,COUNT('Proximity Sensor PCB'!$U$2:$U$8),TRUE)*$B34</f>
        <v>9.9686999999999983</v>
      </c>
      <c r="G34" s="58">
        <f>HLOOKUP(G$30*$B34,'Proximity Sensor PCB'!$U$2:$AF$8,COUNT('Proximity Sensor PCB'!$U$2:$U$8),TRUE)*$B34</f>
        <v>9.8112300000000001</v>
      </c>
      <c r="H34" s="58">
        <f>HLOOKUP(H$30*$B34,'Proximity Sensor PCB'!$U$2:$AF$8,COUNT('Proximity Sensor PCB'!$U$2:$U$8),TRUE)*$B34</f>
        <v>9.5638950000000023</v>
      </c>
      <c r="I34" s="58">
        <f>HLOOKUP(I$30*$B34,'Proximity Sensor PCB'!$U$2:$AF$8,COUNT('Proximity Sensor PCB'!$U$2:$U$8),TRUE)*$B34</f>
        <v>7.8718950000000003</v>
      </c>
      <c r="J34" s="58">
        <f>HLOOKUP(J$30*$B34,'Proximity Sensor PCB'!$U$2:$AF$8,COUNT('Proximity Sensor PCB'!$U$2:$U$8),TRUE)*$B34</f>
        <v>7.0126950000000008</v>
      </c>
      <c r="K34" s="58">
        <f>HLOOKUP(K$30*$B34,'Proximity Sensor PCB'!$U$2:$AF$8,COUNT('Proximity Sensor PCB'!$U$2:$U$8),TRUE)*$B34</f>
        <v>6.4932149999999993</v>
      </c>
      <c r="L34" s="58">
        <f>HLOOKUP(L$30*$B34,'Proximity Sensor PCB'!$U$2:$AF$8,COUNT('Proximity Sensor PCB'!$U$2:$U$8),TRUE)*$B34</f>
        <v>6.4593150000000001</v>
      </c>
      <c r="M34" s="58">
        <f>HLOOKUP(M$30*$B34,'Proximity Sensor PCB'!$U$2:$AF$8,COUNT('Proximity Sensor PCB'!$U$2:$U$8),TRUE)*$B34</f>
        <v>6.4593150000000001</v>
      </c>
      <c r="N34" s="58">
        <f>HLOOKUP(N$30*$B34,'Proximity Sensor PCB'!$U$2:$AF$8,COUNT('Proximity Sensor PCB'!$U$2:$U$8),TRUE)*$B34</f>
        <v>6.4383150000000011</v>
      </c>
    </row>
    <row r="35" spans="1:14">
      <c r="A35" s="7" t="s">
        <v>238</v>
      </c>
      <c r="B35" s="10">
        <v>4</v>
      </c>
      <c r="C35" s="62" t="str">
        <f t="shared" si="8"/>
        <v>M2.0 Torx Screws</v>
      </c>
      <c r="D35" s="58">
        <f>VLOOKUP($A$35,Misc!$A$3:$I$15,9,FALSE)*$B35</f>
        <v>0.76719999999999999</v>
      </c>
      <c r="E35" s="58">
        <f>VLOOKUP($A$35,Misc!$A$3:$I$15,9,FALSE)*$B35</f>
        <v>0.76719999999999999</v>
      </c>
      <c r="F35" s="58">
        <f>VLOOKUP($A$35,Misc!$A$3:$I$15,9,FALSE)*$B35</f>
        <v>0.76719999999999999</v>
      </c>
      <c r="G35" s="58">
        <f>VLOOKUP($A$35,Misc!$A$3:$I$15,9,FALSE)*$B35</f>
        <v>0.76719999999999999</v>
      </c>
      <c r="H35" s="58">
        <f>VLOOKUP($A$35,Misc!$A$3:$I$15,9,FALSE)*$B35</f>
        <v>0.76719999999999999</v>
      </c>
      <c r="I35" s="58">
        <f>VLOOKUP($A$35,Misc!$A$3:$I$15,9,FALSE)*$B35</f>
        <v>0.76719999999999999</v>
      </c>
      <c r="J35" s="58">
        <f>VLOOKUP($A$35,Misc!$A$3:$I$15,9,FALSE)*$B35</f>
        <v>0.76719999999999999</v>
      </c>
      <c r="K35" s="58">
        <f>VLOOKUP($A$35,Misc!$A$3:$I$15,9,FALSE)*$B35</f>
        <v>0.76719999999999999</v>
      </c>
      <c r="L35" s="58">
        <f>VLOOKUP($A$35,Misc!$A$3:$I$15,9,FALSE)*$B35</f>
        <v>0.76719999999999999</v>
      </c>
      <c r="M35" s="58">
        <f>VLOOKUP($A$35,Misc!$A$3:$I$15,9,FALSE)*$B35</f>
        <v>0.76719999999999999</v>
      </c>
      <c r="N35" s="58">
        <f>VLOOKUP($A$35,Misc!$A$3:$I$15,9,FALSE)*$B35</f>
        <v>0.76719999999999999</v>
      </c>
    </row>
    <row r="36" spans="1:14">
      <c r="C36" s="48" t="s">
        <v>256</v>
      </c>
      <c r="D36" s="57">
        <f>SUM(D31:D35)*D30</f>
        <v>864.42925000000014</v>
      </c>
      <c r="E36" s="57">
        <f t="shared" ref="E36:N36" si="9">SUM(E31:E35)*E30</f>
        <v>965.45650000000001</v>
      </c>
      <c r="F36" s="57">
        <f t="shared" si="9"/>
        <v>1152.3247999999999</v>
      </c>
      <c r="G36" s="57">
        <f t="shared" si="9"/>
        <v>1530.79944</v>
      </c>
      <c r="H36" s="57">
        <f t="shared" si="9"/>
        <v>2268.8720430769226</v>
      </c>
      <c r="I36" s="57">
        <f t="shared" si="9"/>
        <v>3442.4478399999998</v>
      </c>
      <c r="J36" s="57">
        <f t="shared" si="9"/>
        <v>6040.6678400000001</v>
      </c>
      <c r="K36" s="57">
        <f t="shared" si="9"/>
        <v>9565.4342399999987</v>
      </c>
      <c r="L36" s="57">
        <f t="shared" si="9"/>
        <v>17764.683519999999</v>
      </c>
      <c r="M36" s="57">
        <f t="shared" si="9"/>
        <v>34059.051520000001</v>
      </c>
      <c r="N36" s="57">
        <f t="shared" si="9"/>
        <v>65692.963840000011</v>
      </c>
    </row>
    <row r="37" spans="1:14">
      <c r="C37" s="63" t="s">
        <v>255</v>
      </c>
      <c r="D37" s="59">
        <f t="shared" ref="D37:N37" si="10">D36/D$30</f>
        <v>864.42925000000014</v>
      </c>
      <c r="E37" s="59">
        <f t="shared" si="10"/>
        <v>482.72825</v>
      </c>
      <c r="F37" s="59">
        <f t="shared" si="10"/>
        <v>288.08119999999997</v>
      </c>
      <c r="G37" s="59">
        <f t="shared" si="10"/>
        <v>191.34993</v>
      </c>
      <c r="H37" s="59">
        <f t="shared" si="10"/>
        <v>141.80450269230766</v>
      </c>
      <c r="I37" s="59">
        <f t="shared" si="10"/>
        <v>107.57649499999999</v>
      </c>
      <c r="J37" s="59">
        <f t="shared" si="10"/>
        <v>94.385435000000001</v>
      </c>
      <c r="K37" s="59">
        <f t="shared" si="10"/>
        <v>74.72995499999999</v>
      </c>
      <c r="L37" s="59">
        <f t="shared" si="10"/>
        <v>69.393294999999995</v>
      </c>
      <c r="M37" s="59">
        <f t="shared" si="10"/>
        <v>66.521585000000002</v>
      </c>
      <c r="N37" s="59">
        <f t="shared" si="10"/>
        <v>64.153285000000011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AE32" sqref="AE32"/>
    </sheetView>
  </sheetViews>
  <sheetFormatPr defaultColWidth="8.85546875" defaultRowHeight="15"/>
  <cols>
    <col min="1" max="1" width="3.140625" bestFit="1" customWidth="1"/>
    <col min="2" max="2" width="26.28515625" customWidth="1"/>
    <col min="3" max="5" width="11.28515625" customWidth="1"/>
    <col min="6" max="6" width="26" customWidth="1"/>
    <col min="7" max="7" width="18.28515625" customWidth="1"/>
    <col min="8" max="8" width="21.42578125" customWidth="1"/>
    <col min="9" max="9" width="22.7109375" bestFit="1" customWidth="1"/>
    <col min="10" max="20" width="11.42578125" customWidth="1"/>
    <col min="21" max="21" width="26.42578125" bestFit="1" customWidth="1"/>
    <col min="31" max="31" width="10.85546875" customWidth="1"/>
    <col min="32" max="32" width="9.85546875" bestFit="1" customWidth="1"/>
  </cols>
  <sheetData>
    <row r="1" spans="1:32">
      <c r="J1" t="s">
        <v>203</v>
      </c>
      <c r="V1" s="37" t="s">
        <v>251</v>
      </c>
      <c r="W1" s="37"/>
      <c r="X1" s="37"/>
      <c r="Y1" s="37"/>
      <c r="Z1" s="37"/>
      <c r="AA1" s="37"/>
      <c r="AB1" s="37"/>
    </row>
    <row r="2" spans="1:32" s="26" customFormat="1" ht="15.75" thickBot="1">
      <c r="B2" s="26" t="s">
        <v>3</v>
      </c>
      <c r="C2" s="26" t="s">
        <v>107</v>
      </c>
      <c r="D2" s="27" t="s">
        <v>0</v>
      </c>
      <c r="E2" s="28" t="s">
        <v>1</v>
      </c>
      <c r="F2" s="26" t="s">
        <v>2</v>
      </c>
      <c r="G2" s="26" t="s">
        <v>201</v>
      </c>
      <c r="H2" s="26" t="s">
        <v>202</v>
      </c>
      <c r="I2" s="26" t="s">
        <v>91</v>
      </c>
      <c r="J2" s="29">
        <v>1</v>
      </c>
      <c r="K2" s="29">
        <v>10</v>
      </c>
      <c r="L2" s="29">
        <v>25</v>
      </c>
      <c r="M2" s="29">
        <v>50</v>
      </c>
      <c r="N2" s="29">
        <v>100</v>
      </c>
      <c r="O2" s="29">
        <v>250</v>
      </c>
      <c r="P2" s="29">
        <v>500</v>
      </c>
      <c r="Q2" s="29">
        <v>750</v>
      </c>
      <c r="R2" s="29">
        <v>1000</v>
      </c>
      <c r="S2" s="29">
        <v>2500</v>
      </c>
      <c r="T2" s="29">
        <v>5000</v>
      </c>
      <c r="U2" s="38" t="s">
        <v>250</v>
      </c>
      <c r="V2" s="31">
        <f>Modules!D2</f>
        <v>1</v>
      </c>
      <c r="W2" s="31">
        <f>Modules!E2</f>
        <v>2</v>
      </c>
      <c r="X2" s="31">
        <f>Modules!F2</f>
        <v>4</v>
      </c>
      <c r="Y2" s="31">
        <f>Modules!G2</f>
        <v>8</v>
      </c>
      <c r="Z2" s="31">
        <f>Modules!H2</f>
        <v>16</v>
      </c>
      <c r="AA2" s="31">
        <f>Modules!I2</f>
        <v>32</v>
      </c>
      <c r="AB2" s="31">
        <f>Modules!J2</f>
        <v>64</v>
      </c>
      <c r="AC2" s="31">
        <f>Modules!K2</f>
        <v>128</v>
      </c>
      <c r="AD2" s="31">
        <f>Modules!L2</f>
        <v>256</v>
      </c>
      <c r="AE2" s="31">
        <f>Modules!M2</f>
        <v>512</v>
      </c>
      <c r="AF2" s="31">
        <f>Modules!N2</f>
        <v>1024</v>
      </c>
    </row>
    <row r="3" spans="1:32" ht="15.75" thickTop="1">
      <c r="A3">
        <v>1</v>
      </c>
      <c r="B3" s="21" t="s">
        <v>12</v>
      </c>
      <c r="C3" s="23"/>
      <c r="D3" s="22">
        <v>1</v>
      </c>
      <c r="E3" s="25" t="s">
        <v>10</v>
      </c>
      <c r="F3" s="21" t="s">
        <v>11</v>
      </c>
      <c r="G3" s="21" t="s">
        <v>13</v>
      </c>
      <c r="H3" s="21" t="s">
        <v>14</v>
      </c>
      <c r="I3" s="21" t="s">
        <v>9</v>
      </c>
      <c r="J3" s="52">
        <v>0.1</v>
      </c>
      <c r="K3" s="52">
        <v>1.2999999999999999E-2</v>
      </c>
      <c r="L3" s="52">
        <v>9.1999999999999998E-3</v>
      </c>
      <c r="M3" s="52">
        <v>9.1999999999999998E-3</v>
      </c>
      <c r="N3" s="52">
        <v>5.1999999999999998E-3</v>
      </c>
      <c r="O3" s="52">
        <v>3.96E-3</v>
      </c>
      <c r="P3" s="52">
        <v>3.16E-3</v>
      </c>
      <c r="Q3" s="52">
        <v>3.16E-3</v>
      </c>
      <c r="R3" s="52">
        <v>2.33E-3</v>
      </c>
      <c r="S3" s="52">
        <v>2.33E-3</v>
      </c>
      <c r="T3" s="52">
        <v>1.67E-3</v>
      </c>
      <c r="U3" s="39" t="s">
        <v>249</v>
      </c>
      <c r="V3" s="35">
        <f t="shared" ref="V3:V28" si="0">HLOOKUP($D3*V$2,$J$2:$T$28,$A3+1,TRUE)*$D3*V$2</f>
        <v>0.1</v>
      </c>
      <c r="W3" s="35">
        <f t="shared" ref="W3:AF18" si="1">HLOOKUP($D3*W$2,$J$2:$T$28,$A3+1,TRUE)*$D3*W$2</f>
        <v>0.2</v>
      </c>
      <c r="X3" s="35">
        <f t="shared" si="1"/>
        <v>0.4</v>
      </c>
      <c r="Y3" s="35">
        <f t="shared" si="1"/>
        <v>0.8</v>
      </c>
      <c r="Z3" s="35">
        <f t="shared" si="1"/>
        <v>0.20799999999999999</v>
      </c>
      <c r="AA3" s="35">
        <f t="shared" si="1"/>
        <v>0.2944</v>
      </c>
      <c r="AB3" s="35">
        <f t="shared" si="1"/>
        <v>0.58879999999999999</v>
      </c>
      <c r="AC3" s="35">
        <f t="shared" si="1"/>
        <v>0.66559999999999997</v>
      </c>
      <c r="AD3" s="35">
        <f t="shared" si="1"/>
        <v>1.01376</v>
      </c>
      <c r="AE3" s="35">
        <f t="shared" si="1"/>
        <v>1.61792</v>
      </c>
      <c r="AF3" s="35">
        <f t="shared" si="1"/>
        <v>2.38592</v>
      </c>
    </row>
    <row r="4" spans="1:32">
      <c r="A4">
        <v>2</v>
      </c>
      <c r="B4" s="21" t="s">
        <v>12</v>
      </c>
      <c r="C4" s="23"/>
      <c r="D4" s="22">
        <v>4</v>
      </c>
      <c r="E4" s="25" t="s">
        <v>15</v>
      </c>
      <c r="F4" s="21" t="s">
        <v>205</v>
      </c>
      <c r="G4" s="21" t="s">
        <v>13</v>
      </c>
      <c r="H4" s="21" t="s">
        <v>17</v>
      </c>
      <c r="I4" s="21" t="s">
        <v>9</v>
      </c>
      <c r="J4" s="52">
        <v>0.1</v>
      </c>
      <c r="K4" s="52">
        <v>1.2999999999999999E-2</v>
      </c>
      <c r="L4" s="52">
        <v>9.1999999999999998E-3</v>
      </c>
      <c r="M4" s="52">
        <v>9.1999999999999998E-3</v>
      </c>
      <c r="N4" s="52">
        <v>5.1999999999999998E-3</v>
      </c>
      <c r="O4" s="52">
        <v>3.96E-3</v>
      </c>
      <c r="P4" s="52">
        <v>3.16E-3</v>
      </c>
      <c r="Q4" s="52">
        <v>3.16E-3</v>
      </c>
      <c r="R4" s="52">
        <v>2.33E-3</v>
      </c>
      <c r="S4" s="52">
        <v>2.33E-3</v>
      </c>
      <c r="T4" s="52">
        <v>1.67E-3</v>
      </c>
      <c r="U4" s="39" t="s">
        <v>249</v>
      </c>
      <c r="V4" s="35">
        <f t="shared" si="0"/>
        <v>0.4</v>
      </c>
      <c r="W4" s="35">
        <f t="shared" si="1"/>
        <v>0.8</v>
      </c>
      <c r="X4" s="35">
        <f t="shared" si="1"/>
        <v>0.20799999999999999</v>
      </c>
      <c r="Y4" s="35">
        <f t="shared" si="1"/>
        <v>0.2944</v>
      </c>
      <c r="Z4" s="35">
        <f t="shared" si="1"/>
        <v>0.58879999999999999</v>
      </c>
      <c r="AA4" s="35">
        <f t="shared" si="1"/>
        <v>0.66559999999999997</v>
      </c>
      <c r="AB4" s="35">
        <f t="shared" si="1"/>
        <v>1.01376</v>
      </c>
      <c r="AC4" s="35">
        <f t="shared" si="1"/>
        <v>1.61792</v>
      </c>
      <c r="AD4" s="35">
        <f t="shared" si="1"/>
        <v>2.38592</v>
      </c>
      <c r="AE4" s="35">
        <f t="shared" si="1"/>
        <v>4.7718400000000001</v>
      </c>
      <c r="AF4" s="35">
        <f t="shared" si="1"/>
        <v>9.5436800000000002</v>
      </c>
    </row>
    <row r="5" spans="1:32">
      <c r="A5">
        <v>3</v>
      </c>
      <c r="B5" s="21" t="s">
        <v>12</v>
      </c>
      <c r="C5" s="23"/>
      <c r="D5" s="22">
        <v>3</v>
      </c>
      <c r="E5" s="25" t="s">
        <v>25</v>
      </c>
      <c r="F5" s="21" t="s">
        <v>130</v>
      </c>
      <c r="G5" s="21" t="s">
        <v>13</v>
      </c>
      <c r="H5" s="21" t="s">
        <v>26</v>
      </c>
      <c r="I5" s="21" t="s">
        <v>9</v>
      </c>
      <c r="J5" s="52">
        <v>0.1</v>
      </c>
      <c r="K5" s="52">
        <v>1.2999999999999999E-2</v>
      </c>
      <c r="L5" s="52">
        <v>9.1999999999999998E-3</v>
      </c>
      <c r="M5" s="52">
        <v>9.1999999999999998E-3</v>
      </c>
      <c r="N5" s="52">
        <v>5.1999999999999998E-3</v>
      </c>
      <c r="O5" s="52">
        <v>3.96E-3</v>
      </c>
      <c r="P5" s="52">
        <v>3.16E-3</v>
      </c>
      <c r="Q5" s="52">
        <v>3.16E-3</v>
      </c>
      <c r="R5" s="52">
        <v>2.33E-3</v>
      </c>
      <c r="S5" s="52">
        <v>2.33E-3</v>
      </c>
      <c r="T5" s="52">
        <v>1.67E-3</v>
      </c>
      <c r="U5" s="39" t="s">
        <v>249</v>
      </c>
      <c r="V5" s="35">
        <f t="shared" si="0"/>
        <v>0.30000000000000004</v>
      </c>
      <c r="W5" s="35">
        <f t="shared" si="1"/>
        <v>0.60000000000000009</v>
      </c>
      <c r="X5" s="35">
        <f t="shared" si="1"/>
        <v>0.156</v>
      </c>
      <c r="Y5" s="35">
        <f t="shared" si="1"/>
        <v>0.312</v>
      </c>
      <c r="Z5" s="35">
        <f t="shared" si="1"/>
        <v>0.44159999999999999</v>
      </c>
      <c r="AA5" s="35">
        <f t="shared" si="1"/>
        <v>0.88319999999999999</v>
      </c>
      <c r="AB5" s="35">
        <f t="shared" si="1"/>
        <v>0.99839999999999995</v>
      </c>
      <c r="AC5" s="35">
        <f t="shared" si="1"/>
        <v>1.52064</v>
      </c>
      <c r="AD5" s="35">
        <f t="shared" si="1"/>
        <v>2.4268800000000001</v>
      </c>
      <c r="AE5" s="35">
        <f t="shared" si="1"/>
        <v>3.5788799999999998</v>
      </c>
      <c r="AF5" s="35">
        <f t="shared" si="1"/>
        <v>7.1577599999999997</v>
      </c>
    </row>
    <row r="6" spans="1:32">
      <c r="A6">
        <v>4</v>
      </c>
      <c r="B6" s="21" t="s">
        <v>12</v>
      </c>
      <c r="C6" s="23"/>
      <c r="D6" s="22">
        <v>2</v>
      </c>
      <c r="E6" s="25">
        <v>47</v>
      </c>
      <c r="F6" s="21" t="s">
        <v>31</v>
      </c>
      <c r="G6" s="21" t="s">
        <v>96</v>
      </c>
      <c r="H6" s="8" t="s">
        <v>206</v>
      </c>
      <c r="I6" s="21" t="s">
        <v>9</v>
      </c>
      <c r="J6" s="52">
        <v>0.04</v>
      </c>
      <c r="K6" s="52">
        <v>2.5000000000000001E-2</v>
      </c>
      <c r="L6" s="52">
        <v>2.5000000000000001E-2</v>
      </c>
      <c r="M6" s="52">
        <v>1.38E-2</v>
      </c>
      <c r="N6" s="52">
        <v>1.0500000000000001E-2</v>
      </c>
      <c r="O6" s="52">
        <v>7.7999999999999996E-3</v>
      </c>
      <c r="P6" s="52">
        <v>5.7600000000000004E-3</v>
      </c>
      <c r="Q6" s="52">
        <v>5.7600000000000004E-3</v>
      </c>
      <c r="R6" s="52">
        <v>3.8400000000000001E-3</v>
      </c>
      <c r="S6" s="52">
        <v>3.2399999999999998E-3</v>
      </c>
      <c r="T6" s="52">
        <v>2.7000000000000001E-3</v>
      </c>
      <c r="U6" s="39" t="s">
        <v>249</v>
      </c>
      <c r="V6" s="35">
        <f t="shared" si="0"/>
        <v>0.08</v>
      </c>
      <c r="W6" s="35">
        <f t="shared" si="1"/>
        <v>0.16</v>
      </c>
      <c r="X6" s="35">
        <f t="shared" si="1"/>
        <v>0.32</v>
      </c>
      <c r="Y6" s="35">
        <f t="shared" si="1"/>
        <v>0.4</v>
      </c>
      <c r="Z6" s="35">
        <f t="shared" si="1"/>
        <v>0.8</v>
      </c>
      <c r="AA6" s="35">
        <f t="shared" si="1"/>
        <v>0.88319999999999999</v>
      </c>
      <c r="AB6" s="35">
        <f t="shared" si="1"/>
        <v>1.3440000000000001</v>
      </c>
      <c r="AC6" s="35">
        <f t="shared" si="1"/>
        <v>1.9967999999999999</v>
      </c>
      <c r="AD6" s="35">
        <f t="shared" si="1"/>
        <v>2.9491200000000002</v>
      </c>
      <c r="AE6" s="35">
        <f t="shared" si="1"/>
        <v>3.9321600000000001</v>
      </c>
      <c r="AF6" s="35">
        <f t="shared" si="1"/>
        <v>7.8643200000000002</v>
      </c>
    </row>
    <row r="7" spans="1:32">
      <c r="A7">
        <v>5</v>
      </c>
      <c r="B7" s="21" t="s">
        <v>12</v>
      </c>
      <c r="C7" s="23"/>
      <c r="D7" s="22">
        <v>1</v>
      </c>
      <c r="E7" s="25" t="s">
        <v>71</v>
      </c>
      <c r="F7" s="21" t="s">
        <v>36</v>
      </c>
      <c r="G7" s="21" t="s">
        <v>13</v>
      </c>
      <c r="H7" s="21" t="s">
        <v>37</v>
      </c>
      <c r="I7" s="21" t="s">
        <v>9</v>
      </c>
      <c r="J7" s="52">
        <v>0.1</v>
      </c>
      <c r="K7" s="52">
        <v>1.2999999999999999E-2</v>
      </c>
      <c r="L7" s="52">
        <v>9.1999999999999998E-3</v>
      </c>
      <c r="M7" s="52">
        <v>9.1999999999999998E-3</v>
      </c>
      <c r="N7" s="52">
        <v>5.1999999999999998E-3</v>
      </c>
      <c r="O7" s="52">
        <v>3.96E-3</v>
      </c>
      <c r="P7" s="52">
        <v>3.16E-3</v>
      </c>
      <c r="Q7" s="52">
        <v>3.16E-3</v>
      </c>
      <c r="R7" s="52">
        <v>2.33E-3</v>
      </c>
      <c r="S7" s="52">
        <v>2.33E-3</v>
      </c>
      <c r="T7" s="52">
        <v>1.67E-3</v>
      </c>
      <c r="U7" s="39" t="s">
        <v>249</v>
      </c>
      <c r="V7" s="35">
        <f t="shared" si="0"/>
        <v>0.1</v>
      </c>
      <c r="W7" s="35">
        <f t="shared" si="1"/>
        <v>0.2</v>
      </c>
      <c r="X7" s="35">
        <f t="shared" si="1"/>
        <v>0.4</v>
      </c>
      <c r="Y7" s="35">
        <f t="shared" si="1"/>
        <v>0.8</v>
      </c>
      <c r="Z7" s="35">
        <f t="shared" si="1"/>
        <v>0.20799999999999999</v>
      </c>
      <c r="AA7" s="35">
        <f t="shared" si="1"/>
        <v>0.2944</v>
      </c>
      <c r="AB7" s="35">
        <f t="shared" si="1"/>
        <v>0.58879999999999999</v>
      </c>
      <c r="AC7" s="35">
        <f t="shared" si="1"/>
        <v>0.66559999999999997</v>
      </c>
      <c r="AD7" s="35">
        <f t="shared" si="1"/>
        <v>1.01376</v>
      </c>
      <c r="AE7" s="35">
        <f t="shared" si="1"/>
        <v>1.61792</v>
      </c>
      <c r="AF7" s="35">
        <f t="shared" si="1"/>
        <v>2.38592</v>
      </c>
    </row>
    <row r="8" spans="1:32">
      <c r="A8">
        <v>6</v>
      </c>
      <c r="B8" s="21" t="s">
        <v>65</v>
      </c>
      <c r="C8" s="23"/>
      <c r="D8" s="22">
        <v>1</v>
      </c>
      <c r="E8" s="25" t="s">
        <v>25</v>
      </c>
      <c r="F8" s="21" t="s">
        <v>131</v>
      </c>
      <c r="G8" s="21" t="s">
        <v>29</v>
      </c>
      <c r="H8" s="21" t="s">
        <v>55</v>
      </c>
      <c r="I8" s="21" t="s">
        <v>9</v>
      </c>
      <c r="J8" s="52">
        <v>0.14399999999999999</v>
      </c>
      <c r="K8" s="52">
        <v>0.14399999999999999</v>
      </c>
      <c r="L8" s="52">
        <v>0.14399999999999999</v>
      </c>
      <c r="M8" s="52">
        <v>7.5800000000000006E-2</v>
      </c>
      <c r="N8" s="52">
        <v>5.62E-2</v>
      </c>
      <c r="O8" s="52">
        <v>5.62E-2</v>
      </c>
      <c r="P8" s="52">
        <v>3.3980000000000003E-2</v>
      </c>
      <c r="Q8" s="52">
        <v>3.3980000000000003E-2</v>
      </c>
      <c r="R8" s="52">
        <v>2.3519999999999999E-2</v>
      </c>
      <c r="S8" s="52">
        <v>2.3519999999999999E-2</v>
      </c>
      <c r="T8" s="52">
        <v>2.3519999999999999E-2</v>
      </c>
      <c r="U8" s="39" t="s">
        <v>249</v>
      </c>
      <c r="V8" s="35">
        <f t="shared" si="0"/>
        <v>0.14399999999999999</v>
      </c>
      <c r="W8" s="35">
        <f t="shared" si="1"/>
        <v>0.28799999999999998</v>
      </c>
      <c r="X8" s="35">
        <f t="shared" si="1"/>
        <v>0.57599999999999996</v>
      </c>
      <c r="Y8" s="35">
        <f t="shared" si="1"/>
        <v>1.1519999999999999</v>
      </c>
      <c r="Z8" s="35">
        <f t="shared" si="1"/>
        <v>2.3039999999999998</v>
      </c>
      <c r="AA8" s="35">
        <f t="shared" si="1"/>
        <v>4.6079999999999997</v>
      </c>
      <c r="AB8" s="35">
        <f t="shared" si="1"/>
        <v>4.8512000000000004</v>
      </c>
      <c r="AC8" s="35">
        <f t="shared" si="1"/>
        <v>7.1936</v>
      </c>
      <c r="AD8" s="35">
        <f t="shared" si="1"/>
        <v>14.3872</v>
      </c>
      <c r="AE8" s="35">
        <f t="shared" si="1"/>
        <v>17.397760000000002</v>
      </c>
      <c r="AF8" s="35">
        <f t="shared" si="1"/>
        <v>24.084479999999999</v>
      </c>
    </row>
    <row r="9" spans="1:32">
      <c r="A9">
        <v>7</v>
      </c>
      <c r="B9" s="21" t="s">
        <v>6</v>
      </c>
      <c r="C9" s="23"/>
      <c r="D9" s="22">
        <v>1</v>
      </c>
      <c r="E9" s="25" t="s">
        <v>4</v>
      </c>
      <c r="F9" s="21" t="s">
        <v>5</v>
      </c>
      <c r="G9" s="21" t="s">
        <v>7</v>
      </c>
      <c r="H9" s="21" t="s">
        <v>8</v>
      </c>
      <c r="I9" s="21" t="s">
        <v>9</v>
      </c>
      <c r="J9" s="52">
        <v>0.5</v>
      </c>
      <c r="K9" s="52">
        <v>0.48199999999999998</v>
      </c>
      <c r="L9" s="52">
        <v>0.48199999999999998</v>
      </c>
      <c r="M9" s="52">
        <v>0.48199999999999998</v>
      </c>
      <c r="N9" s="52">
        <v>0.23400000000000001</v>
      </c>
      <c r="O9" s="52">
        <v>0.19439999999999999</v>
      </c>
      <c r="P9" s="52">
        <v>0.1764</v>
      </c>
      <c r="Q9" s="52">
        <v>0.1764</v>
      </c>
      <c r="R9" s="52">
        <v>0.16200000000000001</v>
      </c>
      <c r="S9" s="52">
        <v>0.16200000000000001</v>
      </c>
      <c r="T9" s="52">
        <v>0.16200000000000001</v>
      </c>
      <c r="U9" s="39" t="s">
        <v>249</v>
      </c>
      <c r="V9" s="35">
        <f t="shared" si="0"/>
        <v>0.5</v>
      </c>
      <c r="W9" s="35">
        <f t="shared" si="1"/>
        <v>1</v>
      </c>
      <c r="X9" s="35">
        <f t="shared" si="1"/>
        <v>2</v>
      </c>
      <c r="Y9" s="35">
        <f t="shared" si="1"/>
        <v>4</v>
      </c>
      <c r="Z9" s="35">
        <f t="shared" si="1"/>
        <v>7.7119999999999997</v>
      </c>
      <c r="AA9" s="35">
        <f t="shared" si="1"/>
        <v>15.423999999999999</v>
      </c>
      <c r="AB9" s="35">
        <f t="shared" si="1"/>
        <v>30.847999999999999</v>
      </c>
      <c r="AC9" s="35">
        <f t="shared" si="1"/>
        <v>29.952000000000002</v>
      </c>
      <c r="AD9" s="35">
        <f t="shared" si="1"/>
        <v>49.766399999999997</v>
      </c>
      <c r="AE9" s="35">
        <f t="shared" si="1"/>
        <v>90.316800000000001</v>
      </c>
      <c r="AF9" s="35">
        <f t="shared" si="1"/>
        <v>165.88800000000001</v>
      </c>
    </row>
    <row r="10" spans="1:32">
      <c r="A10">
        <v>8</v>
      </c>
      <c r="B10" s="21" t="s">
        <v>6</v>
      </c>
      <c r="C10" s="23"/>
      <c r="D10" s="22">
        <v>2</v>
      </c>
      <c r="E10" s="25" t="s">
        <v>18</v>
      </c>
      <c r="F10" s="21" t="s">
        <v>19</v>
      </c>
      <c r="G10" s="21" t="s">
        <v>7</v>
      </c>
      <c r="H10" s="21" t="s">
        <v>20</v>
      </c>
      <c r="I10" s="21" t="s">
        <v>9</v>
      </c>
      <c r="J10" s="52">
        <v>1.01</v>
      </c>
      <c r="K10" s="52">
        <v>0.84599999999999997</v>
      </c>
      <c r="L10" s="52">
        <v>0.84599999999999997</v>
      </c>
      <c r="M10" s="52">
        <v>0.84599999999999997</v>
      </c>
      <c r="N10" s="52">
        <v>0.54</v>
      </c>
      <c r="O10" s="52">
        <v>0.45</v>
      </c>
      <c r="P10" s="52">
        <v>0.40500000000000003</v>
      </c>
      <c r="Q10" s="52">
        <v>0.40500000000000003</v>
      </c>
      <c r="R10" s="52">
        <v>0.36899999999999999</v>
      </c>
      <c r="S10" s="52">
        <v>0.36899999999999999</v>
      </c>
      <c r="T10" s="52">
        <v>0.36899999999999999</v>
      </c>
      <c r="U10" s="39" t="s">
        <v>249</v>
      </c>
      <c r="V10" s="35">
        <f t="shared" si="0"/>
        <v>2.02</v>
      </c>
      <c r="W10" s="35">
        <f t="shared" si="1"/>
        <v>4.04</v>
      </c>
      <c r="X10" s="35">
        <f t="shared" si="1"/>
        <v>8.08</v>
      </c>
      <c r="Y10" s="35">
        <f t="shared" si="1"/>
        <v>13.536</v>
      </c>
      <c r="Z10" s="35">
        <f t="shared" si="1"/>
        <v>27.071999999999999</v>
      </c>
      <c r="AA10" s="35">
        <f t="shared" si="1"/>
        <v>54.143999999999998</v>
      </c>
      <c r="AB10" s="35">
        <f t="shared" si="1"/>
        <v>69.12</v>
      </c>
      <c r="AC10" s="35">
        <f t="shared" si="1"/>
        <v>115.2</v>
      </c>
      <c r="AD10" s="35">
        <f t="shared" si="1"/>
        <v>207.36</v>
      </c>
      <c r="AE10" s="35">
        <f t="shared" si="1"/>
        <v>377.85599999999999</v>
      </c>
      <c r="AF10" s="35">
        <f t="shared" si="1"/>
        <v>755.71199999999999</v>
      </c>
    </row>
    <row r="11" spans="1:32">
      <c r="A11">
        <v>9</v>
      </c>
      <c r="B11" s="21" t="s">
        <v>6</v>
      </c>
      <c r="C11" s="23"/>
      <c r="D11" s="22">
        <v>2</v>
      </c>
      <c r="E11" s="25" t="s">
        <v>21</v>
      </c>
      <c r="F11" s="21" t="s">
        <v>22</v>
      </c>
      <c r="G11" s="21" t="s">
        <v>23</v>
      </c>
      <c r="H11" s="21" t="s">
        <v>24</v>
      </c>
      <c r="I11" s="21" t="s">
        <v>9</v>
      </c>
      <c r="J11" s="52">
        <v>0.31</v>
      </c>
      <c r="K11" s="52">
        <v>0.24</v>
      </c>
      <c r="L11" s="52">
        <v>0.24</v>
      </c>
      <c r="M11" s="52">
        <v>0.158</v>
      </c>
      <c r="N11" s="52">
        <v>0.12540000000000001</v>
      </c>
      <c r="O11" s="52">
        <v>9.264E-2</v>
      </c>
      <c r="P11" s="52">
        <v>7.1940000000000004E-2</v>
      </c>
      <c r="Q11" s="52">
        <v>7.1940000000000004E-2</v>
      </c>
      <c r="R11" s="52">
        <v>5.6680000000000001E-2</v>
      </c>
      <c r="S11" s="52">
        <v>5.6680000000000001E-2</v>
      </c>
      <c r="T11" s="52">
        <v>4.2509999999999999E-2</v>
      </c>
      <c r="U11" s="39" t="s">
        <v>249</v>
      </c>
      <c r="V11" s="35">
        <f t="shared" si="0"/>
        <v>0.62</v>
      </c>
      <c r="W11" s="35">
        <f t="shared" si="1"/>
        <v>1.24</v>
      </c>
      <c r="X11" s="35">
        <f t="shared" si="1"/>
        <v>2.48</v>
      </c>
      <c r="Y11" s="35">
        <f t="shared" si="1"/>
        <v>3.84</v>
      </c>
      <c r="Z11" s="35">
        <f t="shared" si="1"/>
        <v>7.68</v>
      </c>
      <c r="AA11" s="35">
        <f t="shared" si="1"/>
        <v>10.112</v>
      </c>
      <c r="AB11" s="35">
        <f t="shared" si="1"/>
        <v>16.051200000000001</v>
      </c>
      <c r="AC11" s="35">
        <f t="shared" si="1"/>
        <v>23.71584</v>
      </c>
      <c r="AD11" s="35">
        <f t="shared" si="1"/>
        <v>36.833280000000002</v>
      </c>
      <c r="AE11" s="35">
        <f t="shared" si="1"/>
        <v>58.040320000000001</v>
      </c>
      <c r="AF11" s="35">
        <f t="shared" si="1"/>
        <v>116.08064</v>
      </c>
    </row>
    <row r="12" spans="1:32">
      <c r="A12">
        <v>10</v>
      </c>
      <c r="B12" s="21" t="s">
        <v>6</v>
      </c>
      <c r="C12" s="23"/>
      <c r="D12" s="22">
        <v>1</v>
      </c>
      <c r="E12" s="25" t="s">
        <v>27</v>
      </c>
      <c r="F12" s="21" t="s">
        <v>28</v>
      </c>
      <c r="G12" s="21" t="s">
        <v>29</v>
      </c>
      <c r="H12" s="21" t="s">
        <v>30</v>
      </c>
      <c r="I12" s="21" t="s">
        <v>9</v>
      </c>
      <c r="J12" s="52">
        <v>2.14</v>
      </c>
      <c r="K12" s="52">
        <v>1.7549999999999999</v>
      </c>
      <c r="L12" s="52">
        <v>1.7549999999999999</v>
      </c>
      <c r="M12" s="52">
        <v>1.7549999999999999</v>
      </c>
      <c r="N12" s="52">
        <v>1.4124000000000001</v>
      </c>
      <c r="O12" s="52">
        <v>1.2412000000000001</v>
      </c>
      <c r="P12" s="52">
        <v>1.1556</v>
      </c>
      <c r="Q12" s="52">
        <v>1.1556</v>
      </c>
      <c r="R12" s="52">
        <v>0.89880000000000004</v>
      </c>
      <c r="S12" s="52">
        <v>0.89880000000000004</v>
      </c>
      <c r="T12" s="52">
        <v>0.89880000000000004</v>
      </c>
      <c r="U12" s="39" t="s">
        <v>249</v>
      </c>
      <c r="V12" s="35">
        <f t="shared" si="0"/>
        <v>2.14</v>
      </c>
      <c r="W12" s="35">
        <f t="shared" si="1"/>
        <v>4.28</v>
      </c>
      <c r="X12" s="35">
        <f t="shared" si="1"/>
        <v>8.56</v>
      </c>
      <c r="Y12" s="35">
        <f t="shared" si="1"/>
        <v>17.12</v>
      </c>
      <c r="Z12" s="35">
        <f t="shared" si="1"/>
        <v>28.08</v>
      </c>
      <c r="AA12" s="35">
        <f t="shared" si="1"/>
        <v>56.16</v>
      </c>
      <c r="AB12" s="35">
        <f t="shared" si="1"/>
        <v>112.32</v>
      </c>
      <c r="AC12" s="35">
        <f t="shared" si="1"/>
        <v>180.78720000000001</v>
      </c>
      <c r="AD12" s="35">
        <f t="shared" si="1"/>
        <v>317.74720000000002</v>
      </c>
      <c r="AE12" s="35">
        <f t="shared" si="1"/>
        <v>591.66719999999998</v>
      </c>
      <c r="AF12" s="35">
        <f t="shared" si="1"/>
        <v>920.37120000000004</v>
      </c>
    </row>
    <row r="13" spans="1:32">
      <c r="A13">
        <v>11</v>
      </c>
      <c r="B13" s="21" t="s">
        <v>6</v>
      </c>
      <c r="C13" s="23"/>
      <c r="D13" s="22">
        <v>2</v>
      </c>
      <c r="E13" s="25" t="s">
        <v>33</v>
      </c>
      <c r="F13" s="21" t="s">
        <v>34</v>
      </c>
      <c r="G13" s="21" t="s">
        <v>23</v>
      </c>
      <c r="H13" s="21" t="s">
        <v>35</v>
      </c>
      <c r="I13" s="21" t="s">
        <v>9</v>
      </c>
      <c r="J13" s="52">
        <v>0.1</v>
      </c>
      <c r="K13" s="52">
        <v>1.7000000000000001E-2</v>
      </c>
      <c r="L13" s="52">
        <v>1.7000000000000001E-2</v>
      </c>
      <c r="M13" s="52">
        <v>9.1999999999999998E-3</v>
      </c>
      <c r="N13" s="52">
        <v>7.7000000000000002E-3</v>
      </c>
      <c r="O13" s="52">
        <v>6.3200000000000001E-3</v>
      </c>
      <c r="P13" s="52">
        <v>5.4000000000000003E-3</v>
      </c>
      <c r="Q13" s="52">
        <v>5.4000000000000003E-3</v>
      </c>
      <c r="R13" s="52">
        <v>4.1999999999999997E-3</v>
      </c>
      <c r="S13" s="52">
        <v>4.1999999999999997E-3</v>
      </c>
      <c r="T13" s="52">
        <v>3.5000000000000001E-3</v>
      </c>
      <c r="U13" s="39" t="s">
        <v>249</v>
      </c>
      <c r="V13" s="35">
        <f t="shared" si="0"/>
        <v>0.2</v>
      </c>
      <c r="W13" s="35">
        <f t="shared" si="1"/>
        <v>0.4</v>
      </c>
      <c r="X13" s="35">
        <f t="shared" si="1"/>
        <v>0.8</v>
      </c>
      <c r="Y13" s="35">
        <f t="shared" si="1"/>
        <v>0.27200000000000002</v>
      </c>
      <c r="Z13" s="35">
        <f t="shared" si="1"/>
        <v>0.54400000000000004</v>
      </c>
      <c r="AA13" s="35">
        <f t="shared" si="1"/>
        <v>0.58879999999999999</v>
      </c>
      <c r="AB13" s="35">
        <f t="shared" si="1"/>
        <v>0.98560000000000003</v>
      </c>
      <c r="AC13" s="35">
        <f t="shared" si="1"/>
        <v>1.61792</v>
      </c>
      <c r="AD13" s="35">
        <f t="shared" si="1"/>
        <v>2.7648000000000001</v>
      </c>
      <c r="AE13" s="35">
        <f t="shared" si="1"/>
        <v>4.3007999999999997</v>
      </c>
      <c r="AF13" s="35">
        <f t="shared" si="1"/>
        <v>8.6015999999999995</v>
      </c>
    </row>
    <row r="14" spans="1:32">
      <c r="A14">
        <v>12</v>
      </c>
      <c r="B14" s="21" t="s">
        <v>6</v>
      </c>
      <c r="C14" s="23"/>
      <c r="D14" s="22">
        <v>1</v>
      </c>
      <c r="E14" s="25" t="s">
        <v>97</v>
      </c>
      <c r="F14" s="21" t="s">
        <v>38</v>
      </c>
      <c r="G14" s="21" t="s">
        <v>23</v>
      </c>
      <c r="H14" s="21" t="s">
        <v>39</v>
      </c>
      <c r="I14" s="21" t="s">
        <v>9</v>
      </c>
      <c r="J14" s="52">
        <v>0.1</v>
      </c>
      <c r="K14" s="52">
        <v>5.8000000000000003E-2</v>
      </c>
      <c r="L14" s="52">
        <v>5.8000000000000003E-2</v>
      </c>
      <c r="M14" s="52">
        <v>3.1199999999999999E-2</v>
      </c>
      <c r="N14" s="52">
        <v>2.64E-2</v>
      </c>
      <c r="O14" s="52">
        <v>2.1559999999999999E-2</v>
      </c>
      <c r="P14" s="52">
        <v>1.8460000000000001E-2</v>
      </c>
      <c r="Q14" s="52">
        <v>1.8460000000000001E-2</v>
      </c>
      <c r="R14" s="52">
        <v>1.41E-2</v>
      </c>
      <c r="S14" s="52">
        <v>1.41E-2</v>
      </c>
      <c r="T14" s="52">
        <v>1.175E-2</v>
      </c>
      <c r="U14" s="39" t="s">
        <v>249</v>
      </c>
      <c r="V14" s="35">
        <f t="shared" si="0"/>
        <v>0.1</v>
      </c>
      <c r="W14" s="35">
        <f t="shared" si="1"/>
        <v>0.2</v>
      </c>
      <c r="X14" s="35">
        <f t="shared" si="1"/>
        <v>0.4</v>
      </c>
      <c r="Y14" s="35">
        <f t="shared" si="1"/>
        <v>0.8</v>
      </c>
      <c r="Z14" s="35">
        <f t="shared" si="1"/>
        <v>0.92800000000000005</v>
      </c>
      <c r="AA14" s="35">
        <f t="shared" si="1"/>
        <v>1.8560000000000001</v>
      </c>
      <c r="AB14" s="35">
        <f t="shared" si="1"/>
        <v>1.9967999999999999</v>
      </c>
      <c r="AC14" s="35">
        <f t="shared" si="1"/>
        <v>3.3792</v>
      </c>
      <c r="AD14" s="35">
        <f t="shared" si="1"/>
        <v>5.5193599999999998</v>
      </c>
      <c r="AE14" s="35">
        <f t="shared" si="1"/>
        <v>9.4515200000000004</v>
      </c>
      <c r="AF14" s="35">
        <f t="shared" si="1"/>
        <v>14.4384</v>
      </c>
    </row>
    <row r="15" spans="1:32">
      <c r="A15">
        <v>13</v>
      </c>
      <c r="B15" s="21" t="s">
        <v>57</v>
      </c>
      <c r="C15" s="23" t="s">
        <v>214</v>
      </c>
      <c r="D15" s="22">
        <v>1</v>
      </c>
      <c r="E15" s="24"/>
      <c r="F15" s="21" t="s">
        <v>207</v>
      </c>
      <c r="G15" s="21" t="s">
        <v>32</v>
      </c>
      <c r="H15" s="21" t="s">
        <v>213</v>
      </c>
      <c r="I15" s="21" t="s">
        <v>9</v>
      </c>
      <c r="J15" s="52">
        <v>0.46</v>
      </c>
      <c r="K15" s="52">
        <v>0.38900000000000001</v>
      </c>
      <c r="L15" s="52">
        <v>0.3412</v>
      </c>
      <c r="M15" s="52">
        <v>0.3412</v>
      </c>
      <c r="N15" s="52">
        <v>0.29199999999999998</v>
      </c>
      <c r="O15" s="52">
        <v>0.25328000000000001</v>
      </c>
      <c r="P15" s="52">
        <v>0.21451999999999999</v>
      </c>
      <c r="Q15" s="52">
        <v>0.21451999999999999</v>
      </c>
      <c r="R15" s="52">
        <v>0.16538</v>
      </c>
      <c r="S15" s="52">
        <v>0.16538</v>
      </c>
      <c r="T15" s="52">
        <v>0.16538</v>
      </c>
      <c r="U15" s="39" t="s">
        <v>249</v>
      </c>
      <c r="V15" s="35">
        <f t="shared" si="0"/>
        <v>0.46</v>
      </c>
      <c r="W15" s="35">
        <f t="shared" si="1"/>
        <v>0.92</v>
      </c>
      <c r="X15" s="35">
        <f t="shared" si="1"/>
        <v>1.84</v>
      </c>
      <c r="Y15" s="35">
        <f t="shared" si="1"/>
        <v>3.68</v>
      </c>
      <c r="Z15" s="35">
        <f t="shared" si="1"/>
        <v>6.2240000000000002</v>
      </c>
      <c r="AA15" s="35">
        <f t="shared" si="1"/>
        <v>10.9184</v>
      </c>
      <c r="AB15" s="35">
        <f t="shared" si="1"/>
        <v>21.8368</v>
      </c>
      <c r="AC15" s="35">
        <f t="shared" si="1"/>
        <v>37.375999999999998</v>
      </c>
      <c r="AD15" s="35">
        <f t="shared" si="1"/>
        <v>64.839680000000001</v>
      </c>
      <c r="AE15" s="35">
        <f t="shared" si="1"/>
        <v>109.83423999999999</v>
      </c>
      <c r="AF15" s="35">
        <f t="shared" si="1"/>
        <v>169.34912</v>
      </c>
    </row>
    <row r="16" spans="1:32">
      <c r="A16">
        <v>14</v>
      </c>
      <c r="B16" s="21" t="s">
        <v>58</v>
      </c>
      <c r="C16" s="23"/>
      <c r="D16" s="22">
        <v>1</v>
      </c>
      <c r="E16" s="24"/>
      <c r="F16" s="21" t="s">
        <v>208</v>
      </c>
      <c r="G16" s="21" t="s">
        <v>42</v>
      </c>
      <c r="H16" s="21" t="s">
        <v>43</v>
      </c>
      <c r="I16" s="21" t="s">
        <v>9</v>
      </c>
      <c r="J16" s="52">
        <v>0.94</v>
      </c>
      <c r="K16" s="52">
        <v>0.82899999999999996</v>
      </c>
      <c r="L16" s="52">
        <v>0.74880000000000002</v>
      </c>
      <c r="M16" s="52">
        <v>0.74880000000000002</v>
      </c>
      <c r="N16" s="52">
        <v>0.6552</v>
      </c>
      <c r="O16" s="52">
        <v>0.5746</v>
      </c>
      <c r="P16" s="52">
        <v>0.50960000000000005</v>
      </c>
      <c r="Q16" s="52">
        <v>0.4446</v>
      </c>
      <c r="R16" s="52">
        <v>0.40300000000000002</v>
      </c>
      <c r="S16" s="52">
        <v>0.40300000000000002</v>
      </c>
      <c r="T16" s="52">
        <v>0.40300000000000002</v>
      </c>
      <c r="U16" s="39" t="s">
        <v>249</v>
      </c>
      <c r="V16" s="35">
        <f t="shared" si="0"/>
        <v>0.94</v>
      </c>
      <c r="W16" s="35">
        <f t="shared" si="1"/>
        <v>1.88</v>
      </c>
      <c r="X16" s="35">
        <f t="shared" si="1"/>
        <v>3.76</v>
      </c>
      <c r="Y16" s="35">
        <f t="shared" si="1"/>
        <v>7.52</v>
      </c>
      <c r="Z16" s="35">
        <f t="shared" si="1"/>
        <v>13.263999999999999</v>
      </c>
      <c r="AA16" s="35">
        <f t="shared" si="1"/>
        <v>23.961600000000001</v>
      </c>
      <c r="AB16" s="35">
        <f t="shared" si="1"/>
        <v>47.923200000000001</v>
      </c>
      <c r="AC16" s="35">
        <f t="shared" si="1"/>
        <v>83.865600000000001</v>
      </c>
      <c r="AD16" s="35">
        <f t="shared" si="1"/>
        <v>147.0976</v>
      </c>
      <c r="AE16" s="35">
        <f t="shared" si="1"/>
        <v>260.91520000000003</v>
      </c>
      <c r="AF16" s="35">
        <f t="shared" si="1"/>
        <v>412.67200000000003</v>
      </c>
    </row>
    <row r="17" spans="1:32">
      <c r="A17">
        <v>15</v>
      </c>
      <c r="B17" s="21" t="s">
        <v>99</v>
      </c>
      <c r="C17" s="17"/>
      <c r="D17" s="18">
        <v>1</v>
      </c>
      <c r="E17" s="25"/>
      <c r="F17" s="19" t="s">
        <v>100</v>
      </c>
      <c r="G17" s="19" t="s">
        <v>95</v>
      </c>
      <c r="H17" s="19" t="s">
        <v>132</v>
      </c>
      <c r="I17" s="19" t="s">
        <v>9</v>
      </c>
      <c r="J17" s="52">
        <v>0.51</v>
      </c>
      <c r="K17" s="52">
        <v>0.51</v>
      </c>
      <c r="L17" s="52">
        <v>0.29759999999999998</v>
      </c>
      <c r="M17" s="52">
        <v>0.29759999999999998</v>
      </c>
      <c r="N17" s="52">
        <v>0.24</v>
      </c>
      <c r="O17" s="52">
        <v>0.17280000000000001</v>
      </c>
      <c r="P17" s="52">
        <v>0.13919999999999999</v>
      </c>
      <c r="Q17" s="52">
        <v>0.13919999999999999</v>
      </c>
      <c r="R17" s="52">
        <v>0.108</v>
      </c>
      <c r="S17" s="52">
        <v>0.108</v>
      </c>
      <c r="T17" s="52">
        <v>0.108</v>
      </c>
      <c r="U17" s="39" t="s">
        <v>249</v>
      </c>
      <c r="V17" s="35">
        <f t="shared" si="0"/>
        <v>0.51</v>
      </c>
      <c r="W17" s="35">
        <f t="shared" si="1"/>
        <v>1.02</v>
      </c>
      <c r="X17" s="35">
        <f t="shared" si="1"/>
        <v>2.04</v>
      </c>
      <c r="Y17" s="35">
        <f t="shared" si="1"/>
        <v>4.08</v>
      </c>
      <c r="Z17" s="35">
        <f t="shared" si="1"/>
        <v>8.16</v>
      </c>
      <c r="AA17" s="35">
        <f t="shared" si="1"/>
        <v>9.5231999999999992</v>
      </c>
      <c r="AB17" s="35">
        <f t="shared" si="1"/>
        <v>19.046399999999998</v>
      </c>
      <c r="AC17" s="35">
        <f t="shared" si="1"/>
        <v>30.72</v>
      </c>
      <c r="AD17" s="35">
        <f t="shared" si="1"/>
        <v>44.236800000000002</v>
      </c>
      <c r="AE17" s="35">
        <f t="shared" si="1"/>
        <v>71.270399999999995</v>
      </c>
      <c r="AF17" s="35">
        <f t="shared" si="1"/>
        <v>110.592</v>
      </c>
    </row>
    <row r="18" spans="1:32">
      <c r="A18">
        <v>16</v>
      </c>
      <c r="B18" s="21" t="s">
        <v>98</v>
      </c>
      <c r="C18" s="17"/>
      <c r="D18" s="18">
        <v>1</v>
      </c>
      <c r="E18" s="25"/>
      <c r="F18" s="19" t="s">
        <v>101</v>
      </c>
      <c r="G18" s="19" t="s">
        <v>95</v>
      </c>
      <c r="H18" s="19" t="s">
        <v>133</v>
      </c>
      <c r="I18" s="19" t="s">
        <v>9</v>
      </c>
      <c r="J18" s="52">
        <v>0.51</v>
      </c>
      <c r="K18" s="52">
        <v>0.51</v>
      </c>
      <c r="L18" s="52">
        <v>0.29759999999999998</v>
      </c>
      <c r="M18" s="52">
        <v>0.29759999999999998</v>
      </c>
      <c r="N18" s="52">
        <v>0.24</v>
      </c>
      <c r="O18" s="52">
        <v>0.17280000000000001</v>
      </c>
      <c r="P18" s="52">
        <v>0.13919999999999999</v>
      </c>
      <c r="Q18" s="52">
        <v>0.13919999999999999</v>
      </c>
      <c r="R18" s="52">
        <v>0.108</v>
      </c>
      <c r="S18" s="52">
        <v>0.108</v>
      </c>
      <c r="T18" s="52">
        <v>0.108</v>
      </c>
      <c r="U18" s="39" t="s">
        <v>249</v>
      </c>
      <c r="V18" s="35">
        <f t="shared" si="0"/>
        <v>0.51</v>
      </c>
      <c r="W18" s="35">
        <f t="shared" si="1"/>
        <v>1.02</v>
      </c>
      <c r="X18" s="35">
        <f t="shared" si="1"/>
        <v>2.04</v>
      </c>
      <c r="Y18" s="35">
        <f t="shared" si="1"/>
        <v>4.08</v>
      </c>
      <c r="Z18" s="35">
        <f t="shared" si="1"/>
        <v>8.16</v>
      </c>
      <c r="AA18" s="35">
        <f t="shared" si="1"/>
        <v>9.5231999999999992</v>
      </c>
      <c r="AB18" s="35">
        <f t="shared" si="1"/>
        <v>19.046399999999998</v>
      </c>
      <c r="AC18" s="35">
        <f t="shared" si="1"/>
        <v>30.72</v>
      </c>
      <c r="AD18" s="35">
        <f t="shared" si="1"/>
        <v>44.236800000000002</v>
      </c>
      <c r="AE18" s="35">
        <f t="shared" si="1"/>
        <v>71.270399999999995</v>
      </c>
      <c r="AF18" s="35">
        <f t="shared" si="1"/>
        <v>110.592</v>
      </c>
    </row>
    <row r="19" spans="1:32">
      <c r="A19">
        <v>17</v>
      </c>
      <c r="B19" s="21" t="s">
        <v>60</v>
      </c>
      <c r="C19" s="9"/>
      <c r="D19" s="22">
        <v>1</v>
      </c>
      <c r="E19" s="24"/>
      <c r="F19" s="21" t="s">
        <v>44</v>
      </c>
      <c r="G19" s="21" t="s">
        <v>45</v>
      </c>
      <c r="H19" s="21" t="s">
        <v>46</v>
      </c>
      <c r="I19" s="21" t="s">
        <v>9</v>
      </c>
      <c r="J19" s="52">
        <v>8.11</v>
      </c>
      <c r="K19" s="52">
        <v>7.2969999999999997</v>
      </c>
      <c r="L19" s="52">
        <v>6.6364000000000001</v>
      </c>
      <c r="M19" s="52">
        <v>6.6364000000000001</v>
      </c>
      <c r="N19" s="52">
        <v>6.0072000000000001</v>
      </c>
      <c r="O19" s="52">
        <v>5.5039999999999996</v>
      </c>
      <c r="P19" s="52">
        <v>5.0322199999999997</v>
      </c>
      <c r="Q19" s="52">
        <v>5.0322199999999997</v>
      </c>
      <c r="R19" s="52">
        <v>4.37174</v>
      </c>
      <c r="S19" s="52">
        <v>4.37174</v>
      </c>
      <c r="T19" s="52">
        <v>4.37174</v>
      </c>
      <c r="U19" s="39" t="s">
        <v>249</v>
      </c>
      <c r="V19" s="35">
        <f t="shared" si="0"/>
        <v>8.11</v>
      </c>
      <c r="W19" s="35">
        <f t="shared" ref="W19:AF28" si="2">HLOOKUP($D19*W$2,$J$2:$T$28,$A19+1,TRUE)*$D19*W$2</f>
        <v>16.22</v>
      </c>
      <c r="X19" s="35">
        <f t="shared" si="2"/>
        <v>32.44</v>
      </c>
      <c r="Y19" s="35">
        <f t="shared" si="2"/>
        <v>64.88</v>
      </c>
      <c r="Z19" s="35">
        <f t="shared" si="2"/>
        <v>116.752</v>
      </c>
      <c r="AA19" s="35">
        <f t="shared" si="2"/>
        <v>212.3648</v>
      </c>
      <c r="AB19" s="35">
        <f t="shared" si="2"/>
        <v>424.7296</v>
      </c>
      <c r="AC19" s="35">
        <f t="shared" si="2"/>
        <v>768.92160000000001</v>
      </c>
      <c r="AD19" s="35">
        <f t="shared" si="2"/>
        <v>1409.0239999999999</v>
      </c>
      <c r="AE19" s="35">
        <f t="shared" si="2"/>
        <v>2576.4966399999998</v>
      </c>
      <c r="AF19" s="35">
        <f t="shared" si="2"/>
        <v>4476.66176</v>
      </c>
    </row>
    <row r="20" spans="1:32">
      <c r="A20">
        <v>18</v>
      </c>
      <c r="B20" s="21" t="s">
        <v>61</v>
      </c>
      <c r="C20" s="23"/>
      <c r="D20" s="22">
        <v>1</v>
      </c>
      <c r="E20" s="24"/>
      <c r="F20" s="21" t="s">
        <v>47</v>
      </c>
      <c r="G20" s="21" t="s">
        <v>48</v>
      </c>
      <c r="H20" s="21" t="s">
        <v>49</v>
      </c>
      <c r="I20" s="21" t="s">
        <v>9</v>
      </c>
      <c r="J20" s="52">
        <v>2.8</v>
      </c>
      <c r="K20" s="52">
        <v>2.5329999999999999</v>
      </c>
      <c r="L20" s="52">
        <v>2.3972000000000002</v>
      </c>
      <c r="M20" s="52">
        <v>2.0411999999999999</v>
      </c>
      <c r="N20" s="52">
        <v>1.7279</v>
      </c>
      <c r="O20" s="52">
        <v>1.6855199999999999</v>
      </c>
      <c r="P20" s="52">
        <v>1.42296</v>
      </c>
      <c r="Q20" s="52">
        <v>1.42296</v>
      </c>
      <c r="R20" s="52">
        <v>1.42296</v>
      </c>
      <c r="S20" s="52">
        <v>1.42296</v>
      </c>
      <c r="T20" s="52">
        <v>1.42296</v>
      </c>
      <c r="U20" s="39" t="s">
        <v>249</v>
      </c>
      <c r="V20" s="35">
        <f t="shared" si="0"/>
        <v>2.8</v>
      </c>
      <c r="W20" s="35">
        <f t="shared" si="2"/>
        <v>5.6</v>
      </c>
      <c r="X20" s="35">
        <f t="shared" si="2"/>
        <v>11.2</v>
      </c>
      <c r="Y20" s="35">
        <f t="shared" si="2"/>
        <v>22.4</v>
      </c>
      <c r="Z20" s="35">
        <f t="shared" si="2"/>
        <v>40.527999999999999</v>
      </c>
      <c r="AA20" s="35">
        <f t="shared" si="2"/>
        <v>76.710400000000007</v>
      </c>
      <c r="AB20" s="35">
        <f t="shared" si="2"/>
        <v>130.63679999999999</v>
      </c>
      <c r="AC20" s="35">
        <f t="shared" si="2"/>
        <v>221.1712</v>
      </c>
      <c r="AD20" s="35">
        <f t="shared" si="2"/>
        <v>431.49311999999998</v>
      </c>
      <c r="AE20" s="35">
        <f t="shared" si="2"/>
        <v>728.55552</v>
      </c>
      <c r="AF20" s="35">
        <f t="shared" si="2"/>
        <v>1457.11104</v>
      </c>
    </row>
    <row r="21" spans="1:32">
      <c r="A21">
        <v>19</v>
      </c>
      <c r="B21" s="21" t="s">
        <v>62</v>
      </c>
      <c r="C21" s="23"/>
      <c r="D21" s="22">
        <v>1</v>
      </c>
      <c r="E21" s="24" t="s">
        <v>63</v>
      </c>
      <c r="F21" s="21" t="s">
        <v>50</v>
      </c>
      <c r="G21" s="21" t="s">
        <v>51</v>
      </c>
      <c r="H21" s="21" t="s">
        <v>215</v>
      </c>
      <c r="I21" s="21" t="s">
        <v>9</v>
      </c>
      <c r="J21" s="52">
        <v>4.6399999999999997</v>
      </c>
      <c r="K21" s="52">
        <v>4.6399999999999997</v>
      </c>
      <c r="L21" s="52">
        <v>4.1456</v>
      </c>
      <c r="M21" s="52">
        <v>4.1456</v>
      </c>
      <c r="N21" s="52">
        <v>3.7311000000000001</v>
      </c>
      <c r="O21" s="52">
        <v>3.7311000000000001</v>
      </c>
      <c r="P21" s="52">
        <v>3.7311000000000001</v>
      </c>
      <c r="Q21" s="52">
        <v>3.7311000000000001</v>
      </c>
      <c r="R21" s="52">
        <v>3.7311000000000001</v>
      </c>
      <c r="S21" s="52">
        <v>3.7311000000000001</v>
      </c>
      <c r="T21" s="52">
        <v>3.7311000000000001</v>
      </c>
      <c r="U21" s="39" t="s">
        <v>249</v>
      </c>
      <c r="V21" s="35">
        <f t="shared" si="0"/>
        <v>4.6399999999999997</v>
      </c>
      <c r="W21" s="35">
        <f t="shared" si="2"/>
        <v>9.2799999999999994</v>
      </c>
      <c r="X21" s="35">
        <f t="shared" si="2"/>
        <v>18.559999999999999</v>
      </c>
      <c r="Y21" s="35">
        <f t="shared" si="2"/>
        <v>37.119999999999997</v>
      </c>
      <c r="Z21" s="35">
        <f t="shared" si="2"/>
        <v>74.239999999999995</v>
      </c>
      <c r="AA21" s="35">
        <f t="shared" si="2"/>
        <v>132.6592</v>
      </c>
      <c r="AB21" s="35">
        <f t="shared" si="2"/>
        <v>265.3184</v>
      </c>
      <c r="AC21" s="35">
        <f t="shared" si="2"/>
        <v>477.58080000000001</v>
      </c>
      <c r="AD21" s="35">
        <f t="shared" si="2"/>
        <v>955.16160000000002</v>
      </c>
      <c r="AE21" s="35">
        <f t="shared" si="2"/>
        <v>1910.3232</v>
      </c>
      <c r="AF21" s="35">
        <f t="shared" si="2"/>
        <v>3820.6464000000001</v>
      </c>
    </row>
    <row r="22" spans="1:32">
      <c r="A22">
        <v>20</v>
      </c>
      <c r="B22" s="21" t="s">
        <v>62</v>
      </c>
      <c r="C22" s="23"/>
      <c r="D22" s="22">
        <v>1</v>
      </c>
      <c r="E22" s="24" t="s">
        <v>64</v>
      </c>
      <c r="F22" s="21" t="s">
        <v>52</v>
      </c>
      <c r="G22" s="21" t="s">
        <v>53</v>
      </c>
      <c r="H22" s="21" t="s">
        <v>54</v>
      </c>
      <c r="I22" s="21" t="s">
        <v>9</v>
      </c>
      <c r="J22" s="52">
        <v>2.0099999999999998</v>
      </c>
      <c r="K22" s="52">
        <v>1.7270000000000001</v>
      </c>
      <c r="L22" s="52">
        <v>1.5544</v>
      </c>
      <c r="M22" s="52">
        <v>1.5544</v>
      </c>
      <c r="N22" s="52">
        <v>1.4105000000000001</v>
      </c>
      <c r="O22" s="52">
        <v>1.2665599999999999</v>
      </c>
      <c r="P22" s="52">
        <v>1.0938399999999999</v>
      </c>
      <c r="Q22" s="52">
        <v>1.0938399999999999</v>
      </c>
      <c r="R22" s="52">
        <v>0.92112000000000005</v>
      </c>
      <c r="S22" s="52">
        <v>0.92112000000000005</v>
      </c>
      <c r="T22" s="52">
        <v>0.92112000000000005</v>
      </c>
      <c r="U22" s="39" t="s">
        <v>249</v>
      </c>
      <c r="V22" s="35">
        <f t="shared" si="0"/>
        <v>2.0099999999999998</v>
      </c>
      <c r="W22" s="35">
        <f t="shared" si="2"/>
        <v>4.0199999999999996</v>
      </c>
      <c r="X22" s="35">
        <f t="shared" si="2"/>
        <v>8.0399999999999991</v>
      </c>
      <c r="Y22" s="35">
        <f t="shared" si="2"/>
        <v>16.079999999999998</v>
      </c>
      <c r="Z22" s="35">
        <f t="shared" si="2"/>
        <v>27.632000000000001</v>
      </c>
      <c r="AA22" s="35">
        <f t="shared" si="2"/>
        <v>49.7408</v>
      </c>
      <c r="AB22" s="35">
        <f t="shared" si="2"/>
        <v>99.4816</v>
      </c>
      <c r="AC22" s="35">
        <f t="shared" si="2"/>
        <v>180.54400000000001</v>
      </c>
      <c r="AD22" s="35">
        <f t="shared" si="2"/>
        <v>324.23935999999998</v>
      </c>
      <c r="AE22" s="35">
        <f t="shared" si="2"/>
        <v>560.04607999999996</v>
      </c>
      <c r="AF22" s="35">
        <f t="shared" si="2"/>
        <v>943.22688000000005</v>
      </c>
    </row>
    <row r="23" spans="1:32">
      <c r="A23">
        <v>21</v>
      </c>
      <c r="B23" s="21" t="s">
        <v>66</v>
      </c>
      <c r="C23" s="23"/>
      <c r="D23" s="22">
        <v>1</v>
      </c>
      <c r="E23" s="24"/>
      <c r="F23" s="21" t="s">
        <v>210</v>
      </c>
      <c r="G23" s="21" t="s">
        <v>23</v>
      </c>
      <c r="H23" s="21" t="s">
        <v>56</v>
      </c>
      <c r="I23" s="21" t="s">
        <v>9</v>
      </c>
      <c r="J23" s="52">
        <v>0.48</v>
      </c>
      <c r="K23" s="52">
        <v>0.4</v>
      </c>
      <c r="L23" s="52">
        <v>0.4</v>
      </c>
      <c r="M23" s="52">
        <v>0.36020000000000002</v>
      </c>
      <c r="N23" s="52">
        <v>0.32050000000000001</v>
      </c>
      <c r="O23" s="52">
        <v>0.32050000000000001</v>
      </c>
      <c r="P23" s="52">
        <v>0.30368000000000001</v>
      </c>
      <c r="Q23" s="52">
        <v>0.30368000000000001</v>
      </c>
      <c r="R23" s="52">
        <v>0.25636999999999999</v>
      </c>
      <c r="S23" s="52">
        <v>0.25636999999999999</v>
      </c>
      <c r="T23" s="52">
        <v>0.25636999999999999</v>
      </c>
      <c r="U23" s="39" t="s">
        <v>249</v>
      </c>
      <c r="V23" s="35">
        <f t="shared" si="0"/>
        <v>0.48</v>
      </c>
      <c r="W23" s="35">
        <f t="shared" si="2"/>
        <v>0.96</v>
      </c>
      <c r="X23" s="35">
        <f t="shared" si="2"/>
        <v>1.92</v>
      </c>
      <c r="Y23" s="35">
        <f t="shared" si="2"/>
        <v>3.84</v>
      </c>
      <c r="Z23" s="35">
        <f t="shared" si="2"/>
        <v>6.4</v>
      </c>
      <c r="AA23" s="35">
        <f t="shared" si="2"/>
        <v>12.8</v>
      </c>
      <c r="AB23" s="35">
        <f t="shared" si="2"/>
        <v>23.052800000000001</v>
      </c>
      <c r="AC23" s="35">
        <f t="shared" si="2"/>
        <v>41.024000000000001</v>
      </c>
      <c r="AD23" s="35">
        <f t="shared" si="2"/>
        <v>82.048000000000002</v>
      </c>
      <c r="AE23" s="35">
        <f t="shared" si="2"/>
        <v>155.48416</v>
      </c>
      <c r="AF23" s="35">
        <f t="shared" si="2"/>
        <v>262.52287999999999</v>
      </c>
    </row>
    <row r="24" spans="1:32">
      <c r="A24">
        <v>22</v>
      </c>
      <c r="B24" s="21" t="s">
        <v>69</v>
      </c>
      <c r="C24" s="23"/>
      <c r="D24" s="22">
        <v>5</v>
      </c>
      <c r="E24" s="24"/>
      <c r="F24" s="21" t="s">
        <v>211</v>
      </c>
      <c r="G24" s="21" t="s">
        <v>86</v>
      </c>
      <c r="H24" s="21" t="s">
        <v>87</v>
      </c>
      <c r="I24" s="21" t="s">
        <v>9</v>
      </c>
      <c r="J24" s="52">
        <v>0.59</v>
      </c>
      <c r="K24" s="52">
        <v>0.55300000000000005</v>
      </c>
      <c r="L24" s="52">
        <v>0.498</v>
      </c>
      <c r="M24" s="52">
        <v>0.44280000000000003</v>
      </c>
      <c r="N24" s="52">
        <v>0.42430000000000001</v>
      </c>
      <c r="O24" s="52">
        <v>0.38740000000000002</v>
      </c>
      <c r="P24" s="52">
        <v>0.36893999999999999</v>
      </c>
      <c r="Q24" s="52">
        <v>0.36893999999999999</v>
      </c>
      <c r="R24" s="52">
        <v>0.36893999999999999</v>
      </c>
      <c r="S24" s="52">
        <v>0.36893999999999999</v>
      </c>
      <c r="T24" s="52">
        <v>0.36893999999999999</v>
      </c>
      <c r="U24" s="39" t="s">
        <v>249</v>
      </c>
      <c r="V24" s="35">
        <f t="shared" si="0"/>
        <v>2.9499999999999997</v>
      </c>
      <c r="W24" s="35">
        <f t="shared" si="2"/>
        <v>5.53</v>
      </c>
      <c r="X24" s="35">
        <f t="shared" si="2"/>
        <v>11.06</v>
      </c>
      <c r="Y24" s="35">
        <f t="shared" si="2"/>
        <v>19.920000000000002</v>
      </c>
      <c r="Z24" s="35">
        <f t="shared" si="2"/>
        <v>35.423999999999999</v>
      </c>
      <c r="AA24" s="35">
        <f t="shared" si="2"/>
        <v>67.888000000000005</v>
      </c>
      <c r="AB24" s="35">
        <f t="shared" si="2"/>
        <v>123.968</v>
      </c>
      <c r="AC24" s="35">
        <f t="shared" si="2"/>
        <v>236.1216</v>
      </c>
      <c r="AD24" s="35">
        <f t="shared" si="2"/>
        <v>472.2432</v>
      </c>
      <c r="AE24" s="35">
        <f t="shared" si="2"/>
        <v>944.4864</v>
      </c>
      <c r="AF24" s="35">
        <f t="shared" si="2"/>
        <v>1888.9728</v>
      </c>
    </row>
    <row r="25" spans="1:32">
      <c r="A25">
        <v>23</v>
      </c>
      <c r="B25" s="21" t="s">
        <v>102</v>
      </c>
      <c r="C25" s="23"/>
      <c r="D25" s="22">
        <v>1</v>
      </c>
      <c r="E25" s="24"/>
      <c r="F25" s="21" t="s">
        <v>105</v>
      </c>
      <c r="G25" s="21" t="s">
        <v>104</v>
      </c>
      <c r="H25" s="21" t="s">
        <v>103</v>
      </c>
      <c r="I25" s="21" t="s">
        <v>9</v>
      </c>
      <c r="J25" s="52">
        <v>0.33</v>
      </c>
      <c r="K25" s="52">
        <v>0.316</v>
      </c>
      <c r="L25" s="52">
        <v>0.2712</v>
      </c>
      <c r="M25" s="52">
        <v>0.2306</v>
      </c>
      <c r="N25" s="52">
        <v>0.2215</v>
      </c>
      <c r="O25" s="52">
        <v>0.19892000000000001</v>
      </c>
      <c r="P25" s="52">
        <v>0.18987999999999999</v>
      </c>
      <c r="Q25" s="52">
        <v>0.18987999999999999</v>
      </c>
      <c r="R25" s="52">
        <v>0.15823999999999999</v>
      </c>
      <c r="S25" s="52">
        <v>0.15823999999999999</v>
      </c>
      <c r="T25" s="52">
        <v>0.15823999999999999</v>
      </c>
      <c r="U25" s="39" t="s">
        <v>249</v>
      </c>
      <c r="V25" s="35">
        <f t="shared" si="0"/>
        <v>0.33</v>
      </c>
      <c r="W25" s="35">
        <f t="shared" si="2"/>
        <v>0.66</v>
      </c>
      <c r="X25" s="35">
        <f t="shared" si="2"/>
        <v>1.32</v>
      </c>
      <c r="Y25" s="35">
        <f t="shared" si="2"/>
        <v>2.64</v>
      </c>
      <c r="Z25" s="35">
        <f t="shared" si="2"/>
        <v>5.056</v>
      </c>
      <c r="AA25" s="35">
        <f t="shared" si="2"/>
        <v>8.6783999999999999</v>
      </c>
      <c r="AB25" s="35">
        <f t="shared" si="2"/>
        <v>14.7584</v>
      </c>
      <c r="AC25" s="35">
        <f t="shared" si="2"/>
        <v>28.352</v>
      </c>
      <c r="AD25" s="35">
        <f t="shared" si="2"/>
        <v>50.923520000000003</v>
      </c>
      <c r="AE25" s="35">
        <f t="shared" si="2"/>
        <v>97.218559999999997</v>
      </c>
      <c r="AF25" s="35">
        <f t="shared" si="2"/>
        <v>162.03775999999999</v>
      </c>
    </row>
    <row r="26" spans="1:32">
      <c r="A26">
        <v>24</v>
      </c>
      <c r="B26" s="21" t="s">
        <v>193</v>
      </c>
      <c r="C26" s="23"/>
      <c r="D26" s="22">
        <v>1</v>
      </c>
      <c r="E26" s="24"/>
      <c r="F26" s="21" t="s">
        <v>194</v>
      </c>
      <c r="G26" s="21" t="s">
        <v>29</v>
      </c>
      <c r="H26" s="21" t="s">
        <v>195</v>
      </c>
      <c r="I26" s="21" t="s">
        <v>9</v>
      </c>
      <c r="J26" s="52">
        <v>0.21</v>
      </c>
      <c r="K26" s="52">
        <v>0.193</v>
      </c>
      <c r="L26" s="52">
        <v>0.13919999999999999</v>
      </c>
      <c r="M26" s="52">
        <v>0.13919999999999999</v>
      </c>
      <c r="N26" s="52">
        <v>0.1082</v>
      </c>
      <c r="O26" s="52">
        <v>6.7960000000000007E-2</v>
      </c>
      <c r="P26" s="52">
        <v>5.79E-2</v>
      </c>
      <c r="Q26" s="52">
        <v>5.79E-2</v>
      </c>
      <c r="R26" s="52">
        <v>3.9449999999999999E-2</v>
      </c>
      <c r="S26" s="52">
        <v>3.9449999999999999E-2</v>
      </c>
      <c r="T26" s="52">
        <v>3.9449999999999999E-2</v>
      </c>
      <c r="U26" s="39" t="s">
        <v>249</v>
      </c>
      <c r="V26" s="35">
        <f t="shared" si="0"/>
        <v>0.21</v>
      </c>
      <c r="W26" s="35">
        <f t="shared" si="2"/>
        <v>0.42</v>
      </c>
      <c r="X26" s="35">
        <f t="shared" si="2"/>
        <v>0.84</v>
      </c>
      <c r="Y26" s="35">
        <f t="shared" si="2"/>
        <v>1.68</v>
      </c>
      <c r="Z26" s="35">
        <f t="shared" si="2"/>
        <v>3.0880000000000001</v>
      </c>
      <c r="AA26" s="35">
        <f t="shared" si="2"/>
        <v>4.4543999999999997</v>
      </c>
      <c r="AB26" s="35">
        <f t="shared" si="2"/>
        <v>8.9087999999999994</v>
      </c>
      <c r="AC26" s="35">
        <f t="shared" si="2"/>
        <v>13.849600000000001</v>
      </c>
      <c r="AD26" s="35">
        <f t="shared" si="2"/>
        <v>17.397760000000002</v>
      </c>
      <c r="AE26" s="35">
        <f t="shared" si="2"/>
        <v>29.6448</v>
      </c>
      <c r="AF26" s="35">
        <f t="shared" si="2"/>
        <v>40.396799999999999</v>
      </c>
    </row>
    <row r="27" spans="1:32">
      <c r="A27">
        <v>25</v>
      </c>
      <c r="B27" s="21" t="s">
        <v>204</v>
      </c>
      <c r="C27" s="23" t="s">
        <v>214</v>
      </c>
      <c r="D27" s="22">
        <v>1</v>
      </c>
      <c r="E27" s="24"/>
      <c r="F27" s="21" t="s">
        <v>209</v>
      </c>
      <c r="G27" s="21" t="s">
        <v>40</v>
      </c>
      <c r="H27" s="21" t="s">
        <v>41</v>
      </c>
      <c r="I27" s="21" t="s">
        <v>9</v>
      </c>
      <c r="J27" s="52">
        <v>5.0199999999999996</v>
      </c>
      <c r="K27" s="52">
        <v>4.5</v>
      </c>
      <c r="L27" s="52">
        <v>4.0460000000000003</v>
      </c>
      <c r="M27" s="52">
        <v>4.0460000000000003</v>
      </c>
      <c r="N27" s="52">
        <v>3.6798000000000002</v>
      </c>
      <c r="O27" s="52">
        <v>3.3310399999999998</v>
      </c>
      <c r="P27" s="52">
        <v>2.98224</v>
      </c>
      <c r="Q27" s="52">
        <v>2.98224</v>
      </c>
      <c r="R27" s="52">
        <v>2.5113599999999998</v>
      </c>
      <c r="S27" s="52">
        <v>2.3892799999999998</v>
      </c>
      <c r="T27" s="52">
        <v>2.3892799999999998</v>
      </c>
      <c r="U27" s="39" t="s">
        <v>249</v>
      </c>
      <c r="V27" s="35">
        <f t="shared" si="0"/>
        <v>5.0199999999999996</v>
      </c>
      <c r="W27" s="35">
        <f t="shared" si="2"/>
        <v>10.039999999999999</v>
      </c>
      <c r="X27" s="35">
        <f t="shared" si="2"/>
        <v>20.079999999999998</v>
      </c>
      <c r="Y27" s="35">
        <f t="shared" si="2"/>
        <v>40.159999999999997</v>
      </c>
      <c r="Z27" s="35">
        <f t="shared" si="2"/>
        <v>72</v>
      </c>
      <c r="AA27" s="35">
        <f t="shared" si="2"/>
        <v>129.47200000000001</v>
      </c>
      <c r="AB27" s="35">
        <f t="shared" si="2"/>
        <v>258.94400000000002</v>
      </c>
      <c r="AC27" s="35">
        <f t="shared" si="2"/>
        <v>471.01440000000002</v>
      </c>
      <c r="AD27" s="35">
        <f t="shared" si="2"/>
        <v>852.74623999999994</v>
      </c>
      <c r="AE27" s="35">
        <f t="shared" si="2"/>
        <v>1526.90688</v>
      </c>
      <c r="AF27" s="35">
        <f t="shared" si="2"/>
        <v>2571.6326399999998</v>
      </c>
    </row>
    <row r="28" spans="1:32">
      <c r="A28">
        <v>26</v>
      </c>
      <c r="B28" s="21" t="s">
        <v>243</v>
      </c>
      <c r="C28" s="23"/>
      <c r="D28" s="22">
        <v>1</v>
      </c>
      <c r="E28" s="24"/>
      <c r="F28" s="21"/>
      <c r="G28" s="21"/>
      <c r="H28" s="21"/>
      <c r="I28" s="21" t="s">
        <v>244</v>
      </c>
      <c r="J28" s="52">
        <f>1.7*1.7*5</f>
        <v>14.45</v>
      </c>
      <c r="K28" s="52">
        <f>J28*4/10</f>
        <v>5.7799999999999994</v>
      </c>
      <c r="L28" s="52">
        <f>J28*9/25</f>
        <v>5.2019999999999991</v>
      </c>
      <c r="M28" s="52">
        <f>J28*17/50</f>
        <v>4.9129999999999994</v>
      </c>
      <c r="N28" s="52">
        <f>J28*34/100</f>
        <v>4.9129999999999994</v>
      </c>
      <c r="O28" s="52">
        <f>686/250</f>
        <v>2.7440000000000002</v>
      </c>
      <c r="P28" s="52">
        <v>1.74</v>
      </c>
      <c r="Q28" s="52">
        <v>1.46</v>
      </c>
      <c r="R28" s="52">
        <v>1.3</v>
      </c>
      <c r="S28" s="52">
        <v>1.3</v>
      </c>
      <c r="T28" s="52">
        <v>1.3</v>
      </c>
      <c r="U28" s="39" t="s">
        <v>249</v>
      </c>
      <c r="V28" s="35">
        <f t="shared" si="0"/>
        <v>14.45</v>
      </c>
      <c r="W28" s="35">
        <f t="shared" si="2"/>
        <v>28.9</v>
      </c>
      <c r="X28" s="35">
        <f t="shared" si="2"/>
        <v>57.8</v>
      </c>
      <c r="Y28" s="35">
        <f t="shared" si="2"/>
        <v>115.6</v>
      </c>
      <c r="Z28" s="35">
        <f t="shared" si="2"/>
        <v>92.47999999999999</v>
      </c>
      <c r="AA28" s="35">
        <f t="shared" si="2"/>
        <v>166.46399999999997</v>
      </c>
      <c r="AB28" s="35">
        <f t="shared" si="2"/>
        <v>314.43199999999996</v>
      </c>
      <c r="AC28" s="35">
        <f t="shared" si="2"/>
        <v>628.86399999999992</v>
      </c>
      <c r="AD28" s="35">
        <f t="shared" si="2"/>
        <v>702.46400000000006</v>
      </c>
      <c r="AE28" s="35">
        <f t="shared" si="2"/>
        <v>890.88</v>
      </c>
      <c r="AF28" s="35">
        <f t="shared" si="2"/>
        <v>1331.2</v>
      </c>
    </row>
    <row r="29" spans="1:32">
      <c r="A29">
        <v>27</v>
      </c>
      <c r="B29" s="21" t="s">
        <v>242</v>
      </c>
      <c r="C29" s="9" t="s">
        <v>212</v>
      </c>
      <c r="D29" s="22"/>
      <c r="E29" s="24"/>
      <c r="F29" s="21"/>
      <c r="G29" s="21" t="s">
        <v>45</v>
      </c>
      <c r="H29" s="21" t="s">
        <v>106</v>
      </c>
      <c r="I29" s="21" t="s">
        <v>9</v>
      </c>
      <c r="J29" s="52">
        <v>8.99</v>
      </c>
      <c r="K29" s="52">
        <v>8.0830000000000002</v>
      </c>
      <c r="L29" s="52">
        <v>7.3516000000000004</v>
      </c>
      <c r="M29" s="52">
        <v>7.3516000000000004</v>
      </c>
      <c r="N29" s="52">
        <v>6.6547999999999998</v>
      </c>
      <c r="O29" s="52">
        <v>6.0973600000000001</v>
      </c>
      <c r="P29" s="52">
        <v>5.5747200000000001</v>
      </c>
      <c r="Q29" s="52">
        <v>5.5747200000000001</v>
      </c>
      <c r="R29" s="52">
        <v>4.8430299999999997</v>
      </c>
      <c r="S29" s="52">
        <v>4.8430299999999997</v>
      </c>
      <c r="T29" s="52">
        <v>4.8430299999999997</v>
      </c>
      <c r="U29" s="38" t="s">
        <v>257</v>
      </c>
      <c r="V29" s="36">
        <f>SUM(V3:V28)/V$2</f>
        <v>50.123999999999995</v>
      </c>
      <c r="W29" s="36">
        <f t="shared" ref="W29:AF29" si="3">SUM(W3:W28)/W$2</f>
        <v>49.938999999999993</v>
      </c>
      <c r="X29" s="36">
        <f t="shared" si="3"/>
        <v>49.33</v>
      </c>
      <c r="Y29" s="36">
        <f t="shared" si="3"/>
        <v>48.375799999999998</v>
      </c>
      <c r="Z29" s="36">
        <f t="shared" si="3"/>
        <v>36.623399999999997</v>
      </c>
      <c r="AA29" s="36">
        <f t="shared" si="3"/>
        <v>33.158499999999997</v>
      </c>
      <c r="AB29" s="36">
        <f t="shared" si="3"/>
        <v>31.449840000000002</v>
      </c>
      <c r="AC29" s="36">
        <f t="shared" si="3"/>
        <v>28.269039999999997</v>
      </c>
      <c r="AD29" s="36">
        <f t="shared" si="3"/>
        <v>24.384059999999998</v>
      </c>
      <c r="AE29" s="36">
        <f t="shared" si="3"/>
        <v>21.675549999999998</v>
      </c>
      <c r="AF29" s="36">
        <f t="shared" si="3"/>
        <v>19.328250000000001</v>
      </c>
    </row>
    <row r="30" spans="1:32">
      <c r="U30" s="38" t="s">
        <v>252</v>
      </c>
      <c r="V30" s="36">
        <f>V29*V$2</f>
        <v>50.123999999999995</v>
      </c>
      <c r="W30" s="36">
        <f t="shared" ref="W30:AF30" si="4">W29*W$2</f>
        <v>99.877999999999986</v>
      </c>
      <c r="X30" s="36">
        <f t="shared" si="4"/>
        <v>197.32</v>
      </c>
      <c r="Y30" s="36">
        <f t="shared" si="4"/>
        <v>387.00639999999999</v>
      </c>
      <c r="Z30" s="36">
        <f t="shared" si="4"/>
        <v>585.97439999999995</v>
      </c>
      <c r="AA30" s="36">
        <f t="shared" si="4"/>
        <v>1061.0719999999999</v>
      </c>
      <c r="AB30" s="36">
        <f t="shared" si="4"/>
        <v>2012.7897600000001</v>
      </c>
      <c r="AC30" s="36">
        <f t="shared" si="4"/>
        <v>3618.4371199999996</v>
      </c>
      <c r="AD30" s="36">
        <f t="shared" si="4"/>
        <v>6242.3193599999995</v>
      </c>
      <c r="AE30" s="36">
        <f t="shared" si="4"/>
        <v>11097.881599999999</v>
      </c>
      <c r="AF30" s="36">
        <f t="shared" si="4"/>
        <v>19792.128000000001</v>
      </c>
    </row>
    <row r="31" spans="1:32"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32">
      <c r="AE32">
        <f>AE24/AE30</f>
        <v>8.5105106906168487E-2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F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0" sqref="A2:I20"/>
    </sheetView>
  </sheetViews>
  <sheetFormatPr defaultColWidth="8.85546875" defaultRowHeight="15"/>
  <cols>
    <col min="1" max="1" width="3.140625" bestFit="1" customWidth="1"/>
    <col min="2" max="2" width="25.42578125" customWidth="1"/>
    <col min="3" max="3" width="17.28515625" customWidth="1"/>
    <col min="4" max="4" width="10.42578125" style="1" customWidth="1"/>
    <col min="5" max="8" width="17.28515625" customWidth="1"/>
    <col min="9" max="9" width="19.42578125" bestFit="1" customWidth="1"/>
    <col min="10" max="20" width="9.28515625" customWidth="1"/>
    <col min="21" max="21" width="25.28515625" bestFit="1" customWidth="1"/>
  </cols>
  <sheetData>
    <row r="1" spans="1:32" s="37" customFormat="1">
      <c r="D1" s="40"/>
      <c r="J1" s="37" t="s">
        <v>203</v>
      </c>
      <c r="V1" s="37" t="s">
        <v>251</v>
      </c>
    </row>
    <row r="2" spans="1:32" s="26" customFormat="1" ht="15.75" thickBot="1">
      <c r="B2" s="26" t="s">
        <v>3</v>
      </c>
      <c r="C2" s="26" t="s">
        <v>107</v>
      </c>
      <c r="D2" s="27" t="s">
        <v>0</v>
      </c>
      <c r="E2" s="28" t="s">
        <v>1</v>
      </c>
      <c r="F2" s="26" t="s">
        <v>2</v>
      </c>
      <c r="G2" s="26" t="s">
        <v>201</v>
      </c>
      <c r="H2" s="26" t="s">
        <v>202</v>
      </c>
      <c r="I2" s="26" t="s">
        <v>91</v>
      </c>
      <c r="J2" s="29">
        <v>1</v>
      </c>
      <c r="K2" s="29">
        <v>10</v>
      </c>
      <c r="L2" s="29">
        <v>25</v>
      </c>
      <c r="M2" s="29">
        <v>50</v>
      </c>
      <c r="N2" s="29">
        <v>100</v>
      </c>
      <c r="O2" s="29">
        <v>250</v>
      </c>
      <c r="P2" s="29">
        <v>500</v>
      </c>
      <c r="Q2" s="29">
        <v>750</v>
      </c>
      <c r="R2" s="29">
        <v>1000</v>
      </c>
      <c r="S2" s="29">
        <v>2500</v>
      </c>
      <c r="T2" s="29">
        <v>5000</v>
      </c>
      <c r="U2" s="38" t="s">
        <v>250</v>
      </c>
      <c r="V2" s="31">
        <f>Modules!D18</f>
        <v>1</v>
      </c>
      <c r="W2" s="31">
        <f>Modules!E18</f>
        <v>2</v>
      </c>
      <c r="X2" s="31">
        <f>Modules!F18</f>
        <v>4</v>
      </c>
      <c r="Y2" s="31">
        <f>Modules!G18</f>
        <v>8</v>
      </c>
      <c r="Z2" s="31">
        <f>Modules!H18</f>
        <v>16</v>
      </c>
      <c r="AA2" s="31">
        <f>Modules!I18</f>
        <v>32</v>
      </c>
      <c r="AB2" s="31">
        <f>Modules!J18</f>
        <v>64</v>
      </c>
      <c r="AC2" s="31">
        <f>Modules!K18</f>
        <v>128</v>
      </c>
      <c r="AD2" s="31">
        <f>Modules!L18</f>
        <v>256</v>
      </c>
      <c r="AE2" s="31">
        <f>Modules!M18</f>
        <v>512</v>
      </c>
      <c r="AF2" s="31">
        <f>Modules!N18</f>
        <v>1024</v>
      </c>
    </row>
    <row r="3" spans="1:32" ht="15.75" thickTop="1">
      <c r="A3">
        <v>1</v>
      </c>
      <c r="B3" s="7" t="s">
        <v>12</v>
      </c>
      <c r="C3" s="7" t="s">
        <v>134</v>
      </c>
      <c r="D3" s="10">
        <v>1</v>
      </c>
      <c r="E3" s="7" t="s">
        <v>196</v>
      </c>
      <c r="F3" s="7" t="s">
        <v>135</v>
      </c>
      <c r="G3" s="7" t="s">
        <v>95</v>
      </c>
      <c r="H3" s="7" t="s">
        <v>197</v>
      </c>
      <c r="I3" s="7" t="s">
        <v>9</v>
      </c>
      <c r="J3" s="52">
        <v>0.59</v>
      </c>
      <c r="K3" s="52">
        <v>0.59</v>
      </c>
      <c r="L3" s="52">
        <v>0.59</v>
      </c>
      <c r="M3" s="52">
        <v>0.24160000000000001</v>
      </c>
      <c r="N3" s="52">
        <v>0.19950000000000001</v>
      </c>
      <c r="O3" s="52">
        <v>0.15751999999999999</v>
      </c>
      <c r="P3" s="52">
        <v>0.13439999999999999</v>
      </c>
      <c r="Q3" s="52">
        <v>0.13439999999999999</v>
      </c>
      <c r="R3" s="52">
        <v>0.1008</v>
      </c>
      <c r="S3" s="52">
        <v>0.1008</v>
      </c>
      <c r="T3" s="52">
        <v>7.5600000000000001E-2</v>
      </c>
      <c r="U3" s="39" t="s">
        <v>249</v>
      </c>
      <c r="V3" s="35">
        <f t="shared" ref="V3:V20" si="0">HLOOKUP($D3*V$2,$J$2:$T$20,$A3+1,TRUE)*$D3*V$2</f>
        <v>0.59</v>
      </c>
      <c r="W3" s="35">
        <f t="shared" ref="W3:AF18" si="1">HLOOKUP($D3*W$2,$J$2:$T$20,$A3+1,TRUE)*$D3*W$2</f>
        <v>1.18</v>
      </c>
      <c r="X3" s="35">
        <f t="shared" si="1"/>
        <v>2.36</v>
      </c>
      <c r="Y3" s="35">
        <f t="shared" si="1"/>
        <v>4.72</v>
      </c>
      <c r="Z3" s="35">
        <f t="shared" si="1"/>
        <v>9.44</v>
      </c>
      <c r="AA3" s="35">
        <f t="shared" si="1"/>
        <v>18.88</v>
      </c>
      <c r="AB3" s="35">
        <f t="shared" si="1"/>
        <v>15.462400000000001</v>
      </c>
      <c r="AC3" s="35">
        <f t="shared" si="1"/>
        <v>25.536000000000001</v>
      </c>
      <c r="AD3" s="35">
        <f t="shared" si="1"/>
        <v>40.325119999999998</v>
      </c>
      <c r="AE3" s="35">
        <f t="shared" si="1"/>
        <v>68.812799999999996</v>
      </c>
      <c r="AF3" s="35">
        <f t="shared" si="1"/>
        <v>103.2192</v>
      </c>
    </row>
    <row r="4" spans="1:32">
      <c r="A4">
        <v>2</v>
      </c>
      <c r="B4" s="7" t="s">
        <v>12</v>
      </c>
      <c r="C4" s="7" t="s">
        <v>134</v>
      </c>
      <c r="D4" s="10">
        <v>1</v>
      </c>
      <c r="E4" s="7" t="s">
        <v>139</v>
      </c>
      <c r="F4" s="7" t="s">
        <v>140</v>
      </c>
      <c r="G4" s="7" t="s">
        <v>13</v>
      </c>
      <c r="H4" s="7" t="s">
        <v>17</v>
      </c>
      <c r="I4" s="7" t="s">
        <v>9</v>
      </c>
      <c r="J4" s="52">
        <v>0.1</v>
      </c>
      <c r="K4" s="52">
        <v>1.2999999999999999E-2</v>
      </c>
      <c r="L4" s="52">
        <v>9.1999999999999998E-3</v>
      </c>
      <c r="M4" s="52">
        <v>9.1999999999999998E-3</v>
      </c>
      <c r="N4" s="52">
        <v>5.1999999999999998E-3</v>
      </c>
      <c r="O4" s="52">
        <v>3.96E-3</v>
      </c>
      <c r="P4" s="52">
        <v>3.16E-3</v>
      </c>
      <c r="Q4" s="52">
        <v>3.16E-3</v>
      </c>
      <c r="R4" s="52">
        <v>2.33E-3</v>
      </c>
      <c r="S4" s="52">
        <v>2.33E-3</v>
      </c>
      <c r="T4" s="52">
        <v>1.67E-3</v>
      </c>
      <c r="U4" s="39" t="s">
        <v>249</v>
      </c>
      <c r="V4" s="35">
        <f t="shared" si="0"/>
        <v>0.1</v>
      </c>
      <c r="W4" s="35">
        <f t="shared" si="1"/>
        <v>0.2</v>
      </c>
      <c r="X4" s="35">
        <f t="shared" si="1"/>
        <v>0.4</v>
      </c>
      <c r="Y4" s="35">
        <f t="shared" si="1"/>
        <v>0.8</v>
      </c>
      <c r="Z4" s="35">
        <f t="shared" si="1"/>
        <v>0.20799999999999999</v>
      </c>
      <c r="AA4" s="35">
        <f t="shared" si="1"/>
        <v>0.2944</v>
      </c>
      <c r="AB4" s="35">
        <f t="shared" si="1"/>
        <v>0.58879999999999999</v>
      </c>
      <c r="AC4" s="35">
        <f t="shared" si="1"/>
        <v>0.66559999999999997</v>
      </c>
      <c r="AD4" s="35">
        <f t="shared" si="1"/>
        <v>1.01376</v>
      </c>
      <c r="AE4" s="35">
        <f t="shared" si="1"/>
        <v>1.61792</v>
      </c>
      <c r="AF4" s="35">
        <f t="shared" si="1"/>
        <v>2.38592</v>
      </c>
    </row>
    <row r="5" spans="1:32">
      <c r="A5">
        <v>3</v>
      </c>
      <c r="B5" s="7" t="s">
        <v>12</v>
      </c>
      <c r="C5" s="7" t="s">
        <v>134</v>
      </c>
      <c r="D5" s="10">
        <v>2</v>
      </c>
      <c r="E5" s="7" t="s">
        <v>141</v>
      </c>
      <c r="F5" s="7" t="s">
        <v>142</v>
      </c>
      <c r="G5" s="7" t="s">
        <v>96</v>
      </c>
      <c r="H5" s="7" t="s">
        <v>143</v>
      </c>
      <c r="I5" s="7" t="s">
        <v>9</v>
      </c>
      <c r="J5" s="52">
        <v>0.02</v>
      </c>
      <c r="K5" s="52">
        <v>1.7000000000000001E-2</v>
      </c>
      <c r="L5" s="52">
        <v>1.7000000000000001E-2</v>
      </c>
      <c r="M5" s="52">
        <v>9.1999999999999998E-3</v>
      </c>
      <c r="N5" s="52">
        <v>7.0000000000000001E-3</v>
      </c>
      <c r="O5" s="52">
        <v>5.1999999999999998E-3</v>
      </c>
      <c r="P5" s="52">
        <v>3.8400000000000001E-3</v>
      </c>
      <c r="Q5" s="52">
        <v>3.8400000000000001E-3</v>
      </c>
      <c r="R5" s="52">
        <v>2.5600000000000002E-3</v>
      </c>
      <c r="S5" s="52">
        <v>2.16E-3</v>
      </c>
      <c r="T5" s="52">
        <v>1.8E-3</v>
      </c>
      <c r="U5" s="39" t="s">
        <v>249</v>
      </c>
      <c r="V5" s="35">
        <f t="shared" si="0"/>
        <v>0.04</v>
      </c>
      <c r="W5" s="35">
        <f t="shared" si="1"/>
        <v>0.08</v>
      </c>
      <c r="X5" s="35">
        <f t="shared" si="1"/>
        <v>0.16</v>
      </c>
      <c r="Y5" s="35">
        <f t="shared" si="1"/>
        <v>0.27200000000000002</v>
      </c>
      <c r="Z5" s="35">
        <f t="shared" si="1"/>
        <v>0.54400000000000004</v>
      </c>
      <c r="AA5" s="35">
        <f t="shared" si="1"/>
        <v>0.58879999999999999</v>
      </c>
      <c r="AB5" s="35">
        <f t="shared" si="1"/>
        <v>0.89600000000000002</v>
      </c>
      <c r="AC5" s="35">
        <f t="shared" si="1"/>
        <v>1.3311999999999999</v>
      </c>
      <c r="AD5" s="35">
        <f t="shared" si="1"/>
        <v>1.96608</v>
      </c>
      <c r="AE5" s="35">
        <f t="shared" si="1"/>
        <v>2.6214400000000002</v>
      </c>
      <c r="AF5" s="35">
        <f t="shared" si="1"/>
        <v>5.2428800000000004</v>
      </c>
    </row>
    <row r="6" spans="1:32">
      <c r="A6">
        <v>4</v>
      </c>
      <c r="B6" s="7" t="s">
        <v>12</v>
      </c>
      <c r="C6" s="7" t="s">
        <v>134</v>
      </c>
      <c r="D6" s="34">
        <v>3</v>
      </c>
      <c r="E6" s="20" t="s">
        <v>153</v>
      </c>
      <c r="F6" s="20" t="s">
        <v>216</v>
      </c>
      <c r="G6" s="7" t="s">
        <v>93</v>
      </c>
      <c r="H6" s="7" t="s">
        <v>154</v>
      </c>
      <c r="I6" s="7" t="s">
        <v>9</v>
      </c>
      <c r="J6" s="52">
        <v>0.1</v>
      </c>
      <c r="K6" s="52">
        <v>7.9000000000000001E-2</v>
      </c>
      <c r="L6" s="52">
        <v>7.9000000000000001E-2</v>
      </c>
      <c r="M6" s="52">
        <v>4.3400000000000001E-2</v>
      </c>
      <c r="N6" s="52">
        <v>3.2099999999999997E-2</v>
      </c>
      <c r="O6" s="52">
        <v>2.444E-2</v>
      </c>
      <c r="P6" s="52">
        <v>1.9560000000000001E-2</v>
      </c>
      <c r="Q6" s="52">
        <v>1.9560000000000001E-2</v>
      </c>
      <c r="R6" s="52">
        <v>1.44E-2</v>
      </c>
      <c r="S6" s="52">
        <v>1.2500000000000001E-2</v>
      </c>
      <c r="T6" s="52">
        <v>1.0319999999999999E-2</v>
      </c>
      <c r="U6" s="39" t="s">
        <v>249</v>
      </c>
      <c r="V6" s="35">
        <f t="shared" si="0"/>
        <v>0.30000000000000004</v>
      </c>
      <c r="W6" s="35">
        <f t="shared" si="1"/>
        <v>0.60000000000000009</v>
      </c>
      <c r="X6" s="35">
        <f t="shared" si="1"/>
        <v>0.94799999999999995</v>
      </c>
      <c r="Y6" s="35">
        <f t="shared" si="1"/>
        <v>1.8959999999999999</v>
      </c>
      <c r="Z6" s="35">
        <f t="shared" si="1"/>
        <v>3.7919999999999998</v>
      </c>
      <c r="AA6" s="35">
        <f t="shared" si="1"/>
        <v>4.1664000000000003</v>
      </c>
      <c r="AB6" s="35">
        <f t="shared" si="1"/>
        <v>6.1631999999999998</v>
      </c>
      <c r="AC6" s="35">
        <f t="shared" si="1"/>
        <v>9.3849599999999995</v>
      </c>
      <c r="AD6" s="35">
        <f t="shared" si="1"/>
        <v>15.022080000000001</v>
      </c>
      <c r="AE6" s="35">
        <f t="shared" si="1"/>
        <v>22.118400000000001</v>
      </c>
      <c r="AF6" s="35">
        <f t="shared" si="1"/>
        <v>38.400000000000006</v>
      </c>
    </row>
    <row r="7" spans="1:32">
      <c r="A7">
        <v>5</v>
      </c>
      <c r="B7" s="7" t="s">
        <v>12</v>
      </c>
      <c r="C7" s="7" t="s">
        <v>134</v>
      </c>
      <c r="D7" s="34">
        <v>2</v>
      </c>
      <c r="E7" s="20" t="s">
        <v>147</v>
      </c>
      <c r="F7" s="20" t="s">
        <v>16</v>
      </c>
      <c r="G7" s="7" t="s">
        <v>93</v>
      </c>
      <c r="H7" s="7" t="s">
        <v>148</v>
      </c>
      <c r="I7" s="7" t="s">
        <v>9</v>
      </c>
      <c r="J7" s="52">
        <v>0.1</v>
      </c>
      <c r="K7" s="52">
        <v>7.9000000000000001E-2</v>
      </c>
      <c r="L7" s="52">
        <v>7.9000000000000001E-2</v>
      </c>
      <c r="M7" s="52">
        <v>4.3400000000000001E-2</v>
      </c>
      <c r="N7" s="52">
        <v>3.2099999999999997E-2</v>
      </c>
      <c r="O7" s="52">
        <v>2.444E-2</v>
      </c>
      <c r="P7" s="52">
        <v>1.9560000000000001E-2</v>
      </c>
      <c r="Q7" s="52">
        <v>1.9560000000000001E-2</v>
      </c>
      <c r="R7" s="52">
        <v>1.44E-2</v>
      </c>
      <c r="S7" s="52">
        <v>1.2500000000000001E-2</v>
      </c>
      <c r="T7" s="52">
        <v>1.0319999999999999E-2</v>
      </c>
      <c r="U7" s="39" t="s">
        <v>249</v>
      </c>
      <c r="V7" s="35">
        <f t="shared" si="0"/>
        <v>0.2</v>
      </c>
      <c r="W7" s="35">
        <f t="shared" si="1"/>
        <v>0.4</v>
      </c>
      <c r="X7" s="35">
        <f t="shared" si="1"/>
        <v>0.8</v>
      </c>
      <c r="Y7" s="35">
        <f t="shared" si="1"/>
        <v>1.264</v>
      </c>
      <c r="Z7" s="35">
        <f t="shared" si="1"/>
        <v>2.528</v>
      </c>
      <c r="AA7" s="35">
        <f t="shared" si="1"/>
        <v>2.7776000000000001</v>
      </c>
      <c r="AB7" s="35">
        <f t="shared" si="1"/>
        <v>4.1087999999999996</v>
      </c>
      <c r="AC7" s="35">
        <f t="shared" si="1"/>
        <v>6.25664</v>
      </c>
      <c r="AD7" s="35">
        <f t="shared" si="1"/>
        <v>10.014720000000001</v>
      </c>
      <c r="AE7" s="35">
        <f t="shared" si="1"/>
        <v>14.7456</v>
      </c>
      <c r="AF7" s="35">
        <f t="shared" si="1"/>
        <v>29.491199999999999</v>
      </c>
    </row>
    <row r="8" spans="1:32">
      <c r="A8">
        <v>6</v>
      </c>
      <c r="B8" s="7" t="s">
        <v>12</v>
      </c>
      <c r="C8" s="7" t="s">
        <v>134</v>
      </c>
      <c r="D8" s="10">
        <v>1</v>
      </c>
      <c r="E8" s="7" t="s">
        <v>159</v>
      </c>
      <c r="F8" s="7" t="s">
        <v>36</v>
      </c>
      <c r="G8" s="7" t="s">
        <v>86</v>
      </c>
      <c r="H8" s="7" t="s">
        <v>218</v>
      </c>
      <c r="I8" s="7" t="s">
        <v>9</v>
      </c>
      <c r="J8" s="52">
        <v>0.72</v>
      </c>
      <c r="K8" s="52">
        <v>0.51300000000000001</v>
      </c>
      <c r="L8" s="52">
        <v>0.4</v>
      </c>
      <c r="M8" s="52">
        <v>0.33839999999999998</v>
      </c>
      <c r="N8" s="52">
        <v>0.26669999999999999</v>
      </c>
      <c r="O8" s="52">
        <v>0.22564000000000001</v>
      </c>
      <c r="P8" s="52">
        <v>0.18462000000000001</v>
      </c>
      <c r="Q8" s="52">
        <v>0.18462000000000001</v>
      </c>
      <c r="R8" s="52">
        <v>0.18462000000000001</v>
      </c>
      <c r="S8" s="52">
        <v>0.18462000000000001</v>
      </c>
      <c r="T8" s="52">
        <v>0.18462000000000001</v>
      </c>
      <c r="U8" s="39" t="s">
        <v>249</v>
      </c>
      <c r="V8" s="35">
        <f t="shared" si="0"/>
        <v>0.72</v>
      </c>
      <c r="W8" s="35">
        <f t="shared" si="1"/>
        <v>1.44</v>
      </c>
      <c r="X8" s="35">
        <f t="shared" si="1"/>
        <v>2.88</v>
      </c>
      <c r="Y8" s="35">
        <f t="shared" si="1"/>
        <v>5.76</v>
      </c>
      <c r="Z8" s="35">
        <f t="shared" si="1"/>
        <v>8.2080000000000002</v>
      </c>
      <c r="AA8" s="35">
        <f t="shared" si="1"/>
        <v>12.8</v>
      </c>
      <c r="AB8" s="35">
        <f t="shared" si="1"/>
        <v>21.657599999999999</v>
      </c>
      <c r="AC8" s="35">
        <f t="shared" si="1"/>
        <v>34.137599999999999</v>
      </c>
      <c r="AD8" s="35">
        <f t="shared" si="1"/>
        <v>57.763840000000002</v>
      </c>
      <c r="AE8" s="35">
        <f t="shared" si="1"/>
        <v>94.525440000000003</v>
      </c>
      <c r="AF8" s="35">
        <f t="shared" si="1"/>
        <v>189.05088000000001</v>
      </c>
    </row>
    <row r="9" spans="1:32">
      <c r="A9">
        <v>7</v>
      </c>
      <c r="B9" s="7" t="s">
        <v>65</v>
      </c>
      <c r="C9" s="7" t="s">
        <v>169</v>
      </c>
      <c r="D9" s="10">
        <v>1</v>
      </c>
      <c r="E9" s="7" t="s">
        <v>182</v>
      </c>
      <c r="F9" s="7" t="s">
        <v>131</v>
      </c>
      <c r="G9" s="7" t="s">
        <v>95</v>
      </c>
      <c r="H9" s="7" t="s">
        <v>170</v>
      </c>
      <c r="I9" s="7" t="s">
        <v>9</v>
      </c>
      <c r="J9" s="52">
        <v>0.2</v>
      </c>
      <c r="K9" s="52">
        <v>0.2</v>
      </c>
      <c r="L9" s="52">
        <v>0.2</v>
      </c>
      <c r="M9" s="52">
        <v>7.8200000000000006E-2</v>
      </c>
      <c r="N9" s="52">
        <v>5.9499999999999997E-2</v>
      </c>
      <c r="O9" s="52">
        <v>4.4200000000000003E-2</v>
      </c>
      <c r="P9" s="52">
        <v>3.2640000000000002E-2</v>
      </c>
      <c r="Q9" s="52">
        <v>3.2640000000000002E-2</v>
      </c>
      <c r="R9" s="52">
        <v>2.1760000000000002E-2</v>
      </c>
      <c r="S9" s="52">
        <v>2.1760000000000002E-2</v>
      </c>
      <c r="T9" s="52">
        <v>1.5299999999999999E-2</v>
      </c>
      <c r="U9" s="39" t="s">
        <v>249</v>
      </c>
      <c r="V9" s="35">
        <f t="shared" si="0"/>
        <v>0.2</v>
      </c>
      <c r="W9" s="35">
        <f t="shared" si="1"/>
        <v>0.4</v>
      </c>
      <c r="X9" s="35">
        <f t="shared" si="1"/>
        <v>0.8</v>
      </c>
      <c r="Y9" s="35">
        <f t="shared" si="1"/>
        <v>1.6</v>
      </c>
      <c r="Z9" s="35">
        <f t="shared" si="1"/>
        <v>3.2</v>
      </c>
      <c r="AA9" s="35">
        <f t="shared" si="1"/>
        <v>6.4</v>
      </c>
      <c r="AB9" s="35">
        <f t="shared" si="1"/>
        <v>5.0048000000000004</v>
      </c>
      <c r="AC9" s="35">
        <f t="shared" si="1"/>
        <v>7.6159999999999997</v>
      </c>
      <c r="AD9" s="35">
        <f t="shared" si="1"/>
        <v>11.315200000000001</v>
      </c>
      <c r="AE9" s="35">
        <f t="shared" si="1"/>
        <v>16.711680000000001</v>
      </c>
      <c r="AF9" s="35">
        <f t="shared" si="1"/>
        <v>22.282240000000002</v>
      </c>
    </row>
    <row r="10" spans="1:32">
      <c r="A10">
        <v>8</v>
      </c>
      <c r="B10" s="7" t="s">
        <v>6</v>
      </c>
      <c r="C10" s="7" t="s">
        <v>150</v>
      </c>
      <c r="D10" s="10">
        <v>2</v>
      </c>
      <c r="E10" s="7" t="s">
        <v>149</v>
      </c>
      <c r="F10" s="7" t="s">
        <v>151</v>
      </c>
      <c r="G10" s="7" t="s">
        <v>129</v>
      </c>
      <c r="H10" s="7" t="s">
        <v>152</v>
      </c>
      <c r="I10" s="7" t="s">
        <v>9</v>
      </c>
      <c r="J10" s="52">
        <v>0.21</v>
      </c>
      <c r="K10" s="52">
        <v>0.14000000000000001</v>
      </c>
      <c r="L10" s="52">
        <v>0.14000000000000001</v>
      </c>
      <c r="M10" s="52">
        <v>8.5000000000000006E-2</v>
      </c>
      <c r="N10" s="52">
        <v>7.1400000000000005E-2</v>
      </c>
      <c r="O10" s="52">
        <v>5.7799999999999997E-2</v>
      </c>
      <c r="P10" s="52">
        <v>5.0999999999999997E-2</v>
      </c>
      <c r="Q10" s="52">
        <v>5.0999999999999997E-2</v>
      </c>
      <c r="R10" s="52">
        <v>4.335E-2</v>
      </c>
      <c r="S10" s="52">
        <v>4.335E-2</v>
      </c>
      <c r="T10" s="52">
        <v>4.335E-2</v>
      </c>
      <c r="U10" s="39" t="s">
        <v>249</v>
      </c>
      <c r="V10" s="35">
        <f t="shared" si="0"/>
        <v>0.42</v>
      </c>
      <c r="W10" s="35">
        <f t="shared" si="1"/>
        <v>0.84</v>
      </c>
      <c r="X10" s="35">
        <f t="shared" si="1"/>
        <v>1.68</v>
      </c>
      <c r="Y10" s="35">
        <f t="shared" si="1"/>
        <v>2.2400000000000002</v>
      </c>
      <c r="Z10" s="35">
        <f t="shared" si="1"/>
        <v>4.4800000000000004</v>
      </c>
      <c r="AA10" s="35">
        <f t="shared" si="1"/>
        <v>5.44</v>
      </c>
      <c r="AB10" s="35">
        <f t="shared" si="1"/>
        <v>9.1392000000000007</v>
      </c>
      <c r="AC10" s="35">
        <f t="shared" si="1"/>
        <v>14.796799999999999</v>
      </c>
      <c r="AD10" s="35">
        <f t="shared" si="1"/>
        <v>26.111999999999998</v>
      </c>
      <c r="AE10" s="35">
        <f t="shared" si="1"/>
        <v>44.3904</v>
      </c>
      <c r="AF10" s="35">
        <f t="shared" si="1"/>
        <v>88.780799999999999</v>
      </c>
    </row>
    <row r="11" spans="1:32">
      <c r="A11">
        <v>9</v>
      </c>
      <c r="B11" s="7" t="s">
        <v>6</v>
      </c>
      <c r="C11" s="7" t="s">
        <v>137</v>
      </c>
      <c r="D11" s="10">
        <v>3</v>
      </c>
      <c r="E11" s="7" t="s">
        <v>136</v>
      </c>
      <c r="F11" s="7" t="s">
        <v>138</v>
      </c>
      <c r="G11" s="7" t="s">
        <v>23</v>
      </c>
      <c r="H11" s="7" t="s">
        <v>35</v>
      </c>
      <c r="I11" s="7" t="s">
        <v>9</v>
      </c>
      <c r="J11" s="52">
        <v>0.1</v>
      </c>
      <c r="K11" s="52">
        <v>1.7000000000000001E-2</v>
      </c>
      <c r="L11" s="52">
        <v>1.7000000000000001E-2</v>
      </c>
      <c r="M11" s="52">
        <v>9.1999999999999998E-3</v>
      </c>
      <c r="N11" s="52">
        <v>7.7000000000000002E-3</v>
      </c>
      <c r="O11" s="52">
        <v>6.3200000000000001E-3</v>
      </c>
      <c r="P11" s="52">
        <v>5.4000000000000003E-3</v>
      </c>
      <c r="Q11" s="52">
        <v>5.4000000000000003E-3</v>
      </c>
      <c r="R11" s="52">
        <v>4.1999999999999997E-3</v>
      </c>
      <c r="S11" s="52">
        <v>4.1999999999999997E-3</v>
      </c>
      <c r="T11" s="52">
        <v>3.5000000000000001E-3</v>
      </c>
      <c r="U11" s="39" t="s">
        <v>249</v>
      </c>
      <c r="V11" s="35">
        <f t="shared" si="0"/>
        <v>0.30000000000000004</v>
      </c>
      <c r="W11" s="35">
        <f t="shared" si="1"/>
        <v>0.60000000000000009</v>
      </c>
      <c r="X11" s="35">
        <f t="shared" si="1"/>
        <v>0.20400000000000001</v>
      </c>
      <c r="Y11" s="35">
        <f t="shared" si="1"/>
        <v>0.40800000000000003</v>
      </c>
      <c r="Z11" s="35">
        <f t="shared" si="1"/>
        <v>0.81600000000000006</v>
      </c>
      <c r="AA11" s="35">
        <f t="shared" si="1"/>
        <v>0.88319999999999999</v>
      </c>
      <c r="AB11" s="35">
        <f t="shared" si="1"/>
        <v>1.4784000000000002</v>
      </c>
      <c r="AC11" s="35">
        <f t="shared" si="1"/>
        <v>2.4268800000000001</v>
      </c>
      <c r="AD11" s="35">
        <f t="shared" si="1"/>
        <v>4.1471999999999998</v>
      </c>
      <c r="AE11" s="35">
        <f t="shared" si="1"/>
        <v>6.4512</v>
      </c>
      <c r="AF11" s="35">
        <f t="shared" si="1"/>
        <v>12.9024</v>
      </c>
    </row>
    <row r="12" spans="1:32">
      <c r="A12">
        <v>10</v>
      </c>
      <c r="B12" s="7" t="s">
        <v>6</v>
      </c>
      <c r="C12" s="7" t="s">
        <v>144</v>
      </c>
      <c r="D12" s="10">
        <v>1</v>
      </c>
      <c r="E12" s="7" t="s">
        <v>21</v>
      </c>
      <c r="F12" s="7" t="s">
        <v>145</v>
      </c>
      <c r="G12" s="7" t="s">
        <v>146</v>
      </c>
      <c r="H12" s="7" t="s">
        <v>219</v>
      </c>
      <c r="I12" s="7" t="s">
        <v>9</v>
      </c>
      <c r="J12" s="52">
        <v>0.24</v>
      </c>
      <c r="K12" s="52">
        <v>0.16500000000000001</v>
      </c>
      <c r="L12" s="52">
        <v>0.16500000000000001</v>
      </c>
      <c r="M12" s="52">
        <v>0.16500000000000001</v>
      </c>
      <c r="N12" s="52">
        <v>8.4000000000000005E-2</v>
      </c>
      <c r="O12" s="52">
        <v>6.8000000000000005E-2</v>
      </c>
      <c r="P12" s="52">
        <v>0.06</v>
      </c>
      <c r="Q12" s="52">
        <v>0.06</v>
      </c>
      <c r="R12" s="52">
        <v>5.0999999999999997E-2</v>
      </c>
      <c r="S12" s="52">
        <v>5.0999999999999997E-2</v>
      </c>
      <c r="T12" s="52">
        <v>5.0999999999999997E-2</v>
      </c>
      <c r="U12" s="39" t="s">
        <v>249</v>
      </c>
      <c r="V12" s="35">
        <f t="shared" si="0"/>
        <v>0.24</v>
      </c>
      <c r="W12" s="35">
        <f t="shared" si="1"/>
        <v>0.48</v>
      </c>
      <c r="X12" s="35">
        <f t="shared" si="1"/>
        <v>0.96</v>
      </c>
      <c r="Y12" s="35">
        <f t="shared" si="1"/>
        <v>1.92</v>
      </c>
      <c r="Z12" s="35">
        <f t="shared" si="1"/>
        <v>2.64</v>
      </c>
      <c r="AA12" s="35">
        <f t="shared" si="1"/>
        <v>5.28</v>
      </c>
      <c r="AB12" s="35">
        <f t="shared" si="1"/>
        <v>10.56</v>
      </c>
      <c r="AC12" s="35">
        <f t="shared" si="1"/>
        <v>10.752000000000001</v>
      </c>
      <c r="AD12" s="35">
        <f t="shared" si="1"/>
        <v>17.408000000000001</v>
      </c>
      <c r="AE12" s="35">
        <f t="shared" si="1"/>
        <v>30.72</v>
      </c>
      <c r="AF12" s="35">
        <f t="shared" si="1"/>
        <v>52.223999999999997</v>
      </c>
    </row>
    <row r="13" spans="1:32">
      <c r="A13">
        <v>11</v>
      </c>
      <c r="B13" s="7" t="s">
        <v>178</v>
      </c>
      <c r="C13" s="7" t="s">
        <v>156</v>
      </c>
      <c r="D13" s="10">
        <v>1</v>
      </c>
      <c r="E13" s="7" t="s">
        <v>155</v>
      </c>
      <c r="F13" s="7" t="s">
        <v>157</v>
      </c>
      <c r="G13" s="7" t="s">
        <v>129</v>
      </c>
      <c r="H13" s="7" t="s">
        <v>158</v>
      </c>
      <c r="I13" s="7" t="s">
        <v>9</v>
      </c>
      <c r="J13" s="52">
        <v>0.23</v>
      </c>
      <c r="K13" s="52">
        <v>0.21199999999999999</v>
      </c>
      <c r="L13" s="52">
        <v>0.21199999999999999</v>
      </c>
      <c r="M13" s="52">
        <v>0.1988</v>
      </c>
      <c r="N13" s="52">
        <v>0.1855</v>
      </c>
      <c r="O13" s="52">
        <v>0.1855</v>
      </c>
      <c r="P13" s="52">
        <v>0.14576</v>
      </c>
      <c r="Q13" s="52">
        <v>0.14576</v>
      </c>
      <c r="R13" s="52">
        <v>0.14576</v>
      </c>
      <c r="S13" s="52">
        <v>0.14576</v>
      </c>
      <c r="T13" s="52">
        <v>0.14576</v>
      </c>
      <c r="U13" s="39" t="s">
        <v>249</v>
      </c>
      <c r="V13" s="35">
        <f t="shared" si="0"/>
        <v>0.23</v>
      </c>
      <c r="W13" s="35">
        <f t="shared" si="1"/>
        <v>0.46</v>
      </c>
      <c r="X13" s="35">
        <f t="shared" si="1"/>
        <v>0.92</v>
      </c>
      <c r="Y13" s="35">
        <f t="shared" si="1"/>
        <v>1.84</v>
      </c>
      <c r="Z13" s="35">
        <f t="shared" si="1"/>
        <v>3.3919999999999999</v>
      </c>
      <c r="AA13" s="35">
        <f t="shared" si="1"/>
        <v>6.7839999999999998</v>
      </c>
      <c r="AB13" s="35">
        <f t="shared" si="1"/>
        <v>12.7232</v>
      </c>
      <c r="AC13" s="35">
        <f t="shared" si="1"/>
        <v>23.744</v>
      </c>
      <c r="AD13" s="35">
        <f t="shared" si="1"/>
        <v>47.488</v>
      </c>
      <c r="AE13" s="35">
        <f t="shared" si="1"/>
        <v>74.62912</v>
      </c>
      <c r="AF13" s="35">
        <f t="shared" si="1"/>
        <v>149.25824</v>
      </c>
    </row>
    <row r="14" spans="1:32">
      <c r="A14">
        <v>12</v>
      </c>
      <c r="B14" s="7" t="s">
        <v>177</v>
      </c>
      <c r="C14" s="7" t="s">
        <v>160</v>
      </c>
      <c r="D14" s="10">
        <v>1</v>
      </c>
      <c r="E14" s="7"/>
      <c r="F14" s="7" t="s">
        <v>161</v>
      </c>
      <c r="G14" s="7" t="s">
        <v>42</v>
      </c>
      <c r="H14" s="7" t="s">
        <v>162</v>
      </c>
      <c r="I14" s="7" t="s">
        <v>9</v>
      </c>
      <c r="J14" s="52">
        <v>6.97</v>
      </c>
      <c r="K14" s="52">
        <v>6.2640000000000002</v>
      </c>
      <c r="L14" s="52">
        <v>5.6971999999999996</v>
      </c>
      <c r="M14" s="52">
        <v>5.6971999999999996</v>
      </c>
      <c r="N14" s="52">
        <v>5.157</v>
      </c>
      <c r="O14" s="52">
        <v>4.7249999999999996</v>
      </c>
      <c r="P14" s="52">
        <v>4.32</v>
      </c>
      <c r="Q14" s="52">
        <v>3.9689999999999999</v>
      </c>
      <c r="R14" s="52">
        <v>3.375</v>
      </c>
      <c r="S14" s="52">
        <v>3.375</v>
      </c>
      <c r="T14" s="52">
        <v>3.375</v>
      </c>
      <c r="U14" s="39" t="s">
        <v>249</v>
      </c>
      <c r="V14" s="35">
        <f t="shared" si="0"/>
        <v>6.97</v>
      </c>
      <c r="W14" s="35">
        <f t="shared" si="1"/>
        <v>13.94</v>
      </c>
      <c r="X14" s="35">
        <f t="shared" si="1"/>
        <v>27.88</v>
      </c>
      <c r="Y14" s="35">
        <f t="shared" si="1"/>
        <v>55.76</v>
      </c>
      <c r="Z14" s="35">
        <f t="shared" si="1"/>
        <v>100.224</v>
      </c>
      <c r="AA14" s="35">
        <f t="shared" si="1"/>
        <v>182.31039999999999</v>
      </c>
      <c r="AB14" s="35">
        <f t="shared" si="1"/>
        <v>364.62079999999997</v>
      </c>
      <c r="AC14" s="35">
        <f t="shared" si="1"/>
        <v>660.096</v>
      </c>
      <c r="AD14" s="35">
        <f t="shared" si="1"/>
        <v>1209.5999999999999</v>
      </c>
      <c r="AE14" s="35">
        <f t="shared" si="1"/>
        <v>2211.84</v>
      </c>
      <c r="AF14" s="35">
        <f t="shared" si="1"/>
        <v>3456</v>
      </c>
    </row>
    <row r="15" spans="1:32">
      <c r="A15">
        <v>13</v>
      </c>
      <c r="B15" s="7" t="s">
        <v>176</v>
      </c>
      <c r="C15" s="7" t="s">
        <v>163</v>
      </c>
      <c r="D15" s="10">
        <v>1</v>
      </c>
      <c r="E15" s="7"/>
      <c r="F15" s="7" t="s">
        <v>164</v>
      </c>
      <c r="G15" s="7" t="s">
        <v>7</v>
      </c>
      <c r="H15" s="7" t="s">
        <v>165</v>
      </c>
      <c r="I15" s="7" t="s">
        <v>9</v>
      </c>
      <c r="J15" s="52">
        <v>0.4</v>
      </c>
      <c r="K15" s="52">
        <v>0.315</v>
      </c>
      <c r="L15" s="52">
        <v>0.26600000000000001</v>
      </c>
      <c r="M15" s="52">
        <v>0.26600000000000001</v>
      </c>
      <c r="N15" s="52">
        <v>0.21659999999999999</v>
      </c>
      <c r="O15" s="52">
        <v>0.1794</v>
      </c>
      <c r="P15" s="52">
        <v>0.1482</v>
      </c>
      <c r="Q15" s="52">
        <v>0.1482</v>
      </c>
      <c r="R15" s="52">
        <v>0.111</v>
      </c>
      <c r="S15" s="52">
        <v>0.111</v>
      </c>
      <c r="T15" s="52">
        <v>0.111</v>
      </c>
      <c r="U15" s="39" t="s">
        <v>249</v>
      </c>
      <c r="V15" s="35">
        <f t="shared" si="0"/>
        <v>0.4</v>
      </c>
      <c r="W15" s="35">
        <f t="shared" si="1"/>
        <v>0.8</v>
      </c>
      <c r="X15" s="35">
        <f t="shared" si="1"/>
        <v>1.6</v>
      </c>
      <c r="Y15" s="35">
        <f t="shared" si="1"/>
        <v>3.2</v>
      </c>
      <c r="Z15" s="35">
        <f t="shared" si="1"/>
        <v>5.04</v>
      </c>
      <c r="AA15" s="35">
        <f t="shared" si="1"/>
        <v>8.5120000000000005</v>
      </c>
      <c r="AB15" s="35">
        <f t="shared" si="1"/>
        <v>17.024000000000001</v>
      </c>
      <c r="AC15" s="35">
        <f t="shared" si="1"/>
        <v>27.724799999999998</v>
      </c>
      <c r="AD15" s="35">
        <f t="shared" si="1"/>
        <v>45.926400000000001</v>
      </c>
      <c r="AE15" s="35">
        <f t="shared" si="1"/>
        <v>75.878399999999999</v>
      </c>
      <c r="AF15" s="35">
        <f t="shared" si="1"/>
        <v>113.664</v>
      </c>
    </row>
    <row r="16" spans="1:32">
      <c r="A16">
        <v>14</v>
      </c>
      <c r="B16" s="7" t="s">
        <v>167</v>
      </c>
      <c r="C16" s="7" t="s">
        <v>166</v>
      </c>
      <c r="D16" s="10">
        <v>1</v>
      </c>
      <c r="E16" s="7"/>
      <c r="F16" s="7" t="s">
        <v>180</v>
      </c>
      <c r="G16" s="7" t="s">
        <v>29</v>
      </c>
      <c r="H16" s="7" t="s">
        <v>168</v>
      </c>
      <c r="I16" s="7" t="s">
        <v>9</v>
      </c>
      <c r="J16" s="52">
        <v>0.6</v>
      </c>
      <c r="K16" s="52">
        <v>0.443</v>
      </c>
      <c r="L16" s="52">
        <v>0.35439999999999999</v>
      </c>
      <c r="M16" s="52">
        <v>0.35439999999999999</v>
      </c>
      <c r="N16" s="52">
        <v>0.23480000000000001</v>
      </c>
      <c r="O16" s="52">
        <v>0.16611999999999999</v>
      </c>
      <c r="P16" s="52">
        <v>0.14176</v>
      </c>
      <c r="Q16" s="52">
        <v>0.11960999999999999</v>
      </c>
      <c r="R16" s="52">
        <v>0.11075</v>
      </c>
      <c r="S16" s="52">
        <v>0.11075</v>
      </c>
      <c r="T16" s="52">
        <v>0.11075</v>
      </c>
      <c r="U16" s="39" t="s">
        <v>249</v>
      </c>
      <c r="V16" s="35">
        <f t="shared" si="0"/>
        <v>0.6</v>
      </c>
      <c r="W16" s="35">
        <f t="shared" si="1"/>
        <v>1.2</v>
      </c>
      <c r="X16" s="35">
        <f t="shared" si="1"/>
        <v>2.4</v>
      </c>
      <c r="Y16" s="35">
        <f t="shared" si="1"/>
        <v>4.8</v>
      </c>
      <c r="Z16" s="35">
        <f t="shared" si="1"/>
        <v>7.0880000000000001</v>
      </c>
      <c r="AA16" s="35">
        <f t="shared" si="1"/>
        <v>11.3408</v>
      </c>
      <c r="AB16" s="35">
        <f t="shared" si="1"/>
        <v>22.6816</v>
      </c>
      <c r="AC16" s="35">
        <f t="shared" si="1"/>
        <v>30.054400000000001</v>
      </c>
      <c r="AD16" s="35">
        <f t="shared" si="1"/>
        <v>42.526719999999997</v>
      </c>
      <c r="AE16" s="35">
        <f t="shared" si="1"/>
        <v>72.581119999999999</v>
      </c>
      <c r="AF16" s="35">
        <f t="shared" si="1"/>
        <v>113.408</v>
      </c>
    </row>
    <row r="17" spans="1:32">
      <c r="A17">
        <v>15</v>
      </c>
      <c r="B17" s="7" t="s">
        <v>167</v>
      </c>
      <c r="C17" s="7" t="s">
        <v>166</v>
      </c>
      <c r="D17" s="10">
        <v>1</v>
      </c>
      <c r="E17" s="7"/>
      <c r="F17" s="7" t="s">
        <v>179</v>
      </c>
      <c r="G17" s="7" t="s">
        <v>13</v>
      </c>
      <c r="H17" s="7" t="s">
        <v>181</v>
      </c>
      <c r="I17" s="7" t="s">
        <v>9</v>
      </c>
      <c r="J17" s="52">
        <v>0.67</v>
      </c>
      <c r="K17" s="52">
        <v>0.51600000000000001</v>
      </c>
      <c r="L17" s="52">
        <v>0.432</v>
      </c>
      <c r="M17" s="52">
        <v>0.432</v>
      </c>
      <c r="N17" s="52">
        <v>0.372</v>
      </c>
      <c r="O17" s="52">
        <v>0.33</v>
      </c>
      <c r="P17" s="52">
        <v>0.28199999999999997</v>
      </c>
      <c r="Q17" s="52">
        <v>0.28199999999999997</v>
      </c>
      <c r="R17" s="52">
        <v>0.222</v>
      </c>
      <c r="S17" s="52">
        <v>0.19800000000000001</v>
      </c>
      <c r="T17" s="52">
        <v>0.19800000000000001</v>
      </c>
      <c r="U17" s="39" t="s">
        <v>249</v>
      </c>
      <c r="V17" s="35">
        <f t="shared" si="0"/>
        <v>0.67</v>
      </c>
      <c r="W17" s="35">
        <f t="shared" si="1"/>
        <v>1.34</v>
      </c>
      <c r="X17" s="35">
        <f t="shared" si="1"/>
        <v>2.68</v>
      </c>
      <c r="Y17" s="35">
        <f t="shared" si="1"/>
        <v>5.36</v>
      </c>
      <c r="Z17" s="35">
        <f t="shared" si="1"/>
        <v>8.2560000000000002</v>
      </c>
      <c r="AA17" s="35">
        <f t="shared" si="1"/>
        <v>13.824</v>
      </c>
      <c r="AB17" s="35">
        <f t="shared" si="1"/>
        <v>27.648</v>
      </c>
      <c r="AC17" s="35">
        <f t="shared" si="1"/>
        <v>47.616</v>
      </c>
      <c r="AD17" s="35">
        <f t="shared" si="1"/>
        <v>84.48</v>
      </c>
      <c r="AE17" s="35">
        <f t="shared" si="1"/>
        <v>144.38399999999999</v>
      </c>
      <c r="AF17" s="35">
        <f t="shared" si="1"/>
        <v>227.328</v>
      </c>
    </row>
    <row r="18" spans="1:32">
      <c r="A18">
        <v>16</v>
      </c>
      <c r="B18" s="7" t="s">
        <v>175</v>
      </c>
      <c r="C18" s="7" t="s">
        <v>171</v>
      </c>
      <c r="D18" s="10">
        <v>1</v>
      </c>
      <c r="E18" s="7"/>
      <c r="F18" s="7" t="s">
        <v>172</v>
      </c>
      <c r="G18" s="7" t="s">
        <v>42</v>
      </c>
      <c r="H18" s="7" t="s">
        <v>173</v>
      </c>
      <c r="I18" s="7" t="s">
        <v>9</v>
      </c>
      <c r="J18" s="52">
        <v>0.54</v>
      </c>
      <c r="K18" s="52">
        <v>0.45300000000000001</v>
      </c>
      <c r="L18" s="52">
        <v>0.3972</v>
      </c>
      <c r="M18" s="52">
        <v>0.3972</v>
      </c>
      <c r="N18" s="52">
        <v>0.33989999999999998</v>
      </c>
      <c r="O18" s="52">
        <v>0.29480000000000001</v>
      </c>
      <c r="P18" s="52">
        <v>0.24970000000000001</v>
      </c>
      <c r="Q18" s="52">
        <v>0.21560000000000001</v>
      </c>
      <c r="R18" s="52">
        <v>0.1925</v>
      </c>
      <c r="S18" s="52">
        <v>0.1925</v>
      </c>
      <c r="T18" s="52">
        <v>0.1925</v>
      </c>
      <c r="U18" s="39" t="s">
        <v>249</v>
      </c>
      <c r="V18" s="35">
        <f t="shared" si="0"/>
        <v>0.54</v>
      </c>
      <c r="W18" s="35">
        <f t="shared" si="1"/>
        <v>1.08</v>
      </c>
      <c r="X18" s="35">
        <f t="shared" si="1"/>
        <v>2.16</v>
      </c>
      <c r="Y18" s="35">
        <f t="shared" si="1"/>
        <v>4.32</v>
      </c>
      <c r="Z18" s="35">
        <f t="shared" si="1"/>
        <v>7.2480000000000002</v>
      </c>
      <c r="AA18" s="35">
        <f t="shared" si="1"/>
        <v>12.7104</v>
      </c>
      <c r="AB18" s="35">
        <f t="shared" si="1"/>
        <v>25.4208</v>
      </c>
      <c r="AC18" s="35">
        <f t="shared" si="1"/>
        <v>43.507199999999997</v>
      </c>
      <c r="AD18" s="35">
        <f t="shared" si="1"/>
        <v>75.468800000000002</v>
      </c>
      <c r="AE18" s="35">
        <f t="shared" si="1"/>
        <v>127.8464</v>
      </c>
      <c r="AF18" s="35">
        <f t="shared" si="1"/>
        <v>197.12</v>
      </c>
    </row>
    <row r="19" spans="1:32">
      <c r="A19">
        <v>17</v>
      </c>
      <c r="B19" s="7" t="s">
        <v>174</v>
      </c>
      <c r="C19" s="24"/>
      <c r="D19" s="10">
        <v>3</v>
      </c>
      <c r="E19" s="7"/>
      <c r="F19" s="7"/>
      <c r="G19" s="7" t="s">
        <v>217</v>
      </c>
      <c r="H19" s="7">
        <v>211</v>
      </c>
      <c r="I19" s="7" t="s">
        <v>9</v>
      </c>
      <c r="J19" s="52">
        <v>0.15</v>
      </c>
      <c r="K19" s="52">
        <v>0.13700000000000001</v>
      </c>
      <c r="L19" s="52">
        <v>0.13700000000000001</v>
      </c>
      <c r="M19" s="52">
        <v>0.11700000000000001</v>
      </c>
      <c r="N19" s="52">
        <v>8.4500000000000006E-2</v>
      </c>
      <c r="O19" s="52">
        <v>7.288E-2</v>
      </c>
      <c r="P19" s="52">
        <v>6.9959999999999994E-2</v>
      </c>
      <c r="Q19" s="52">
        <v>6.9959999999999994E-2</v>
      </c>
      <c r="R19" s="52">
        <v>6.1219999999999997E-2</v>
      </c>
      <c r="S19" s="52">
        <v>5.5379999999999999E-2</v>
      </c>
      <c r="T19" s="52">
        <v>5.2470000000000003E-2</v>
      </c>
      <c r="U19" s="39" t="s">
        <v>249</v>
      </c>
      <c r="V19" s="35">
        <f t="shared" si="0"/>
        <v>0.44999999999999996</v>
      </c>
      <c r="W19" s="35">
        <f t="shared" ref="W19:AF20" si="2">HLOOKUP($D19*W$2,$J$2:$T$20,$A19+1,TRUE)*$D19*W$2</f>
        <v>0.89999999999999991</v>
      </c>
      <c r="X19" s="35">
        <f t="shared" si="2"/>
        <v>1.6440000000000001</v>
      </c>
      <c r="Y19" s="35">
        <f t="shared" si="2"/>
        <v>3.2880000000000003</v>
      </c>
      <c r="Z19" s="35">
        <f t="shared" si="2"/>
        <v>6.5760000000000005</v>
      </c>
      <c r="AA19" s="35">
        <f t="shared" si="2"/>
        <v>11.232000000000001</v>
      </c>
      <c r="AB19" s="35">
        <f t="shared" si="2"/>
        <v>16.224</v>
      </c>
      <c r="AC19" s="35">
        <f t="shared" si="2"/>
        <v>27.98592</v>
      </c>
      <c r="AD19" s="35">
        <f t="shared" si="2"/>
        <v>53.729279999999996</v>
      </c>
      <c r="AE19" s="35">
        <f t="shared" si="2"/>
        <v>94.033919999999995</v>
      </c>
      <c r="AF19" s="35">
        <f t="shared" si="2"/>
        <v>170.12736000000001</v>
      </c>
    </row>
    <row r="20" spans="1:32">
      <c r="A20">
        <v>18</v>
      </c>
      <c r="B20" s="21" t="s">
        <v>243</v>
      </c>
      <c r="C20" s="23"/>
      <c r="D20" s="22">
        <v>1</v>
      </c>
      <c r="E20" s="24"/>
      <c r="F20" s="21"/>
      <c r="G20" s="21"/>
      <c r="H20" s="21"/>
      <c r="I20" s="21" t="s">
        <v>244</v>
      </c>
      <c r="J20" s="52">
        <f>1.7*1.7*5</f>
        <v>14.45</v>
      </c>
      <c r="K20" s="52">
        <f>J20*4/10</f>
        <v>5.7799999999999994</v>
      </c>
      <c r="L20" s="52">
        <f>J20*9/25</f>
        <v>5.2019999999999991</v>
      </c>
      <c r="M20" s="52">
        <f>J20*17/50</f>
        <v>4.9129999999999994</v>
      </c>
      <c r="N20" s="52">
        <f>J20*34/100</f>
        <v>4.9129999999999994</v>
      </c>
      <c r="O20" s="52">
        <v>2.91</v>
      </c>
      <c r="P20" s="52">
        <v>1.92</v>
      </c>
      <c r="Q20" s="52">
        <v>1.59</v>
      </c>
      <c r="R20" s="52">
        <v>1.43</v>
      </c>
      <c r="S20" s="52">
        <v>1.43</v>
      </c>
      <c r="T20" s="52">
        <v>1.43</v>
      </c>
      <c r="U20" s="39" t="s">
        <v>249</v>
      </c>
      <c r="V20" s="35">
        <f t="shared" si="0"/>
        <v>14.45</v>
      </c>
      <c r="W20" s="35">
        <f t="shared" si="2"/>
        <v>28.9</v>
      </c>
      <c r="X20" s="35">
        <f t="shared" si="2"/>
        <v>57.8</v>
      </c>
      <c r="Y20" s="35">
        <f t="shared" si="2"/>
        <v>115.6</v>
      </c>
      <c r="Z20" s="35">
        <f t="shared" si="2"/>
        <v>92.47999999999999</v>
      </c>
      <c r="AA20" s="35">
        <f t="shared" si="2"/>
        <v>166.46399999999997</v>
      </c>
      <c r="AB20" s="35">
        <f t="shared" si="2"/>
        <v>314.43199999999996</v>
      </c>
      <c r="AC20" s="35">
        <f t="shared" si="2"/>
        <v>628.86399999999992</v>
      </c>
      <c r="AD20" s="35">
        <f t="shared" si="2"/>
        <v>744.96</v>
      </c>
      <c r="AE20" s="35">
        <f t="shared" si="2"/>
        <v>983.04</v>
      </c>
      <c r="AF20" s="35">
        <f t="shared" si="2"/>
        <v>1464.32</v>
      </c>
    </row>
    <row r="21" spans="1:32">
      <c r="U21" s="38" t="s">
        <v>257</v>
      </c>
      <c r="V21" s="36">
        <f>SUM(V3:V20)/V2</f>
        <v>27.419999999999998</v>
      </c>
      <c r="W21" s="36">
        <f t="shared" ref="W21:AF21" si="3">SUM(W3:W20)/W2</f>
        <v>27.419999999999998</v>
      </c>
      <c r="X21" s="36">
        <f t="shared" si="3"/>
        <v>27.068999999999996</v>
      </c>
      <c r="Y21" s="36">
        <f t="shared" si="3"/>
        <v>26.881</v>
      </c>
      <c r="Z21" s="36">
        <f t="shared" si="3"/>
        <v>16.634999999999998</v>
      </c>
      <c r="AA21" s="36">
        <f t="shared" si="3"/>
        <v>14.709</v>
      </c>
      <c r="AB21" s="36">
        <f t="shared" si="3"/>
        <v>13.684899999999999</v>
      </c>
      <c r="AC21" s="36">
        <f t="shared" si="3"/>
        <v>12.519499999999999</v>
      </c>
      <c r="AD21" s="36">
        <f t="shared" si="3"/>
        <v>9.7237000000000009</v>
      </c>
      <c r="AE21" s="36">
        <f t="shared" si="3"/>
        <v>7.9823199999999996</v>
      </c>
      <c r="AF21" s="36">
        <f t="shared" si="3"/>
        <v>6.2843800000000005</v>
      </c>
    </row>
    <row r="22" spans="1:32">
      <c r="U22" s="38" t="s">
        <v>252</v>
      </c>
      <c r="V22" s="36">
        <f>V21*V$2</f>
        <v>27.419999999999998</v>
      </c>
      <c r="W22" s="36">
        <f t="shared" ref="W22:AF22" si="4">W21*W$2</f>
        <v>54.839999999999996</v>
      </c>
      <c r="X22" s="36">
        <f t="shared" si="4"/>
        <v>108.27599999999998</v>
      </c>
      <c r="Y22" s="36">
        <f t="shared" si="4"/>
        <v>215.048</v>
      </c>
      <c r="Z22" s="36">
        <f t="shared" si="4"/>
        <v>266.15999999999997</v>
      </c>
      <c r="AA22" s="36">
        <f t="shared" si="4"/>
        <v>470.68799999999999</v>
      </c>
      <c r="AB22" s="36">
        <f t="shared" si="4"/>
        <v>875.83359999999993</v>
      </c>
      <c r="AC22" s="36">
        <f t="shared" si="4"/>
        <v>1602.4959999999999</v>
      </c>
      <c r="AD22" s="36">
        <f t="shared" si="4"/>
        <v>2489.2672000000002</v>
      </c>
      <c r="AE22" s="36">
        <f t="shared" si="4"/>
        <v>4086.9478399999998</v>
      </c>
      <c r="AF22" s="36">
        <f t="shared" si="4"/>
        <v>6435.2051200000005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F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7" sqref="A2:I7"/>
    </sheetView>
  </sheetViews>
  <sheetFormatPr defaultColWidth="8.85546875" defaultRowHeight="15"/>
  <cols>
    <col min="1" max="1" width="2.140625" bestFit="1" customWidth="1"/>
    <col min="2" max="2" width="18.42578125" bestFit="1" customWidth="1"/>
    <col min="3" max="3" width="15.7109375" bestFit="1" customWidth="1"/>
    <col min="4" max="4" width="4" bestFit="1" customWidth="1"/>
    <col min="5" max="5" width="8.140625" bestFit="1" customWidth="1"/>
    <col min="6" max="6" width="5" bestFit="1" customWidth="1"/>
    <col min="7" max="7" width="11.28515625" customWidth="1"/>
    <col min="8" max="8" width="21.140625" bestFit="1" customWidth="1"/>
    <col min="9" max="9" width="14.7109375" customWidth="1"/>
    <col min="10" max="10" width="12.140625" bestFit="1" customWidth="1"/>
    <col min="11" max="13" width="11" bestFit="1" customWidth="1"/>
    <col min="14" max="17" width="12.28515625" bestFit="1" customWidth="1"/>
    <col min="18" max="19" width="13.7109375" bestFit="1" customWidth="1"/>
    <col min="20" max="20" width="25.28515625" bestFit="1" customWidth="1"/>
  </cols>
  <sheetData>
    <row r="1" spans="1:32">
      <c r="J1" t="s">
        <v>203</v>
      </c>
      <c r="U1" s="37" t="s">
        <v>251</v>
      </c>
      <c r="V1" s="37"/>
      <c r="W1" s="37"/>
      <c r="X1" s="37"/>
      <c r="Y1" s="37"/>
      <c r="Z1" s="37"/>
    </row>
    <row r="2" spans="1:32" s="26" customFormat="1" ht="15.75" thickBot="1">
      <c r="B2" s="26" t="s">
        <v>3</v>
      </c>
      <c r="C2" s="26" t="s">
        <v>107</v>
      </c>
      <c r="D2" s="27" t="s">
        <v>0</v>
      </c>
      <c r="E2" s="28" t="s">
        <v>1</v>
      </c>
      <c r="F2" s="26" t="s">
        <v>2</v>
      </c>
      <c r="G2" s="26" t="s">
        <v>201</v>
      </c>
      <c r="H2" s="26" t="s">
        <v>202</v>
      </c>
      <c r="I2" s="26" t="s">
        <v>91</v>
      </c>
      <c r="J2" s="29">
        <v>1</v>
      </c>
      <c r="K2" s="29">
        <v>10</v>
      </c>
      <c r="L2" s="29">
        <v>25</v>
      </c>
      <c r="M2" s="29">
        <v>50</v>
      </c>
      <c r="N2" s="29">
        <v>100</v>
      </c>
      <c r="O2" s="29">
        <v>250</v>
      </c>
      <c r="P2" s="29">
        <v>500</v>
      </c>
      <c r="Q2" s="29">
        <v>1000</v>
      </c>
      <c r="R2" s="29">
        <v>2500</v>
      </c>
      <c r="S2" s="29">
        <v>5000</v>
      </c>
      <c r="T2" s="38" t="s">
        <v>250</v>
      </c>
      <c r="U2" s="31">
        <f>Modules!D2*Modules!$B6</f>
        <v>4</v>
      </c>
      <c r="V2" s="31">
        <f>Modules!E2*Modules!$B6</f>
        <v>8</v>
      </c>
      <c r="W2" s="31">
        <f>Modules!F2*Modules!$B6</f>
        <v>16</v>
      </c>
      <c r="X2" s="31">
        <f>Modules!G2*Modules!$B6</f>
        <v>32</v>
      </c>
      <c r="Y2" s="31">
        <f>Modules!H2*Modules!$B6</f>
        <v>64</v>
      </c>
      <c r="Z2" s="31">
        <f>Modules!I2*Modules!$B6</f>
        <v>128</v>
      </c>
      <c r="AA2" s="31">
        <f>Modules!J2*Modules!$B6</f>
        <v>256</v>
      </c>
      <c r="AB2" s="31">
        <f>Modules!K2*Modules!$B6</f>
        <v>512</v>
      </c>
      <c r="AC2" s="31">
        <f>Modules!L2*Modules!$B6</f>
        <v>1024</v>
      </c>
      <c r="AD2" s="31">
        <f>Modules!M2*Modules!$B6</f>
        <v>2048</v>
      </c>
      <c r="AE2" s="31">
        <f>Modules!N2*Modules!$B6</f>
        <v>4096</v>
      </c>
      <c r="AF2" s="31">
        <f>Modules!N18*Modules!B22</f>
        <v>6144</v>
      </c>
    </row>
    <row r="3" spans="1:32" ht="15.75" thickTop="1">
      <c r="A3">
        <v>1</v>
      </c>
      <c r="B3" s="7" t="s">
        <v>183</v>
      </c>
      <c r="C3" s="7" t="s">
        <v>184</v>
      </c>
      <c r="D3" s="7">
        <v>1</v>
      </c>
      <c r="E3" s="7"/>
      <c r="F3" s="7" t="s">
        <v>161</v>
      </c>
      <c r="G3" s="7" t="s">
        <v>186</v>
      </c>
      <c r="H3" s="7" t="s">
        <v>185</v>
      </c>
      <c r="I3" s="7" t="s">
        <v>9</v>
      </c>
      <c r="J3" s="52">
        <v>1.63</v>
      </c>
      <c r="K3" s="52">
        <v>1.3580000000000001</v>
      </c>
      <c r="L3" s="52">
        <v>1.3580000000000001</v>
      </c>
      <c r="M3" s="52">
        <v>1.3580000000000001</v>
      </c>
      <c r="N3" s="52">
        <v>1.0868</v>
      </c>
      <c r="O3" s="52">
        <v>0.95091999999999999</v>
      </c>
      <c r="P3" s="52">
        <v>0.86939999999999995</v>
      </c>
      <c r="Q3" s="52">
        <v>0.86939999999999995</v>
      </c>
      <c r="R3" s="52">
        <v>0.86939999999999995</v>
      </c>
      <c r="S3" s="52">
        <v>0.86939999999999995</v>
      </c>
      <c r="T3" s="39" t="s">
        <v>249</v>
      </c>
      <c r="U3" s="35">
        <f>HLOOKUP($D3*U$2,$J$2:$S$7,$A3+1,TRUE)*$D3*U$2</f>
        <v>6.52</v>
      </c>
      <c r="V3" s="35">
        <f t="shared" ref="V3:AF7" si="0">HLOOKUP($D3*V$2,$J$2:$S$7,$A3+1,TRUE)*$D3*V$2</f>
        <v>13.04</v>
      </c>
      <c r="W3" s="35">
        <f t="shared" si="0"/>
        <v>21.728000000000002</v>
      </c>
      <c r="X3" s="35">
        <f t="shared" si="0"/>
        <v>43.456000000000003</v>
      </c>
      <c r="Y3" s="35">
        <f t="shared" si="0"/>
        <v>86.912000000000006</v>
      </c>
      <c r="Z3" s="35">
        <f t="shared" si="0"/>
        <v>139.1104</v>
      </c>
      <c r="AA3" s="35">
        <f t="shared" si="0"/>
        <v>243.43552</v>
      </c>
      <c r="AB3" s="35">
        <f t="shared" si="0"/>
        <v>445.13279999999997</v>
      </c>
      <c r="AC3" s="35">
        <f t="shared" si="0"/>
        <v>890.26559999999995</v>
      </c>
      <c r="AD3" s="35">
        <f t="shared" si="0"/>
        <v>1780.5311999999999</v>
      </c>
      <c r="AE3" s="35">
        <f t="shared" si="0"/>
        <v>3561.0623999999998</v>
      </c>
      <c r="AF3" s="35">
        <f t="shared" si="0"/>
        <v>5341.5936000000002</v>
      </c>
    </row>
    <row r="4" spans="1:32">
      <c r="A4">
        <v>2</v>
      </c>
      <c r="B4" s="7" t="s">
        <v>6</v>
      </c>
      <c r="C4" s="7" t="s">
        <v>137</v>
      </c>
      <c r="D4" s="7">
        <v>1</v>
      </c>
      <c r="E4" s="7" t="s">
        <v>187</v>
      </c>
      <c r="F4" s="7" t="s">
        <v>5</v>
      </c>
      <c r="G4" s="7" t="s">
        <v>23</v>
      </c>
      <c r="H4" s="7" t="s">
        <v>190</v>
      </c>
      <c r="I4" s="7" t="s">
        <v>9</v>
      </c>
      <c r="J4" s="52">
        <v>0.1</v>
      </c>
      <c r="K4" s="52">
        <v>4.1000000000000002E-2</v>
      </c>
      <c r="L4" s="52">
        <v>4.1000000000000002E-2</v>
      </c>
      <c r="M4" s="52">
        <v>2.2200000000000001E-2</v>
      </c>
      <c r="N4" s="52">
        <v>1.8700000000000001E-2</v>
      </c>
      <c r="O4" s="52">
        <v>1.532E-2</v>
      </c>
      <c r="P4" s="52">
        <v>1.3100000000000001E-2</v>
      </c>
      <c r="Q4" s="52">
        <v>1.0200000000000001E-2</v>
      </c>
      <c r="R4" s="52">
        <v>1.0200000000000001E-2</v>
      </c>
      <c r="S4" s="52">
        <v>8.5000000000000006E-3</v>
      </c>
      <c r="T4" s="39" t="s">
        <v>249</v>
      </c>
      <c r="U4" s="35">
        <f>HLOOKUP($D4*U$2,$J$2:$S$7,$A4+1,TRUE)*$D4*U$2</f>
        <v>0.4</v>
      </c>
      <c r="V4" s="35">
        <f t="shared" si="0"/>
        <v>0.8</v>
      </c>
      <c r="W4" s="35">
        <f t="shared" si="0"/>
        <v>0.65600000000000003</v>
      </c>
      <c r="X4" s="35">
        <f t="shared" si="0"/>
        <v>1.3120000000000001</v>
      </c>
      <c r="Y4" s="35">
        <f t="shared" si="0"/>
        <v>1.4208000000000001</v>
      </c>
      <c r="Z4" s="35">
        <f t="shared" si="0"/>
        <v>2.3936000000000002</v>
      </c>
      <c r="AA4" s="35">
        <f t="shared" si="0"/>
        <v>3.9219200000000001</v>
      </c>
      <c r="AB4" s="35">
        <f t="shared" si="0"/>
        <v>6.7072000000000003</v>
      </c>
      <c r="AC4" s="35">
        <f t="shared" si="0"/>
        <v>10.444800000000001</v>
      </c>
      <c r="AD4" s="35">
        <f t="shared" si="0"/>
        <v>20.889600000000002</v>
      </c>
      <c r="AE4" s="35">
        <f t="shared" si="0"/>
        <v>41.779200000000003</v>
      </c>
      <c r="AF4" s="35">
        <f t="shared" si="0"/>
        <v>52.224000000000004</v>
      </c>
    </row>
    <row r="5" spans="1:32">
      <c r="A5">
        <v>3</v>
      </c>
      <c r="B5" s="7" t="s">
        <v>12</v>
      </c>
      <c r="C5" s="7" t="s">
        <v>134</v>
      </c>
      <c r="D5" s="7">
        <v>1</v>
      </c>
      <c r="E5" s="7" t="s">
        <v>188</v>
      </c>
      <c r="F5" s="7" t="s">
        <v>192</v>
      </c>
      <c r="G5" s="7" t="s">
        <v>96</v>
      </c>
      <c r="H5" s="7" t="s">
        <v>191</v>
      </c>
      <c r="I5" s="7" t="s">
        <v>9</v>
      </c>
      <c r="J5" s="52">
        <v>0.04</v>
      </c>
      <c r="K5" s="52">
        <v>2.5000000000000001E-2</v>
      </c>
      <c r="L5" s="52">
        <v>2.5000000000000001E-2</v>
      </c>
      <c r="M5" s="52">
        <v>1.38E-2</v>
      </c>
      <c r="N5" s="52">
        <v>1.0500000000000001E-2</v>
      </c>
      <c r="O5" s="52">
        <v>7.7999999999999996E-3</v>
      </c>
      <c r="P5" s="52">
        <v>5.7600000000000004E-3</v>
      </c>
      <c r="Q5" s="52">
        <v>3.8400000000000001E-3</v>
      </c>
      <c r="R5" s="52">
        <v>3.2399999999999998E-3</v>
      </c>
      <c r="S5" s="52">
        <v>2.7000000000000001E-3</v>
      </c>
      <c r="T5" s="39" t="s">
        <v>249</v>
      </c>
      <c r="U5" s="35">
        <f>HLOOKUP($D5*U$2,$J$2:$S$7,$A5+1,TRUE)*$D5*U$2</f>
        <v>0.16</v>
      </c>
      <c r="V5" s="35">
        <f t="shared" si="0"/>
        <v>0.32</v>
      </c>
      <c r="W5" s="35">
        <f t="shared" si="0"/>
        <v>0.4</v>
      </c>
      <c r="X5" s="35">
        <f t="shared" si="0"/>
        <v>0.8</v>
      </c>
      <c r="Y5" s="35">
        <f t="shared" si="0"/>
        <v>0.88319999999999999</v>
      </c>
      <c r="Z5" s="35">
        <f t="shared" si="0"/>
        <v>1.3440000000000001</v>
      </c>
      <c r="AA5" s="35">
        <f t="shared" si="0"/>
        <v>1.9967999999999999</v>
      </c>
      <c r="AB5" s="35">
        <f t="shared" si="0"/>
        <v>2.9491200000000002</v>
      </c>
      <c r="AC5" s="35">
        <f t="shared" si="0"/>
        <v>3.9321600000000001</v>
      </c>
      <c r="AD5" s="35">
        <f t="shared" si="0"/>
        <v>7.8643200000000002</v>
      </c>
      <c r="AE5" s="35">
        <f t="shared" si="0"/>
        <v>13.271039999999999</v>
      </c>
      <c r="AF5" s="35">
        <f t="shared" si="0"/>
        <v>16.588799999999999</v>
      </c>
    </row>
    <row r="6" spans="1:32">
      <c r="A6">
        <v>4</v>
      </c>
      <c r="B6" s="7" t="s">
        <v>12</v>
      </c>
      <c r="C6" s="7" t="s">
        <v>134</v>
      </c>
      <c r="D6" s="7">
        <v>1</v>
      </c>
      <c r="E6" s="7" t="s">
        <v>189</v>
      </c>
      <c r="F6" s="7" t="s">
        <v>11</v>
      </c>
      <c r="G6" s="7" t="s">
        <v>13</v>
      </c>
      <c r="H6" s="7" t="s">
        <v>26</v>
      </c>
      <c r="I6" s="7" t="s">
        <v>9</v>
      </c>
      <c r="J6" s="52">
        <v>0.1</v>
      </c>
      <c r="K6" s="52">
        <v>1.2999999999999999E-2</v>
      </c>
      <c r="L6" s="52">
        <v>9.1999999999999998E-3</v>
      </c>
      <c r="M6" s="52">
        <v>9.1999999999999998E-3</v>
      </c>
      <c r="N6" s="52">
        <v>5.1999999999999998E-3</v>
      </c>
      <c r="O6" s="52">
        <v>3.96E-3</v>
      </c>
      <c r="P6" s="52">
        <v>3.16E-3</v>
      </c>
      <c r="Q6" s="52">
        <v>2.33E-3</v>
      </c>
      <c r="R6" s="52">
        <v>2.33E-3</v>
      </c>
      <c r="S6" s="52">
        <v>1.67E-3</v>
      </c>
      <c r="T6" s="39" t="s">
        <v>249</v>
      </c>
      <c r="U6" s="35">
        <f>HLOOKUP($D6*U$2,$J$2:$S$7,$A6+1,TRUE)*$D6*U$2</f>
        <v>0.4</v>
      </c>
      <c r="V6" s="35">
        <f t="shared" si="0"/>
        <v>0.8</v>
      </c>
      <c r="W6" s="35">
        <f t="shared" si="0"/>
        <v>0.20799999999999999</v>
      </c>
      <c r="X6" s="35">
        <f t="shared" si="0"/>
        <v>0.2944</v>
      </c>
      <c r="Y6" s="35">
        <f t="shared" si="0"/>
        <v>0.58879999999999999</v>
      </c>
      <c r="Z6" s="35">
        <f t="shared" si="0"/>
        <v>0.66559999999999997</v>
      </c>
      <c r="AA6" s="35">
        <f t="shared" si="0"/>
        <v>1.01376</v>
      </c>
      <c r="AB6" s="35">
        <f t="shared" si="0"/>
        <v>1.61792</v>
      </c>
      <c r="AC6" s="35">
        <f t="shared" si="0"/>
        <v>2.38592</v>
      </c>
      <c r="AD6" s="35">
        <f t="shared" si="0"/>
        <v>4.7718400000000001</v>
      </c>
      <c r="AE6" s="35">
        <f t="shared" si="0"/>
        <v>9.5436800000000002</v>
      </c>
      <c r="AF6" s="35">
        <f t="shared" si="0"/>
        <v>10.260480000000001</v>
      </c>
    </row>
    <row r="7" spans="1:32">
      <c r="A7">
        <v>5</v>
      </c>
      <c r="B7" s="21" t="s">
        <v>243</v>
      </c>
      <c r="C7" s="23"/>
      <c r="D7" s="22">
        <v>1</v>
      </c>
      <c r="E7" s="24"/>
      <c r="F7" s="21"/>
      <c r="G7" s="21"/>
      <c r="H7" s="21"/>
      <c r="I7" s="21" t="s">
        <v>244</v>
      </c>
      <c r="J7" s="52">
        <f>0.335*0.335*5</f>
        <v>0.5611250000000001</v>
      </c>
      <c r="K7" s="52">
        <f>J7*4/10</f>
        <v>0.22445000000000004</v>
      </c>
      <c r="L7" s="52">
        <f>J7*9/25</f>
        <v>0.20200500000000005</v>
      </c>
      <c r="M7" s="52">
        <f>J7*17/50</f>
        <v>0.19078250000000005</v>
      </c>
      <c r="N7" s="52">
        <f>J7*34/100</f>
        <v>0.19078250000000005</v>
      </c>
      <c r="O7" s="52">
        <f>N7</f>
        <v>0.19078250000000005</v>
      </c>
      <c r="P7" s="52">
        <f t="shared" ref="P7:S7" si="1">O7</f>
        <v>0.19078250000000005</v>
      </c>
      <c r="Q7" s="52">
        <f t="shared" si="1"/>
        <v>0.19078250000000005</v>
      </c>
      <c r="R7" s="52">
        <f t="shared" si="1"/>
        <v>0.19078250000000005</v>
      </c>
      <c r="S7" s="52">
        <f t="shared" si="1"/>
        <v>0.19078250000000005</v>
      </c>
      <c r="T7" s="39" t="s">
        <v>249</v>
      </c>
      <c r="U7" s="35">
        <f>HLOOKUP($D7*U$2,$J$2:$S$7,$A7+1,TRUE)*$D7*U$2</f>
        <v>2.2445000000000004</v>
      </c>
      <c r="V7" s="35">
        <f t="shared" si="0"/>
        <v>4.4890000000000008</v>
      </c>
      <c r="W7" s="35">
        <f t="shared" si="0"/>
        <v>3.5912000000000006</v>
      </c>
      <c r="X7" s="35">
        <f t="shared" si="0"/>
        <v>6.4641600000000015</v>
      </c>
      <c r="Y7" s="35">
        <f t="shared" si="0"/>
        <v>12.210080000000003</v>
      </c>
      <c r="Z7" s="35">
        <f t="shared" si="0"/>
        <v>24.420160000000006</v>
      </c>
      <c r="AA7" s="35">
        <f t="shared" si="0"/>
        <v>48.840320000000013</v>
      </c>
      <c r="AB7" s="35">
        <f t="shared" si="0"/>
        <v>97.680640000000025</v>
      </c>
      <c r="AC7" s="35">
        <f t="shared" si="0"/>
        <v>195.36128000000005</v>
      </c>
      <c r="AD7" s="35">
        <f t="shared" si="0"/>
        <v>390.7225600000001</v>
      </c>
      <c r="AE7" s="35">
        <f t="shared" si="0"/>
        <v>781.4451200000002</v>
      </c>
      <c r="AF7" s="35">
        <f t="shared" si="0"/>
        <v>1172.1676800000002</v>
      </c>
    </row>
    <row r="8" spans="1:32">
      <c r="T8" s="38" t="s">
        <v>257</v>
      </c>
      <c r="U8" s="36">
        <f>SUM(U3:U7)/U$2</f>
        <v>2.4311250000000002</v>
      </c>
      <c r="V8" s="36">
        <f t="shared" ref="V8:AF8" si="2">SUM(V3:V7)/V$2</f>
        <v>2.4311250000000002</v>
      </c>
      <c r="W8" s="36">
        <f t="shared" si="2"/>
        <v>1.6614499999999999</v>
      </c>
      <c r="X8" s="36">
        <f t="shared" si="2"/>
        <v>1.635205</v>
      </c>
      <c r="Y8" s="36">
        <f t="shared" si="2"/>
        <v>1.5939825000000003</v>
      </c>
      <c r="Z8" s="36">
        <f t="shared" si="2"/>
        <v>1.3119825000000001</v>
      </c>
      <c r="AA8" s="36">
        <f t="shared" si="2"/>
        <v>1.1687825000000001</v>
      </c>
      <c r="AB8" s="36">
        <f t="shared" si="2"/>
        <v>1.0822025</v>
      </c>
      <c r="AC8" s="36">
        <f t="shared" si="2"/>
        <v>1.0765525</v>
      </c>
      <c r="AD8" s="36">
        <f t="shared" si="2"/>
        <v>1.0765525</v>
      </c>
      <c r="AE8" s="36">
        <f t="shared" si="2"/>
        <v>1.0759525000000001</v>
      </c>
      <c r="AF8" s="36">
        <f t="shared" si="2"/>
        <v>1.0730525000000002</v>
      </c>
    </row>
    <row r="9" spans="1:32">
      <c r="T9" s="38" t="s">
        <v>252</v>
      </c>
      <c r="U9" s="36">
        <f>U8*U$2</f>
        <v>9.7245000000000008</v>
      </c>
      <c r="V9" s="36">
        <f t="shared" ref="V9:AF9" si="3">V8*V$2</f>
        <v>19.449000000000002</v>
      </c>
      <c r="W9" s="36">
        <f t="shared" si="3"/>
        <v>26.583199999999998</v>
      </c>
      <c r="X9" s="36">
        <f t="shared" si="3"/>
        <v>52.326560000000001</v>
      </c>
      <c r="Y9" s="36">
        <f t="shared" si="3"/>
        <v>102.01488000000002</v>
      </c>
      <c r="Z9" s="36">
        <f t="shared" si="3"/>
        <v>167.93376000000001</v>
      </c>
      <c r="AA9" s="36">
        <f t="shared" si="3"/>
        <v>299.20832000000001</v>
      </c>
      <c r="AB9" s="36">
        <f t="shared" si="3"/>
        <v>554.08767999999998</v>
      </c>
      <c r="AC9" s="36">
        <f t="shared" si="3"/>
        <v>1102.38976</v>
      </c>
      <c r="AD9" s="36">
        <f t="shared" si="3"/>
        <v>2204.77952</v>
      </c>
      <c r="AE9" s="36">
        <f t="shared" si="3"/>
        <v>4407.1014400000004</v>
      </c>
      <c r="AF9" s="36">
        <f t="shared" si="3"/>
        <v>6592.8345600000011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AD1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2" sqref="C12"/>
    </sheetView>
  </sheetViews>
  <sheetFormatPr defaultColWidth="8.85546875" defaultRowHeight="15"/>
  <cols>
    <col min="1" max="1" width="3" bestFit="1" customWidth="1"/>
    <col min="2" max="2" width="23.85546875" customWidth="1"/>
    <col min="3" max="3" width="23.42578125" customWidth="1"/>
    <col min="5" max="5" width="16.28515625" customWidth="1"/>
    <col min="6" max="6" width="15.28515625" customWidth="1"/>
    <col min="7" max="7" width="17.7109375" customWidth="1"/>
    <col min="8" max="8" width="20.140625" customWidth="1"/>
    <col min="9" max="9" width="16.28515625" customWidth="1"/>
    <col min="10" max="11" width="11.7109375" customWidth="1"/>
    <col min="12" max="12" width="10.85546875" customWidth="1"/>
    <col min="13" max="13" width="11.140625" customWidth="1"/>
    <col min="14" max="14" width="11.42578125" customWidth="1"/>
    <col min="15" max="15" width="11.85546875" customWidth="1"/>
    <col min="16" max="16" width="11.28515625" customWidth="1"/>
    <col min="17" max="17" width="11.42578125" customWidth="1"/>
    <col min="18" max="18" width="11.140625" customWidth="1"/>
    <col min="19" max="19" width="27.28515625" bestFit="1" customWidth="1"/>
    <col min="22" max="22" width="9.85546875" bestFit="1" customWidth="1"/>
    <col min="23" max="28" width="9.85546875" customWidth="1"/>
    <col min="29" max="29" width="9.85546875" bestFit="1" customWidth="1"/>
    <col min="30" max="30" width="10.85546875" bestFit="1" customWidth="1"/>
  </cols>
  <sheetData>
    <row r="1" spans="1:30" s="37" customFormat="1">
      <c r="J1" s="37" t="s">
        <v>203</v>
      </c>
      <c r="T1" s="37" t="s">
        <v>251</v>
      </c>
    </row>
    <row r="2" spans="1:30" s="26" customFormat="1" ht="15.75" thickBot="1">
      <c r="A2" s="29"/>
      <c r="B2" s="29" t="s">
        <v>3</v>
      </c>
      <c r="C2" s="29" t="s">
        <v>107</v>
      </c>
      <c r="D2" s="29" t="s">
        <v>0</v>
      </c>
      <c r="E2" s="29" t="s">
        <v>222</v>
      </c>
      <c r="F2" s="29" t="s">
        <v>201</v>
      </c>
      <c r="G2" s="29" t="s">
        <v>202</v>
      </c>
      <c r="H2" s="29" t="s">
        <v>91</v>
      </c>
      <c r="I2" s="29" t="s">
        <v>221</v>
      </c>
      <c r="J2" s="29">
        <v>1</v>
      </c>
      <c r="K2" s="29">
        <v>2</v>
      </c>
      <c r="L2" s="29">
        <v>3</v>
      </c>
      <c r="M2" s="29">
        <v>5</v>
      </c>
      <c r="N2" s="29">
        <v>6</v>
      </c>
      <c r="O2" s="29">
        <v>10</v>
      </c>
      <c r="P2" s="29">
        <v>15</v>
      </c>
      <c r="Q2" s="29">
        <v>25</v>
      </c>
      <c r="R2" s="29">
        <v>50</v>
      </c>
      <c r="S2" s="38" t="s">
        <v>250</v>
      </c>
      <c r="T2" s="31">
        <f>Modules!D30</f>
        <v>1</v>
      </c>
      <c r="U2" s="31">
        <f>Modules!E30</f>
        <v>2</v>
      </c>
      <c r="V2" s="31">
        <f>Modules!F30</f>
        <v>4</v>
      </c>
      <c r="W2" s="31">
        <f>Modules!G30</f>
        <v>8</v>
      </c>
      <c r="X2" s="31">
        <f>Modules!H30</f>
        <v>16</v>
      </c>
      <c r="Y2" s="31">
        <f>Modules!I30</f>
        <v>32</v>
      </c>
      <c r="Z2" s="31">
        <f>Modules!J30</f>
        <v>64</v>
      </c>
      <c r="AA2" s="31">
        <f>Modules!K30</f>
        <v>128</v>
      </c>
      <c r="AB2" s="31">
        <f>Modules!L30</f>
        <v>256</v>
      </c>
      <c r="AC2" s="31">
        <f>Modules!M30</f>
        <v>512</v>
      </c>
      <c r="AD2" s="31">
        <f>Modules!N30</f>
        <v>1024</v>
      </c>
    </row>
    <row r="3" spans="1:30" s="3" customFormat="1" ht="17.25" thickTop="1">
      <c r="A3" s="7">
        <v>1</v>
      </c>
      <c r="B3" s="7" t="s">
        <v>67</v>
      </c>
      <c r="C3" s="23"/>
      <c r="D3" s="10">
        <v>1</v>
      </c>
      <c r="E3" s="11"/>
      <c r="F3" s="7" t="s">
        <v>76</v>
      </c>
      <c r="G3" s="7" t="s">
        <v>223</v>
      </c>
      <c r="H3" s="12" t="s">
        <v>220</v>
      </c>
      <c r="I3" s="12"/>
      <c r="J3" s="52">
        <v>44.9</v>
      </c>
      <c r="K3" s="52">
        <v>44.9</v>
      </c>
      <c r="L3" s="52">
        <v>44.9</v>
      </c>
      <c r="M3" s="52">
        <v>44.9</v>
      </c>
      <c r="N3" s="52">
        <v>37.24</v>
      </c>
      <c r="O3" s="52">
        <v>37.24</v>
      </c>
      <c r="P3" s="52">
        <v>37.24</v>
      </c>
      <c r="Q3" s="52">
        <v>37.24</v>
      </c>
      <c r="R3" s="52">
        <v>37.24</v>
      </c>
      <c r="S3" s="39" t="s">
        <v>249</v>
      </c>
      <c r="T3" s="35">
        <f t="shared" ref="T3:AD12" si="0">HLOOKUP($D3*T$2,$J$2:$R$12,$A3+1,TRUE)*$D3*T$2</f>
        <v>44.9</v>
      </c>
      <c r="U3" s="35">
        <f t="shared" si="0"/>
        <v>89.8</v>
      </c>
      <c r="V3" s="35">
        <f t="shared" si="0"/>
        <v>179.6</v>
      </c>
      <c r="W3" s="35">
        <f t="shared" si="0"/>
        <v>297.92</v>
      </c>
      <c r="X3" s="35">
        <f t="shared" si="0"/>
        <v>595.84</v>
      </c>
      <c r="Y3" s="35">
        <f t="shared" si="0"/>
        <v>1191.68</v>
      </c>
      <c r="Z3" s="35">
        <f t="shared" si="0"/>
        <v>2383.36</v>
      </c>
      <c r="AA3" s="35">
        <f t="shared" si="0"/>
        <v>4766.72</v>
      </c>
      <c r="AB3" s="35">
        <f t="shared" si="0"/>
        <v>9533.44</v>
      </c>
      <c r="AC3" s="35">
        <f t="shared" si="0"/>
        <v>19066.88</v>
      </c>
      <c r="AD3" s="35">
        <f t="shared" si="0"/>
        <v>38133.760000000002</v>
      </c>
    </row>
    <row r="4" spans="1:30" s="3" customFormat="1" ht="45.75" customHeight="1">
      <c r="A4" s="7">
        <f>A3+1</f>
        <v>2</v>
      </c>
      <c r="B4" s="7" t="s">
        <v>68</v>
      </c>
      <c r="C4" s="23"/>
      <c r="D4" s="10">
        <v>1</v>
      </c>
      <c r="E4" s="16" t="s">
        <v>115</v>
      </c>
      <c r="F4" s="7" t="s">
        <v>114</v>
      </c>
      <c r="G4" s="4" t="s">
        <v>78</v>
      </c>
      <c r="H4" s="7" t="s">
        <v>77</v>
      </c>
      <c r="I4" s="7"/>
      <c r="J4" s="52">
        <v>49.22</v>
      </c>
      <c r="K4" s="52">
        <v>49.22</v>
      </c>
      <c r="L4" s="52">
        <v>49.22</v>
      </c>
      <c r="M4" s="52">
        <v>49.22</v>
      </c>
      <c r="N4" s="52">
        <v>49.22</v>
      </c>
      <c r="O4" s="52">
        <v>49.22</v>
      </c>
      <c r="P4" s="52">
        <v>49.22</v>
      </c>
      <c r="Q4" s="52">
        <v>49.22</v>
      </c>
      <c r="R4" s="52">
        <v>49.22</v>
      </c>
      <c r="S4" s="39" t="s">
        <v>249</v>
      </c>
      <c r="T4" s="35">
        <f t="shared" si="0"/>
        <v>49.22</v>
      </c>
      <c r="U4" s="35">
        <f t="shared" si="0"/>
        <v>98.44</v>
      </c>
      <c r="V4" s="35">
        <f t="shared" si="0"/>
        <v>196.88</v>
      </c>
      <c r="W4" s="35">
        <f t="shared" si="0"/>
        <v>393.76</v>
      </c>
      <c r="X4" s="35">
        <f t="shared" si="0"/>
        <v>787.52</v>
      </c>
      <c r="Y4" s="35">
        <f t="shared" si="0"/>
        <v>1575.04</v>
      </c>
      <c r="Z4" s="35">
        <f t="shared" si="0"/>
        <v>3150.08</v>
      </c>
      <c r="AA4" s="35">
        <f t="shared" si="0"/>
        <v>6300.16</v>
      </c>
      <c r="AB4" s="35">
        <f t="shared" si="0"/>
        <v>12600.32</v>
      </c>
      <c r="AC4" s="35">
        <f t="shared" si="0"/>
        <v>25200.639999999999</v>
      </c>
      <c r="AD4" s="35">
        <f t="shared" si="0"/>
        <v>50401.279999999999</v>
      </c>
    </row>
    <row r="5" spans="1:30" s="3" customFormat="1" ht="52.5">
      <c r="A5" s="7">
        <f t="shared" ref="A5:A12" si="1">A4+1</f>
        <v>3</v>
      </c>
      <c r="B5" s="7" t="s">
        <v>88</v>
      </c>
      <c r="C5" s="23" t="s">
        <v>224</v>
      </c>
      <c r="D5" s="10">
        <v>16</v>
      </c>
      <c r="E5" s="15" t="s">
        <v>112</v>
      </c>
      <c r="F5" s="7"/>
      <c r="H5" s="7" t="s">
        <v>89</v>
      </c>
      <c r="I5" s="7" t="s">
        <v>92</v>
      </c>
      <c r="J5" s="52">
        <f>9.59/50</f>
        <v>0.1918</v>
      </c>
      <c r="K5" s="52">
        <f t="shared" ref="K5:M5" si="2">9.59/50</f>
        <v>0.1918</v>
      </c>
      <c r="L5" s="52">
        <f t="shared" si="2"/>
        <v>0.1918</v>
      </c>
      <c r="M5" s="52">
        <f t="shared" si="2"/>
        <v>0.1918</v>
      </c>
      <c r="N5" s="52">
        <f t="shared" ref="N5:R5" si="3">9.59/50</f>
        <v>0.1918</v>
      </c>
      <c r="O5" s="52">
        <f t="shared" si="3"/>
        <v>0.1918</v>
      </c>
      <c r="P5" s="52">
        <f t="shared" si="3"/>
        <v>0.1918</v>
      </c>
      <c r="Q5" s="52">
        <f t="shared" si="3"/>
        <v>0.1918</v>
      </c>
      <c r="R5" s="52">
        <f t="shared" si="3"/>
        <v>0.1918</v>
      </c>
      <c r="S5" s="39" t="s">
        <v>249</v>
      </c>
      <c r="T5" s="35">
        <f t="shared" si="0"/>
        <v>3.0688</v>
      </c>
      <c r="U5" s="35">
        <f t="shared" si="0"/>
        <v>6.1375999999999999</v>
      </c>
      <c r="V5" s="35">
        <f t="shared" si="0"/>
        <v>12.2752</v>
      </c>
      <c r="W5" s="35">
        <f t="shared" si="0"/>
        <v>24.5504</v>
      </c>
      <c r="X5" s="35">
        <f t="shared" si="0"/>
        <v>49.1008</v>
      </c>
      <c r="Y5" s="35">
        <f t="shared" si="0"/>
        <v>98.201599999999999</v>
      </c>
      <c r="Z5" s="35">
        <f t="shared" si="0"/>
        <v>196.4032</v>
      </c>
      <c r="AA5" s="35">
        <f t="shared" si="0"/>
        <v>392.8064</v>
      </c>
      <c r="AB5" s="35">
        <f t="shared" si="0"/>
        <v>785.61279999999999</v>
      </c>
      <c r="AC5" s="35">
        <f t="shared" si="0"/>
        <v>1571.2256</v>
      </c>
      <c r="AD5" s="35">
        <f t="shared" si="0"/>
        <v>3142.4512</v>
      </c>
    </row>
    <row r="6" spans="1:30" s="3" customFormat="1" ht="16.5">
      <c r="A6" s="7">
        <f t="shared" si="1"/>
        <v>4</v>
      </c>
      <c r="B6" s="7" t="s">
        <v>110</v>
      </c>
      <c r="C6" s="23"/>
      <c r="D6" s="10">
        <v>1</v>
      </c>
      <c r="E6" s="14" t="s">
        <v>123</v>
      </c>
      <c r="F6" s="7"/>
      <c r="H6" s="7" t="s">
        <v>89</v>
      </c>
      <c r="I6" s="7" t="s">
        <v>122</v>
      </c>
      <c r="J6" s="52">
        <f>5.75/5</f>
        <v>1.1499999999999999</v>
      </c>
      <c r="K6" s="52">
        <f t="shared" ref="K6:M6" si="4">5.75/5</f>
        <v>1.1499999999999999</v>
      </c>
      <c r="L6" s="52">
        <f t="shared" si="4"/>
        <v>1.1499999999999999</v>
      </c>
      <c r="M6" s="52">
        <f t="shared" si="4"/>
        <v>1.1499999999999999</v>
      </c>
      <c r="N6" s="52">
        <f t="shared" ref="N6:R6" si="5">5.75/5</f>
        <v>1.1499999999999999</v>
      </c>
      <c r="O6" s="52">
        <f t="shared" si="5"/>
        <v>1.1499999999999999</v>
      </c>
      <c r="P6" s="52">
        <f t="shared" si="5"/>
        <v>1.1499999999999999</v>
      </c>
      <c r="Q6" s="52">
        <f t="shared" si="5"/>
        <v>1.1499999999999999</v>
      </c>
      <c r="R6" s="52">
        <f t="shared" si="5"/>
        <v>1.1499999999999999</v>
      </c>
      <c r="S6" s="39" t="s">
        <v>249</v>
      </c>
      <c r="T6" s="35">
        <f t="shared" si="0"/>
        <v>1.1499999999999999</v>
      </c>
      <c r="U6" s="35">
        <f t="shared" si="0"/>
        <v>2.2999999999999998</v>
      </c>
      <c r="V6" s="35">
        <f t="shared" si="0"/>
        <v>4.5999999999999996</v>
      </c>
      <c r="W6" s="35">
        <f t="shared" si="0"/>
        <v>9.1999999999999993</v>
      </c>
      <c r="X6" s="35">
        <f t="shared" si="0"/>
        <v>18.399999999999999</v>
      </c>
      <c r="Y6" s="35">
        <f t="shared" si="0"/>
        <v>36.799999999999997</v>
      </c>
      <c r="Z6" s="35">
        <f t="shared" si="0"/>
        <v>73.599999999999994</v>
      </c>
      <c r="AA6" s="35">
        <f t="shared" si="0"/>
        <v>147.19999999999999</v>
      </c>
      <c r="AB6" s="35">
        <f t="shared" si="0"/>
        <v>294.39999999999998</v>
      </c>
      <c r="AC6" s="35">
        <f t="shared" si="0"/>
        <v>588.79999999999995</v>
      </c>
      <c r="AD6" s="35">
        <f t="shared" si="0"/>
        <v>1177.5999999999999</v>
      </c>
    </row>
    <row r="7" spans="1:30" s="3" customFormat="1" ht="16.5">
      <c r="A7" s="7">
        <f t="shared" si="1"/>
        <v>5</v>
      </c>
      <c r="B7" s="7" t="s">
        <v>109</v>
      </c>
      <c r="C7" s="23"/>
      <c r="D7" s="10">
        <v>1</v>
      </c>
      <c r="E7" s="13" t="s">
        <v>125</v>
      </c>
      <c r="F7" s="7"/>
      <c r="H7" s="7" t="s">
        <v>89</v>
      </c>
      <c r="I7" s="7" t="s">
        <v>124</v>
      </c>
      <c r="J7" s="52">
        <f>11/100</f>
        <v>0.11</v>
      </c>
      <c r="K7" s="52">
        <f t="shared" ref="K7:M7" si="6">11/100</f>
        <v>0.11</v>
      </c>
      <c r="L7" s="52">
        <f t="shared" si="6"/>
        <v>0.11</v>
      </c>
      <c r="M7" s="52">
        <f t="shared" si="6"/>
        <v>0.11</v>
      </c>
      <c r="N7" s="52">
        <f t="shared" ref="N7:R7" si="7">11/100</f>
        <v>0.11</v>
      </c>
      <c r="O7" s="52">
        <f t="shared" si="7"/>
        <v>0.11</v>
      </c>
      <c r="P7" s="52">
        <f t="shared" si="7"/>
        <v>0.11</v>
      </c>
      <c r="Q7" s="52">
        <f t="shared" si="7"/>
        <v>0.11</v>
      </c>
      <c r="R7" s="52">
        <f t="shared" si="7"/>
        <v>0.11</v>
      </c>
      <c r="S7" s="39" t="s">
        <v>249</v>
      </c>
      <c r="T7" s="35">
        <f t="shared" si="0"/>
        <v>0.11</v>
      </c>
      <c r="U7" s="35">
        <f t="shared" si="0"/>
        <v>0.22</v>
      </c>
      <c r="V7" s="35">
        <f t="shared" si="0"/>
        <v>0.44</v>
      </c>
      <c r="W7" s="35">
        <f t="shared" si="0"/>
        <v>0.88</v>
      </c>
      <c r="X7" s="35">
        <f t="shared" si="0"/>
        <v>1.76</v>
      </c>
      <c r="Y7" s="35">
        <f t="shared" si="0"/>
        <v>3.52</v>
      </c>
      <c r="Z7" s="35">
        <f t="shared" si="0"/>
        <v>7.04</v>
      </c>
      <c r="AA7" s="35">
        <f t="shared" si="0"/>
        <v>14.08</v>
      </c>
      <c r="AB7" s="35">
        <f t="shared" si="0"/>
        <v>28.16</v>
      </c>
      <c r="AC7" s="35">
        <f t="shared" si="0"/>
        <v>56.32</v>
      </c>
      <c r="AD7" s="35">
        <f t="shared" si="0"/>
        <v>112.64</v>
      </c>
    </row>
    <row r="8" spans="1:30" s="3" customFormat="1" ht="16.5">
      <c r="A8" s="7">
        <f t="shared" si="1"/>
        <v>6</v>
      </c>
      <c r="B8" s="7" t="s">
        <v>248</v>
      </c>
      <c r="C8" s="23" t="s">
        <v>227</v>
      </c>
      <c r="D8" s="10">
        <v>1</v>
      </c>
      <c r="E8" s="13" t="s">
        <v>272</v>
      </c>
      <c r="F8" s="7"/>
      <c r="H8" s="7"/>
      <c r="I8" s="7"/>
      <c r="J8" s="52">
        <f>10.92*Summary!$C$13</f>
        <v>4.6955999999999998</v>
      </c>
      <c r="K8" s="52">
        <f>10.92*Summary!$C$13</f>
        <v>4.6955999999999998</v>
      </c>
      <c r="L8" s="52">
        <f>10.92*Summary!$C$13</f>
        <v>4.6955999999999998</v>
      </c>
      <c r="M8" s="52">
        <f>10.92*Summary!$C$13</f>
        <v>4.6955999999999998</v>
      </c>
      <c r="N8" s="52">
        <f>10.92*Summary!$C$13</f>
        <v>4.6955999999999998</v>
      </c>
      <c r="O8" s="52">
        <f>10.92*Summary!$C$13</f>
        <v>4.6955999999999998</v>
      </c>
      <c r="P8" s="52">
        <f>10.92*Summary!$C$13</f>
        <v>4.6955999999999998</v>
      </c>
      <c r="Q8" s="52">
        <f>10.92*Summary!$C$13</f>
        <v>4.6955999999999998</v>
      </c>
      <c r="R8" s="52">
        <f>10.92*Summary!$C$13</f>
        <v>4.6955999999999998</v>
      </c>
      <c r="S8" s="39" t="s">
        <v>249</v>
      </c>
      <c r="T8" s="35">
        <f t="shared" si="0"/>
        <v>4.6955999999999998</v>
      </c>
      <c r="U8" s="35">
        <f t="shared" si="0"/>
        <v>9.3911999999999995</v>
      </c>
      <c r="V8" s="35">
        <f t="shared" si="0"/>
        <v>18.782399999999999</v>
      </c>
      <c r="W8" s="35">
        <f t="shared" si="0"/>
        <v>37.564799999999998</v>
      </c>
      <c r="X8" s="35">
        <f t="shared" si="0"/>
        <v>75.129599999999996</v>
      </c>
      <c r="Y8" s="35">
        <f t="shared" si="0"/>
        <v>150.25919999999999</v>
      </c>
      <c r="Z8" s="35">
        <f t="shared" si="0"/>
        <v>300.51839999999999</v>
      </c>
      <c r="AA8" s="35">
        <f t="shared" si="0"/>
        <v>601.03679999999997</v>
      </c>
      <c r="AB8" s="35">
        <f t="shared" si="0"/>
        <v>1202.0735999999999</v>
      </c>
      <c r="AC8" s="35">
        <f t="shared" si="0"/>
        <v>2404.1471999999999</v>
      </c>
      <c r="AD8" s="35">
        <f t="shared" si="0"/>
        <v>4808.2943999999998</v>
      </c>
    </row>
    <row r="9" spans="1:30" s="3" customFormat="1" ht="16.5">
      <c r="A9" s="7">
        <f t="shared" si="1"/>
        <v>7</v>
      </c>
      <c r="B9" s="7" t="s">
        <v>247</v>
      </c>
      <c r="C9" s="23" t="s">
        <v>227</v>
      </c>
      <c r="D9" s="10">
        <v>1</v>
      </c>
      <c r="E9" s="13" t="s">
        <v>273</v>
      </c>
      <c r="F9" s="7"/>
      <c r="H9" s="7"/>
      <c r="I9" s="7"/>
      <c r="J9" s="52">
        <f>3.86*Summary!$C$13</f>
        <v>1.6597999999999999</v>
      </c>
      <c r="K9" s="52">
        <f>3.86*Summary!$C$13</f>
        <v>1.6597999999999999</v>
      </c>
      <c r="L9" s="52">
        <f>3.86*Summary!$C$13</f>
        <v>1.6597999999999999</v>
      </c>
      <c r="M9" s="52">
        <f>3.86*Summary!$C$13</f>
        <v>1.6597999999999999</v>
      </c>
      <c r="N9" s="52">
        <f>3.86*Summary!$C$13</f>
        <v>1.6597999999999999</v>
      </c>
      <c r="O9" s="52">
        <f>3.86*Summary!$C$13</f>
        <v>1.6597999999999999</v>
      </c>
      <c r="P9" s="52">
        <f>3.86*Summary!$C$13</f>
        <v>1.6597999999999999</v>
      </c>
      <c r="Q9" s="52">
        <f>3.86*Summary!$C$13</f>
        <v>1.6597999999999999</v>
      </c>
      <c r="R9" s="52">
        <f>3.86*Summary!$C$13</f>
        <v>1.6597999999999999</v>
      </c>
      <c r="S9" s="39" t="s">
        <v>249</v>
      </c>
      <c r="T9" s="35">
        <f t="shared" si="0"/>
        <v>1.6597999999999999</v>
      </c>
      <c r="U9" s="35">
        <f t="shared" si="0"/>
        <v>3.3195999999999999</v>
      </c>
      <c r="V9" s="35">
        <f t="shared" si="0"/>
        <v>6.6391999999999998</v>
      </c>
      <c r="W9" s="35">
        <f t="shared" si="0"/>
        <v>13.2784</v>
      </c>
      <c r="X9" s="35">
        <f t="shared" si="0"/>
        <v>26.556799999999999</v>
      </c>
      <c r="Y9" s="35">
        <f t="shared" si="0"/>
        <v>53.113599999999998</v>
      </c>
      <c r="Z9" s="35">
        <f t="shared" si="0"/>
        <v>106.2272</v>
      </c>
      <c r="AA9" s="35">
        <f t="shared" si="0"/>
        <v>212.45439999999999</v>
      </c>
      <c r="AB9" s="35">
        <f t="shared" si="0"/>
        <v>424.90879999999999</v>
      </c>
      <c r="AC9" s="35">
        <f t="shared" si="0"/>
        <v>849.81759999999997</v>
      </c>
      <c r="AD9" s="35">
        <f t="shared" si="0"/>
        <v>1699.6351999999999</v>
      </c>
    </row>
    <row r="10" spans="1:30">
      <c r="A10" s="7">
        <f t="shared" si="1"/>
        <v>8</v>
      </c>
      <c r="B10" s="7" t="s">
        <v>231</v>
      </c>
      <c r="C10" s="23" t="s">
        <v>227</v>
      </c>
      <c r="D10" s="10">
        <v>1</v>
      </c>
      <c r="E10" t="s">
        <v>274</v>
      </c>
      <c r="J10" s="52">
        <f>0.13*Summary!$C$13</f>
        <v>5.5899999999999998E-2</v>
      </c>
      <c r="K10" s="52">
        <f>0.13*Summary!$C$13</f>
        <v>5.5899999999999998E-2</v>
      </c>
      <c r="L10" s="52">
        <f>0.13*Summary!$C$13</f>
        <v>5.5899999999999998E-2</v>
      </c>
      <c r="M10" s="52">
        <f>0.13*Summary!$C$13</f>
        <v>5.5899999999999998E-2</v>
      </c>
      <c r="N10" s="52">
        <f>0.13*Summary!$C$13</f>
        <v>5.5899999999999998E-2</v>
      </c>
      <c r="O10" s="52">
        <f>0.13*Summary!$C$13</f>
        <v>5.5899999999999998E-2</v>
      </c>
      <c r="P10" s="52">
        <f>0.13*Summary!$C$13</f>
        <v>5.5899999999999998E-2</v>
      </c>
      <c r="Q10" s="52">
        <f>0.13*Summary!$C$13</f>
        <v>5.5899999999999998E-2</v>
      </c>
      <c r="R10" s="52">
        <f>0.13*Summary!$C$13</f>
        <v>5.5899999999999998E-2</v>
      </c>
      <c r="S10" s="39" t="s">
        <v>249</v>
      </c>
      <c r="T10" s="35">
        <f t="shared" si="0"/>
        <v>5.5899999999999998E-2</v>
      </c>
      <c r="U10" s="35">
        <f t="shared" si="0"/>
        <v>0.1118</v>
      </c>
      <c r="V10" s="35">
        <f t="shared" si="0"/>
        <v>0.22359999999999999</v>
      </c>
      <c r="W10" s="35">
        <f t="shared" si="0"/>
        <v>0.44719999999999999</v>
      </c>
      <c r="X10" s="35">
        <f t="shared" si="0"/>
        <v>0.89439999999999997</v>
      </c>
      <c r="Y10" s="35">
        <f t="shared" si="0"/>
        <v>1.7887999999999999</v>
      </c>
      <c r="Z10" s="35">
        <f t="shared" si="0"/>
        <v>3.5775999999999999</v>
      </c>
      <c r="AA10" s="35">
        <f t="shared" si="0"/>
        <v>7.1551999999999998</v>
      </c>
      <c r="AB10" s="35">
        <f t="shared" si="0"/>
        <v>14.3104</v>
      </c>
      <c r="AC10" s="35">
        <f t="shared" si="0"/>
        <v>28.620799999999999</v>
      </c>
      <c r="AD10" s="35">
        <f t="shared" si="0"/>
        <v>57.241599999999998</v>
      </c>
    </row>
    <row r="11" spans="1:30">
      <c r="A11" s="7">
        <f t="shared" si="1"/>
        <v>9</v>
      </c>
      <c r="B11" s="7" t="s">
        <v>232</v>
      </c>
      <c r="C11" s="23" t="s">
        <v>227</v>
      </c>
      <c r="D11" s="10">
        <v>1</v>
      </c>
      <c r="E11" s="13" t="s">
        <v>275</v>
      </c>
      <c r="J11" s="52">
        <f>7.03*Summary!$C$13</f>
        <v>3.0228999999999999</v>
      </c>
      <c r="K11" s="52">
        <f>7.03*Summary!$C$13</f>
        <v>3.0228999999999999</v>
      </c>
      <c r="L11" s="52">
        <f>7.03*Summary!$C$13</f>
        <v>3.0228999999999999</v>
      </c>
      <c r="M11" s="52">
        <f>7.03*Summary!$C$13</f>
        <v>3.0228999999999999</v>
      </c>
      <c r="N11" s="52">
        <f>7.03*Summary!$C$13</f>
        <v>3.0228999999999999</v>
      </c>
      <c r="O11" s="52">
        <f>7.03*Summary!$C$13</f>
        <v>3.0228999999999999</v>
      </c>
      <c r="P11" s="52">
        <f>7.03*Summary!$C$13</f>
        <v>3.0228999999999999</v>
      </c>
      <c r="Q11" s="52">
        <f>7.03*Summary!$C$13</f>
        <v>3.0228999999999999</v>
      </c>
      <c r="R11" s="52">
        <f>7.03*Summary!$C$13</f>
        <v>3.0228999999999999</v>
      </c>
      <c r="S11" s="39" t="s">
        <v>249</v>
      </c>
      <c r="T11" s="35">
        <f t="shared" si="0"/>
        <v>3.0228999999999999</v>
      </c>
      <c r="U11" s="35">
        <f t="shared" si="0"/>
        <v>6.0457999999999998</v>
      </c>
      <c r="V11" s="35">
        <f t="shared" si="0"/>
        <v>12.0916</v>
      </c>
      <c r="W11" s="35">
        <f t="shared" si="0"/>
        <v>24.183199999999999</v>
      </c>
      <c r="X11" s="35">
        <f t="shared" si="0"/>
        <v>48.366399999999999</v>
      </c>
      <c r="Y11" s="35">
        <f t="shared" si="0"/>
        <v>96.732799999999997</v>
      </c>
      <c r="Z11" s="35">
        <f t="shared" si="0"/>
        <v>193.46559999999999</v>
      </c>
      <c r="AA11" s="35">
        <f t="shared" si="0"/>
        <v>386.93119999999999</v>
      </c>
      <c r="AB11" s="35">
        <f t="shared" si="0"/>
        <v>773.86239999999998</v>
      </c>
      <c r="AC11" s="35">
        <f t="shared" si="0"/>
        <v>1547.7248</v>
      </c>
      <c r="AD11" s="35">
        <f t="shared" si="0"/>
        <v>3095.4495999999999</v>
      </c>
    </row>
    <row r="12" spans="1:30">
      <c r="A12" s="7">
        <f t="shared" si="1"/>
        <v>10</v>
      </c>
      <c r="B12" s="7" t="s">
        <v>234</v>
      </c>
      <c r="C12" s="23" t="s">
        <v>227</v>
      </c>
      <c r="D12" s="10">
        <v>1</v>
      </c>
      <c r="E12" s="13" t="s">
        <v>276</v>
      </c>
      <c r="J12" s="52">
        <f>0.16*Summary!$C$13</f>
        <v>6.88E-2</v>
      </c>
      <c r="K12" s="52">
        <f>0.16*Summary!$C$13</f>
        <v>6.88E-2</v>
      </c>
      <c r="L12" s="52">
        <f>0.16*Summary!$C$13</f>
        <v>6.88E-2</v>
      </c>
      <c r="M12" s="52">
        <f>0.16*Summary!$C$13</f>
        <v>6.88E-2</v>
      </c>
      <c r="N12" s="52">
        <f>0.16*Summary!$C$13</f>
        <v>6.88E-2</v>
      </c>
      <c r="O12" s="52">
        <f>0.16*Summary!$C$13</f>
        <v>6.88E-2</v>
      </c>
      <c r="P12" s="52">
        <f>0.16*Summary!$C$13</f>
        <v>6.88E-2</v>
      </c>
      <c r="Q12" s="52">
        <f>0.16*Summary!$C$13</f>
        <v>6.88E-2</v>
      </c>
      <c r="R12" s="52">
        <f>0.16*Summary!$C$13</f>
        <v>6.88E-2</v>
      </c>
      <c r="S12" s="39" t="s">
        <v>249</v>
      </c>
      <c r="T12" s="35">
        <f t="shared" si="0"/>
        <v>6.88E-2</v>
      </c>
      <c r="U12" s="35">
        <f t="shared" si="0"/>
        <v>0.1376</v>
      </c>
      <c r="V12" s="35">
        <f t="shared" si="0"/>
        <v>0.2752</v>
      </c>
      <c r="W12" s="35">
        <f t="shared" si="0"/>
        <v>0.5504</v>
      </c>
      <c r="X12" s="35">
        <f t="shared" si="0"/>
        <v>1.1008</v>
      </c>
      <c r="Y12" s="35">
        <f t="shared" si="0"/>
        <v>2.2016</v>
      </c>
      <c r="Z12" s="35">
        <f t="shared" si="0"/>
        <v>4.4032</v>
      </c>
      <c r="AA12" s="35">
        <f t="shared" si="0"/>
        <v>8.8064</v>
      </c>
      <c r="AB12" s="35">
        <f t="shared" si="0"/>
        <v>17.6128</v>
      </c>
      <c r="AC12" s="35">
        <f t="shared" si="0"/>
        <v>35.2256</v>
      </c>
      <c r="AD12" s="35">
        <f t="shared" si="0"/>
        <v>70.4512</v>
      </c>
    </row>
    <row r="13" spans="1:30">
      <c r="S13" s="38" t="s">
        <v>257</v>
      </c>
      <c r="T13" s="36">
        <f t="shared" ref="T13:AD13" si="8">SUM(T3:T12)/T2</f>
        <v>107.95180000000001</v>
      </c>
      <c r="U13" s="36">
        <f t="shared" si="8"/>
        <v>107.95180000000001</v>
      </c>
      <c r="V13" s="36">
        <f t="shared" si="8"/>
        <v>107.95180000000001</v>
      </c>
      <c r="W13" s="36">
        <f t="shared" si="8"/>
        <v>100.29180000000001</v>
      </c>
      <c r="X13" s="36">
        <f t="shared" si="8"/>
        <v>100.29180000000001</v>
      </c>
      <c r="Y13" s="36">
        <f t="shared" si="8"/>
        <v>100.29180000000001</v>
      </c>
      <c r="Z13" s="36">
        <f t="shared" si="8"/>
        <v>100.29180000000001</v>
      </c>
      <c r="AA13" s="36">
        <f t="shared" si="8"/>
        <v>100.29180000000001</v>
      </c>
      <c r="AB13" s="36">
        <f t="shared" si="8"/>
        <v>100.29180000000001</v>
      </c>
      <c r="AC13" s="36">
        <f t="shared" si="8"/>
        <v>100.29180000000001</v>
      </c>
      <c r="AD13" s="36">
        <f t="shared" si="8"/>
        <v>100.29180000000001</v>
      </c>
    </row>
    <row r="14" spans="1:30">
      <c r="S14" s="38" t="s">
        <v>252</v>
      </c>
      <c r="T14" s="36">
        <f>T13*T$2</f>
        <v>107.95180000000001</v>
      </c>
      <c r="U14" s="36">
        <f t="shared" ref="U14:AD14" si="9">U13*U$2</f>
        <v>215.90360000000001</v>
      </c>
      <c r="V14" s="36">
        <f t="shared" si="9"/>
        <v>431.80720000000002</v>
      </c>
      <c r="W14" s="36">
        <f t="shared" si="9"/>
        <v>802.33440000000007</v>
      </c>
      <c r="X14" s="36">
        <f t="shared" si="9"/>
        <v>1604.6688000000001</v>
      </c>
      <c r="Y14" s="36">
        <f t="shared" si="9"/>
        <v>3209.3376000000003</v>
      </c>
      <c r="Z14" s="36">
        <f t="shared" si="9"/>
        <v>6418.6752000000006</v>
      </c>
      <c r="AA14" s="36">
        <f t="shared" si="9"/>
        <v>12837.350400000001</v>
      </c>
      <c r="AB14" s="36">
        <f t="shared" si="9"/>
        <v>25674.700800000002</v>
      </c>
      <c r="AC14" s="36">
        <f t="shared" si="9"/>
        <v>51349.401600000005</v>
      </c>
      <c r="AD14" s="36">
        <f t="shared" si="9"/>
        <v>102698.80320000001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AD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A2:I3"/>
    </sheetView>
  </sheetViews>
  <sheetFormatPr defaultColWidth="8.85546875" defaultRowHeight="15"/>
  <cols>
    <col min="1" max="1" width="3.42578125" customWidth="1"/>
    <col min="5" max="5" width="14.85546875" bestFit="1" customWidth="1"/>
    <col min="7" max="7" width="14" bestFit="1" customWidth="1"/>
    <col min="8" max="8" width="15" bestFit="1" customWidth="1"/>
    <col min="9" max="9" width="12.7109375" bestFit="1" customWidth="1"/>
    <col min="10" max="10" width="11.140625" bestFit="1" customWidth="1"/>
    <col min="11" max="18" width="10.42578125" bestFit="1" customWidth="1"/>
    <col min="30" max="30" width="10.140625" bestFit="1" customWidth="1"/>
  </cols>
  <sheetData>
    <row r="1" spans="1:30" s="37" customFormat="1">
      <c r="J1" s="37" t="s">
        <v>203</v>
      </c>
      <c r="T1" s="37" t="s">
        <v>251</v>
      </c>
    </row>
    <row r="2" spans="1:30" s="26" customFormat="1" ht="15.75" thickBot="1">
      <c r="A2" s="29"/>
      <c r="B2" s="29" t="s">
        <v>3</v>
      </c>
      <c r="C2" s="29" t="s">
        <v>107</v>
      </c>
      <c r="D2" s="29" t="s">
        <v>0</v>
      </c>
      <c r="E2" s="29" t="s">
        <v>222</v>
      </c>
      <c r="F2" s="29" t="s">
        <v>201</v>
      </c>
      <c r="G2" s="29" t="s">
        <v>202</v>
      </c>
      <c r="H2" s="29" t="s">
        <v>91</v>
      </c>
      <c r="I2" s="29" t="s">
        <v>221</v>
      </c>
      <c r="J2" s="29">
        <v>1</v>
      </c>
      <c r="K2" s="29">
        <v>2</v>
      </c>
      <c r="L2" s="29">
        <v>3</v>
      </c>
      <c r="M2" s="29">
        <v>5</v>
      </c>
      <c r="N2" s="29">
        <v>6</v>
      </c>
      <c r="O2" s="29">
        <v>10</v>
      </c>
      <c r="P2" s="29">
        <v>15</v>
      </c>
      <c r="Q2" s="29">
        <v>25</v>
      </c>
      <c r="R2" s="29">
        <v>50</v>
      </c>
      <c r="S2" s="38" t="s">
        <v>250</v>
      </c>
      <c r="T2" s="31">
        <f>Modules!D30</f>
        <v>1</v>
      </c>
      <c r="U2" s="31">
        <f>Modules!E30</f>
        <v>2</v>
      </c>
      <c r="V2" s="31">
        <f>Modules!F30</f>
        <v>4</v>
      </c>
      <c r="W2" s="31">
        <f>Modules!G30</f>
        <v>8</v>
      </c>
      <c r="X2" s="31">
        <f>Modules!H30</f>
        <v>16</v>
      </c>
      <c r="Y2" s="31">
        <f>Modules!I30</f>
        <v>32</v>
      </c>
      <c r="Z2" s="31">
        <f>Modules!J30</f>
        <v>64</v>
      </c>
      <c r="AA2" s="31">
        <f>Modules!K30</f>
        <v>128</v>
      </c>
      <c r="AB2" s="31">
        <f>Modules!L30</f>
        <v>256</v>
      </c>
      <c r="AC2" s="31">
        <f>Modules!M30</f>
        <v>512</v>
      </c>
      <c r="AD2" s="31">
        <f>Modules!N30</f>
        <v>1024</v>
      </c>
    </row>
    <row r="3" spans="1:30" s="3" customFormat="1" ht="17.25" thickTop="1">
      <c r="A3" s="7">
        <v>1</v>
      </c>
      <c r="B3" s="7" t="s">
        <v>264</v>
      </c>
      <c r="C3" s="23"/>
      <c r="D3" s="10">
        <v>1</v>
      </c>
      <c r="E3" s="16" t="s">
        <v>233</v>
      </c>
      <c r="F3" s="7" t="s">
        <v>79</v>
      </c>
      <c r="G3" s="7" t="s">
        <v>80</v>
      </c>
      <c r="H3" s="12" t="s">
        <v>265</v>
      </c>
      <c r="I3" s="7" t="s">
        <v>80</v>
      </c>
      <c r="J3" s="52">
        <v>164.3</v>
      </c>
      <c r="K3" s="52">
        <v>159.69999999999999</v>
      </c>
      <c r="L3" s="52">
        <v>155.4</v>
      </c>
      <c r="M3" s="52">
        <v>149.4</v>
      </c>
      <c r="N3" s="52">
        <v>149.4</v>
      </c>
      <c r="O3" s="52">
        <v>137.9</v>
      </c>
      <c r="P3" s="52">
        <v>130.9</v>
      </c>
      <c r="Q3" s="52">
        <v>121.6</v>
      </c>
      <c r="R3" s="52">
        <v>121.6</v>
      </c>
      <c r="S3" s="39" t="s">
        <v>249</v>
      </c>
      <c r="T3" s="35">
        <f>HLOOKUP($D3*T$2,$J$2:$R$13,$A3+1,TRUE)*$D3*T$2</f>
        <v>164.3</v>
      </c>
      <c r="U3" s="35">
        <f t="shared" ref="U3:AD3" si="0">HLOOKUP($D3*U$2,$J$2:$R$13,$A3+1,TRUE)*$D3*U$2</f>
        <v>319.39999999999998</v>
      </c>
      <c r="V3" s="35">
        <f t="shared" si="0"/>
        <v>621.6</v>
      </c>
      <c r="W3" s="35">
        <f t="shared" si="0"/>
        <v>1195.2</v>
      </c>
      <c r="X3" s="35">
        <f t="shared" si="0"/>
        <v>2094.4</v>
      </c>
      <c r="Y3" s="35">
        <f t="shared" si="0"/>
        <v>3891.2</v>
      </c>
      <c r="Z3" s="35">
        <f t="shared" si="0"/>
        <v>7782.4</v>
      </c>
      <c r="AA3" s="35">
        <f t="shared" si="0"/>
        <v>15564.8</v>
      </c>
      <c r="AB3" s="35">
        <f t="shared" si="0"/>
        <v>31129.599999999999</v>
      </c>
      <c r="AC3" s="35">
        <f t="shared" si="0"/>
        <v>62259.199999999997</v>
      </c>
      <c r="AD3" s="35">
        <f t="shared" si="0"/>
        <v>124518.39999999999</v>
      </c>
    </row>
    <row r="4" spans="1:30">
      <c r="S4" s="38" t="s">
        <v>257</v>
      </c>
      <c r="T4" s="36">
        <f>SUM(T3)/T2</f>
        <v>164.3</v>
      </c>
      <c r="U4" s="36">
        <f t="shared" ref="U4:AD4" si="1">SUM(U3)/U2</f>
        <v>159.69999999999999</v>
      </c>
      <c r="V4" s="36">
        <f t="shared" si="1"/>
        <v>155.4</v>
      </c>
      <c r="W4" s="36">
        <f t="shared" si="1"/>
        <v>149.4</v>
      </c>
      <c r="X4" s="36">
        <f t="shared" si="1"/>
        <v>130.9</v>
      </c>
      <c r="Y4" s="36">
        <f t="shared" si="1"/>
        <v>121.6</v>
      </c>
      <c r="Z4" s="36">
        <f t="shared" si="1"/>
        <v>121.6</v>
      </c>
      <c r="AA4" s="36">
        <f t="shared" si="1"/>
        <v>121.6</v>
      </c>
      <c r="AB4" s="36">
        <f t="shared" si="1"/>
        <v>121.6</v>
      </c>
      <c r="AC4" s="36">
        <f t="shared" si="1"/>
        <v>121.6</v>
      </c>
      <c r="AD4" s="36">
        <f t="shared" si="1"/>
        <v>121.6</v>
      </c>
    </row>
    <row r="5" spans="1:30">
      <c r="S5" s="38" t="s">
        <v>252</v>
      </c>
      <c r="T5" s="36">
        <f>T4*T$2</f>
        <v>164.3</v>
      </c>
      <c r="U5" s="36">
        <f t="shared" ref="U5:AD5" si="2">U4*U$2</f>
        <v>319.39999999999998</v>
      </c>
      <c r="V5" s="36">
        <f t="shared" si="2"/>
        <v>621.6</v>
      </c>
      <c r="W5" s="36">
        <f t="shared" si="2"/>
        <v>1195.2</v>
      </c>
      <c r="X5" s="36">
        <f t="shared" si="2"/>
        <v>2094.4</v>
      </c>
      <c r="Y5" s="36">
        <f t="shared" si="2"/>
        <v>3891.2</v>
      </c>
      <c r="Z5" s="36">
        <f t="shared" si="2"/>
        <v>7782.4</v>
      </c>
      <c r="AA5" s="36">
        <f t="shared" si="2"/>
        <v>15564.8</v>
      </c>
      <c r="AB5" s="36">
        <f t="shared" si="2"/>
        <v>31129.599999999999</v>
      </c>
      <c r="AC5" s="36">
        <f t="shared" si="2"/>
        <v>62259.199999999997</v>
      </c>
      <c r="AD5" s="36">
        <f t="shared" si="2"/>
        <v>124518.39999999999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AQ14"/>
  <sheetViews>
    <sheetView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J9" sqref="J9:AE9"/>
    </sheetView>
  </sheetViews>
  <sheetFormatPr defaultColWidth="8.85546875" defaultRowHeight="15"/>
  <cols>
    <col min="1" max="1" width="2.42578125" bestFit="1" customWidth="1"/>
    <col min="2" max="2" width="25" customWidth="1"/>
    <col min="3" max="3" width="9.85546875" customWidth="1"/>
    <col min="4" max="4" width="8.85546875" style="1"/>
    <col min="7" max="7" width="13.28515625" customWidth="1"/>
    <col min="8" max="8" width="24.42578125" customWidth="1"/>
    <col min="9" max="9" width="16.28515625" customWidth="1"/>
    <col min="10" max="11" width="10.7109375" customWidth="1"/>
    <col min="12" max="12" width="9.7109375" bestFit="1" customWidth="1"/>
    <col min="13" max="14" width="9.7109375" customWidth="1"/>
    <col min="15" max="19" width="10" customWidth="1"/>
    <col min="20" max="20" width="10.42578125" bestFit="1" customWidth="1"/>
    <col min="21" max="22" width="10.42578125" customWidth="1"/>
    <col min="23" max="23" width="10.42578125" bestFit="1" customWidth="1"/>
    <col min="24" max="25" width="10.42578125" customWidth="1"/>
    <col min="26" max="31" width="10" customWidth="1"/>
    <col min="32" max="32" width="25.28515625" bestFit="1" customWidth="1"/>
    <col min="33" max="43" width="9.42578125" customWidth="1"/>
  </cols>
  <sheetData>
    <row r="1" spans="1:43" s="37" customFormat="1">
      <c r="D1" s="40"/>
      <c r="J1" s="37" t="s">
        <v>203</v>
      </c>
      <c r="AG1" s="37" t="s">
        <v>251</v>
      </c>
    </row>
    <row r="2" spans="1:43" s="26" customFormat="1" ht="15.75" thickBot="1">
      <c r="B2" s="26" t="s">
        <v>3</v>
      </c>
      <c r="C2" s="26" t="s">
        <v>107</v>
      </c>
      <c r="D2" s="27" t="s">
        <v>0</v>
      </c>
      <c r="E2" s="28" t="s">
        <v>1</v>
      </c>
      <c r="F2" s="26" t="s">
        <v>2</v>
      </c>
      <c r="G2" s="26" t="s">
        <v>201</v>
      </c>
      <c r="H2" s="26" t="s">
        <v>202</v>
      </c>
      <c r="I2" s="26" t="s">
        <v>91</v>
      </c>
      <c r="J2" s="29">
        <v>6</v>
      </c>
      <c r="K2" s="29">
        <v>10</v>
      </c>
      <c r="L2" s="29">
        <v>12</v>
      </c>
      <c r="M2" s="29">
        <v>18</v>
      </c>
      <c r="N2" s="29">
        <v>24</v>
      </c>
      <c r="O2" s="29">
        <v>25</v>
      </c>
      <c r="P2" s="29">
        <v>30</v>
      </c>
      <c r="Q2" s="29">
        <v>36</v>
      </c>
      <c r="R2" s="29">
        <v>42</v>
      </c>
      <c r="S2" s="29">
        <v>48</v>
      </c>
      <c r="T2" s="29">
        <v>50</v>
      </c>
      <c r="U2" s="29">
        <v>66</v>
      </c>
      <c r="V2" s="29">
        <v>78</v>
      </c>
      <c r="W2" s="29">
        <v>100</v>
      </c>
      <c r="X2" s="29">
        <v>150</v>
      </c>
      <c r="Y2" s="29">
        <v>200</v>
      </c>
      <c r="Z2" s="29">
        <v>250</v>
      </c>
      <c r="AA2" s="29">
        <v>500</v>
      </c>
      <c r="AB2" s="29">
        <v>750</v>
      </c>
      <c r="AC2" s="29">
        <v>1000</v>
      </c>
      <c r="AD2" s="29">
        <v>2500</v>
      </c>
      <c r="AE2" s="29">
        <v>5000</v>
      </c>
      <c r="AF2" s="38" t="s">
        <v>250</v>
      </c>
      <c r="AG2" s="31">
        <f>Modules!D30*6</f>
        <v>6</v>
      </c>
      <c r="AH2" s="31">
        <f>Modules!E30*6</f>
        <v>12</v>
      </c>
      <c r="AI2" s="31">
        <f>Modules!F30*6</f>
        <v>24</v>
      </c>
      <c r="AJ2" s="31">
        <f>Modules!G30*6</f>
        <v>48</v>
      </c>
      <c r="AK2" s="31">
        <f>Modules!H30*6</f>
        <v>96</v>
      </c>
      <c r="AL2" s="31">
        <f>Modules!I30*6</f>
        <v>192</v>
      </c>
      <c r="AM2" s="31">
        <f>Modules!J30*6</f>
        <v>384</v>
      </c>
      <c r="AN2" s="31">
        <f>Modules!K30*6</f>
        <v>768</v>
      </c>
      <c r="AO2" s="31">
        <f>Modules!L30*6</f>
        <v>1536</v>
      </c>
      <c r="AP2" s="31">
        <f>Modules!M30*6</f>
        <v>3072</v>
      </c>
      <c r="AQ2" s="31">
        <f>Modules!N30*6</f>
        <v>6144</v>
      </c>
    </row>
    <row r="3" spans="1:43" s="3" customFormat="1" ht="17.25" thickTop="1">
      <c r="A3" s="7">
        <v>1</v>
      </c>
      <c r="B3" s="7" t="s">
        <v>70</v>
      </c>
      <c r="C3" s="7"/>
      <c r="D3" s="10">
        <v>8</v>
      </c>
      <c r="E3" s="7" t="s">
        <v>94</v>
      </c>
      <c r="F3" s="7"/>
      <c r="G3" s="7" t="s">
        <v>96</v>
      </c>
      <c r="H3" s="7" t="s">
        <v>127</v>
      </c>
      <c r="I3" s="7" t="s">
        <v>9</v>
      </c>
      <c r="J3" s="52">
        <v>0.44</v>
      </c>
      <c r="K3" s="52">
        <v>0.3</v>
      </c>
      <c r="L3" s="52">
        <v>0.3</v>
      </c>
      <c r="M3" s="52">
        <f>L3</f>
        <v>0.3</v>
      </c>
      <c r="N3" s="52">
        <v>0.3</v>
      </c>
      <c r="O3" s="52">
        <v>0.3</v>
      </c>
      <c r="P3" s="52">
        <f>O3</f>
        <v>0.3</v>
      </c>
      <c r="Q3" s="52">
        <f t="shared" ref="Q3:S3" si="0">P3</f>
        <v>0.3</v>
      </c>
      <c r="R3" s="52">
        <f t="shared" si="0"/>
        <v>0.3</v>
      </c>
      <c r="S3" s="52">
        <f t="shared" si="0"/>
        <v>0.3</v>
      </c>
      <c r="T3" s="52">
        <v>0.17499999999999999</v>
      </c>
      <c r="U3" s="52">
        <f>T3</f>
        <v>0.17499999999999999</v>
      </c>
      <c r="V3" s="52">
        <f>U3</f>
        <v>0.17499999999999999</v>
      </c>
      <c r="W3" s="52">
        <v>0.13500000000000001</v>
      </c>
      <c r="X3" s="52">
        <f>W3</f>
        <v>0.13500000000000001</v>
      </c>
      <c r="Y3" s="52">
        <f>X3</f>
        <v>0.13500000000000001</v>
      </c>
      <c r="Z3" s="52">
        <v>0.105</v>
      </c>
      <c r="AA3" s="52">
        <v>7.3999999999999996E-2</v>
      </c>
      <c r="AB3" s="52">
        <v>7.3999999999999996E-2</v>
      </c>
      <c r="AC3" s="52">
        <v>5.3999999999999999E-2</v>
      </c>
      <c r="AD3" s="52">
        <v>5.3999999999999999E-2</v>
      </c>
      <c r="AE3" s="52">
        <v>5.3999999999999999E-2</v>
      </c>
      <c r="AF3" s="39" t="s">
        <v>249</v>
      </c>
      <c r="AG3" s="35">
        <f t="shared" ref="AG3:AQ7" si="1">HLOOKUP($D3*AG$2,$J$2:$AE$7,$A3+1,TRUE)*$D3</f>
        <v>2.4</v>
      </c>
      <c r="AH3" s="35">
        <f t="shared" si="1"/>
        <v>1.4</v>
      </c>
      <c r="AI3" s="35">
        <f t="shared" si="1"/>
        <v>1.08</v>
      </c>
      <c r="AJ3" s="35">
        <f t="shared" si="1"/>
        <v>0.84</v>
      </c>
      <c r="AK3" s="35">
        <f t="shared" si="1"/>
        <v>0.59199999999999997</v>
      </c>
      <c r="AL3" s="35">
        <f t="shared" si="1"/>
        <v>0.432</v>
      </c>
      <c r="AM3" s="35">
        <f t="shared" si="1"/>
        <v>0.432</v>
      </c>
      <c r="AN3" s="35">
        <f t="shared" si="1"/>
        <v>0.432</v>
      </c>
      <c r="AO3" s="35">
        <f t="shared" si="1"/>
        <v>0.432</v>
      </c>
      <c r="AP3" s="35">
        <f t="shared" si="1"/>
        <v>0.432</v>
      </c>
      <c r="AQ3" s="35">
        <f t="shared" si="1"/>
        <v>0.432</v>
      </c>
    </row>
    <row r="4" spans="1:43" s="3" customFormat="1" ht="16.5">
      <c r="A4" s="7">
        <v>2</v>
      </c>
      <c r="B4" s="7" t="s">
        <v>72</v>
      </c>
      <c r="C4" s="7"/>
      <c r="D4" s="10">
        <v>1</v>
      </c>
      <c r="E4" s="7"/>
      <c r="F4" s="7"/>
      <c r="G4" s="7" t="s">
        <v>75</v>
      </c>
      <c r="H4" s="7" t="s">
        <v>74</v>
      </c>
      <c r="I4" s="7" t="s">
        <v>9</v>
      </c>
      <c r="J4" s="52">
        <v>0.7</v>
      </c>
      <c r="K4" s="52">
        <v>0.61399999999999999</v>
      </c>
      <c r="L4" s="52">
        <v>0.61399999999999999</v>
      </c>
      <c r="M4" s="52">
        <f t="shared" ref="M4:N4" si="2">L4</f>
        <v>0.61399999999999999</v>
      </c>
      <c r="N4" s="52">
        <f t="shared" si="2"/>
        <v>0.61399999999999999</v>
      </c>
      <c r="O4" s="52">
        <v>0.54239999999999999</v>
      </c>
      <c r="P4" s="52">
        <f t="shared" ref="P4:S4" si="3">O4</f>
        <v>0.54239999999999999</v>
      </c>
      <c r="Q4" s="52">
        <f t="shared" si="3"/>
        <v>0.54239999999999999</v>
      </c>
      <c r="R4" s="52">
        <f t="shared" si="3"/>
        <v>0.54239999999999999</v>
      </c>
      <c r="S4" s="52">
        <f t="shared" si="3"/>
        <v>0.54239999999999999</v>
      </c>
      <c r="T4" s="52">
        <v>0.54239999999999999</v>
      </c>
      <c r="U4" s="52">
        <f>T4</f>
        <v>0.54239999999999999</v>
      </c>
      <c r="V4" s="52">
        <f>U4</f>
        <v>0.54239999999999999</v>
      </c>
      <c r="W4" s="52">
        <v>0.47260000000000002</v>
      </c>
      <c r="X4" s="52">
        <f>W4</f>
        <v>0.47260000000000002</v>
      </c>
      <c r="Y4" s="52">
        <f>X4</f>
        <v>0.47260000000000002</v>
      </c>
      <c r="Z4" s="52">
        <v>0.41139999999999999</v>
      </c>
      <c r="AA4" s="52">
        <v>0.35020000000000001</v>
      </c>
      <c r="AB4" s="52">
        <v>0.35020000000000001</v>
      </c>
      <c r="AC4" s="52">
        <v>0.28050000000000003</v>
      </c>
      <c r="AD4" s="52">
        <v>0.25330000000000003</v>
      </c>
      <c r="AE4" s="52">
        <v>0.25330000000000003</v>
      </c>
      <c r="AF4" s="39" t="s">
        <v>249</v>
      </c>
      <c r="AG4" s="35">
        <f t="shared" si="1"/>
        <v>0.7</v>
      </c>
      <c r="AH4" s="35">
        <f t="shared" si="1"/>
        <v>0.61399999999999999</v>
      </c>
      <c r="AI4" s="35">
        <f t="shared" si="1"/>
        <v>0.61399999999999999</v>
      </c>
      <c r="AJ4" s="35">
        <f t="shared" si="1"/>
        <v>0.54239999999999999</v>
      </c>
      <c r="AK4" s="35">
        <f t="shared" si="1"/>
        <v>0.54239999999999999</v>
      </c>
      <c r="AL4" s="35">
        <f t="shared" si="1"/>
        <v>0.47260000000000002</v>
      </c>
      <c r="AM4" s="35">
        <f t="shared" si="1"/>
        <v>0.41139999999999999</v>
      </c>
      <c r="AN4" s="35">
        <f t="shared" si="1"/>
        <v>0.35020000000000001</v>
      </c>
      <c r="AO4" s="35">
        <f t="shared" si="1"/>
        <v>0.28050000000000003</v>
      </c>
      <c r="AP4" s="35">
        <f t="shared" si="1"/>
        <v>0.25330000000000003</v>
      </c>
      <c r="AQ4" s="35">
        <f t="shared" si="1"/>
        <v>0.25330000000000003</v>
      </c>
    </row>
    <row r="5" spans="1:43" s="3" customFormat="1" ht="16.5">
      <c r="A5" s="7">
        <v>3</v>
      </c>
      <c r="B5" s="7" t="s">
        <v>73</v>
      </c>
      <c r="C5" s="7"/>
      <c r="D5" s="10">
        <v>1</v>
      </c>
      <c r="E5" s="7"/>
      <c r="F5" s="7"/>
      <c r="G5" s="7" t="s">
        <v>108</v>
      </c>
      <c r="H5" s="7" t="s">
        <v>113</v>
      </c>
      <c r="I5" s="7" t="s">
        <v>108</v>
      </c>
      <c r="J5" s="52">
        <f t="shared" ref="J5:AE5" si="4">69/250</f>
        <v>0.27600000000000002</v>
      </c>
      <c r="K5" s="52">
        <f t="shared" si="4"/>
        <v>0.27600000000000002</v>
      </c>
      <c r="L5" s="52">
        <f t="shared" si="4"/>
        <v>0.27600000000000002</v>
      </c>
      <c r="M5" s="52">
        <f t="shared" si="4"/>
        <v>0.27600000000000002</v>
      </c>
      <c r="N5" s="52">
        <f t="shared" si="4"/>
        <v>0.27600000000000002</v>
      </c>
      <c r="O5" s="52">
        <f t="shared" si="4"/>
        <v>0.27600000000000002</v>
      </c>
      <c r="P5" s="52">
        <f t="shared" si="4"/>
        <v>0.27600000000000002</v>
      </c>
      <c r="Q5" s="52">
        <f t="shared" si="4"/>
        <v>0.27600000000000002</v>
      </c>
      <c r="R5" s="52">
        <f t="shared" si="4"/>
        <v>0.27600000000000002</v>
      </c>
      <c r="S5" s="52">
        <f t="shared" si="4"/>
        <v>0.27600000000000002</v>
      </c>
      <c r="T5" s="52">
        <f t="shared" si="4"/>
        <v>0.27600000000000002</v>
      </c>
      <c r="U5" s="52">
        <f t="shared" si="4"/>
        <v>0.27600000000000002</v>
      </c>
      <c r="V5" s="52">
        <f t="shared" si="4"/>
        <v>0.27600000000000002</v>
      </c>
      <c r="W5" s="52">
        <f t="shared" si="4"/>
        <v>0.27600000000000002</v>
      </c>
      <c r="X5" s="52">
        <f t="shared" si="4"/>
        <v>0.27600000000000002</v>
      </c>
      <c r="Y5" s="52">
        <f t="shared" si="4"/>
        <v>0.27600000000000002</v>
      </c>
      <c r="Z5" s="52">
        <f t="shared" si="4"/>
        <v>0.27600000000000002</v>
      </c>
      <c r="AA5" s="52">
        <f t="shared" si="4"/>
        <v>0.27600000000000002</v>
      </c>
      <c r="AB5" s="52">
        <f t="shared" si="4"/>
        <v>0.27600000000000002</v>
      </c>
      <c r="AC5" s="52">
        <f t="shared" si="4"/>
        <v>0.27600000000000002</v>
      </c>
      <c r="AD5" s="52">
        <f t="shared" si="4"/>
        <v>0.27600000000000002</v>
      </c>
      <c r="AE5" s="52">
        <f t="shared" si="4"/>
        <v>0.27600000000000002</v>
      </c>
      <c r="AF5" s="39" t="s">
        <v>249</v>
      </c>
      <c r="AG5" s="35">
        <f t="shared" si="1"/>
        <v>0.27600000000000002</v>
      </c>
      <c r="AH5" s="35">
        <f t="shared" si="1"/>
        <v>0.27600000000000002</v>
      </c>
      <c r="AI5" s="35">
        <f t="shared" si="1"/>
        <v>0.27600000000000002</v>
      </c>
      <c r="AJ5" s="35">
        <f t="shared" si="1"/>
        <v>0.27600000000000002</v>
      </c>
      <c r="AK5" s="35">
        <f t="shared" si="1"/>
        <v>0.27600000000000002</v>
      </c>
      <c r="AL5" s="35">
        <f t="shared" si="1"/>
        <v>0.27600000000000002</v>
      </c>
      <c r="AM5" s="35">
        <f t="shared" si="1"/>
        <v>0.27600000000000002</v>
      </c>
      <c r="AN5" s="35">
        <f t="shared" si="1"/>
        <v>0.27600000000000002</v>
      </c>
      <c r="AO5" s="35">
        <f t="shared" si="1"/>
        <v>0.27600000000000002</v>
      </c>
      <c r="AP5" s="35">
        <f t="shared" si="1"/>
        <v>0.27600000000000002</v>
      </c>
      <c r="AQ5" s="35">
        <f t="shared" si="1"/>
        <v>0.27600000000000002</v>
      </c>
    </row>
    <row r="6" spans="1:43" s="3" customFormat="1" ht="16.5">
      <c r="A6" s="7">
        <v>4</v>
      </c>
      <c r="B6" s="7" t="s">
        <v>126</v>
      </c>
      <c r="C6" s="7"/>
      <c r="D6" s="10">
        <v>1</v>
      </c>
      <c r="E6" s="7"/>
      <c r="F6" s="7"/>
      <c r="G6" s="7" t="s">
        <v>85</v>
      </c>
      <c r="H6" s="7" t="s">
        <v>271</v>
      </c>
      <c r="I6" s="7" t="s">
        <v>85</v>
      </c>
      <c r="J6" s="52">
        <f t="shared" ref="J6:K6" si="5">750/J2</f>
        <v>125</v>
      </c>
      <c r="K6" s="52">
        <f t="shared" si="5"/>
        <v>75</v>
      </c>
      <c r="L6" s="52">
        <f t="shared" ref="L6:W6" si="6">750/L2</f>
        <v>62.5</v>
      </c>
      <c r="M6" s="52">
        <f t="shared" si="6"/>
        <v>41.666666666666664</v>
      </c>
      <c r="N6" s="52">
        <f t="shared" ref="N6" si="7">750/N2</f>
        <v>31.25</v>
      </c>
      <c r="O6" s="52">
        <f t="shared" si="6"/>
        <v>30</v>
      </c>
      <c r="P6" s="52">
        <f t="shared" ref="P6:S6" si="8">750/P2</f>
        <v>25</v>
      </c>
      <c r="Q6" s="52">
        <f t="shared" si="8"/>
        <v>20.833333333333332</v>
      </c>
      <c r="R6" s="52">
        <f t="shared" si="8"/>
        <v>17.857142857142858</v>
      </c>
      <c r="S6" s="52">
        <f t="shared" si="8"/>
        <v>15.625</v>
      </c>
      <c r="T6" s="52">
        <f t="shared" si="6"/>
        <v>15</v>
      </c>
      <c r="U6" s="52">
        <f t="shared" ref="U6:V6" si="9">750/U2</f>
        <v>11.363636363636363</v>
      </c>
      <c r="V6" s="52">
        <f t="shared" si="9"/>
        <v>9.615384615384615</v>
      </c>
      <c r="W6" s="52">
        <f t="shared" si="6"/>
        <v>7.5</v>
      </c>
      <c r="X6" s="52">
        <f t="shared" ref="X6:Y6" si="10">750/X2</f>
        <v>5</v>
      </c>
      <c r="Y6" s="52">
        <f t="shared" si="10"/>
        <v>3.75</v>
      </c>
      <c r="Z6" s="52">
        <f>2.74*300/Z2</f>
        <v>3.2880000000000003</v>
      </c>
      <c r="AA6" s="52">
        <v>2.0099999999999998</v>
      </c>
      <c r="AB6" s="52">
        <f>AA6</f>
        <v>2.0099999999999998</v>
      </c>
      <c r="AC6" s="52">
        <f t="shared" ref="AC6:AE6" si="11">AB6</f>
        <v>2.0099999999999998</v>
      </c>
      <c r="AD6" s="52">
        <f t="shared" si="11"/>
        <v>2.0099999999999998</v>
      </c>
      <c r="AE6" s="52">
        <f t="shared" si="11"/>
        <v>2.0099999999999998</v>
      </c>
      <c r="AF6" s="39" t="s">
        <v>249</v>
      </c>
      <c r="AG6" s="35">
        <f t="shared" si="1"/>
        <v>125</v>
      </c>
      <c r="AH6" s="35">
        <f t="shared" si="1"/>
        <v>62.5</v>
      </c>
      <c r="AI6" s="35">
        <f t="shared" si="1"/>
        <v>31.25</v>
      </c>
      <c r="AJ6" s="35">
        <f t="shared" si="1"/>
        <v>15.625</v>
      </c>
      <c r="AK6" s="35">
        <f t="shared" si="1"/>
        <v>9.615384615384615</v>
      </c>
      <c r="AL6" s="35">
        <f t="shared" si="1"/>
        <v>5</v>
      </c>
      <c r="AM6" s="35">
        <f t="shared" si="1"/>
        <v>3.2880000000000003</v>
      </c>
      <c r="AN6" s="35">
        <f t="shared" si="1"/>
        <v>2.0099999999999998</v>
      </c>
      <c r="AO6" s="35">
        <f t="shared" si="1"/>
        <v>2.0099999999999998</v>
      </c>
      <c r="AP6" s="35">
        <f t="shared" si="1"/>
        <v>2.0099999999999998</v>
      </c>
      <c r="AQ6" s="35">
        <f t="shared" si="1"/>
        <v>2.0099999999999998</v>
      </c>
    </row>
    <row r="7" spans="1:43">
      <c r="A7" s="7">
        <v>5</v>
      </c>
      <c r="B7" s="21" t="s">
        <v>243</v>
      </c>
      <c r="C7" s="23"/>
      <c r="D7" s="22">
        <v>1</v>
      </c>
      <c r="E7" s="24"/>
      <c r="F7" s="21"/>
      <c r="G7" s="21"/>
      <c r="H7" s="21"/>
      <c r="I7" s="21" t="s">
        <v>244</v>
      </c>
      <c r="J7" s="52">
        <f>1.22*1.22*5*CEILING(J2/3,1)/J2</f>
        <v>2.4806666666666666</v>
      </c>
      <c r="K7" s="52">
        <f t="shared" ref="K7:W7" si="12">1.22*1.22*5*CEILING(K2/3,1)/K2</f>
        <v>2.9767999999999999</v>
      </c>
      <c r="L7" s="52">
        <f t="shared" si="12"/>
        <v>2.4806666666666666</v>
      </c>
      <c r="M7" s="52">
        <f t="shared" si="12"/>
        <v>2.4806666666666666</v>
      </c>
      <c r="N7" s="52">
        <f t="shared" si="12"/>
        <v>2.4806666666666666</v>
      </c>
      <c r="O7" s="52">
        <f t="shared" si="12"/>
        <v>2.6791200000000002</v>
      </c>
      <c r="P7" s="52">
        <f t="shared" ref="P7:S7" si="13">1.22*1.22*5*CEILING(P2/3,1)/P2</f>
        <v>2.4806666666666666</v>
      </c>
      <c r="Q7" s="52">
        <f t="shared" si="13"/>
        <v>2.4806666666666666</v>
      </c>
      <c r="R7" s="52">
        <f t="shared" si="13"/>
        <v>2.4806666666666666</v>
      </c>
      <c r="S7" s="52">
        <f t="shared" si="13"/>
        <v>2.4806666666666666</v>
      </c>
      <c r="T7" s="52">
        <f t="shared" si="12"/>
        <v>2.5302800000000003</v>
      </c>
      <c r="U7" s="52">
        <f t="shared" ref="U7:V7" si="14">1.22*1.22*5*CEILING(U2/3,1)/U2</f>
        <v>2.4806666666666666</v>
      </c>
      <c r="V7" s="52">
        <f t="shared" si="14"/>
        <v>2.480666666666667</v>
      </c>
      <c r="W7" s="52">
        <f t="shared" si="12"/>
        <v>2.5302800000000003</v>
      </c>
      <c r="X7" s="52">
        <f t="shared" ref="X7:Y7" si="15">1.22*1.22*5*CEILING(X2/3,1)/X2</f>
        <v>2.480666666666667</v>
      </c>
      <c r="Y7" s="52">
        <f t="shared" si="15"/>
        <v>2.4930700000000003</v>
      </c>
      <c r="Z7" s="52">
        <v>2.4900000000000002</v>
      </c>
      <c r="AA7" s="52">
        <v>1.5</v>
      </c>
      <c r="AB7" s="52">
        <v>1.17</v>
      </c>
      <c r="AC7" s="52">
        <f>1010.07/1000</f>
        <v>1.01007</v>
      </c>
      <c r="AD7" s="52">
        <f>AC7</f>
        <v>1.01007</v>
      </c>
      <c r="AE7" s="52">
        <f>AC7</f>
        <v>1.01007</v>
      </c>
      <c r="AF7" s="39" t="s">
        <v>249</v>
      </c>
      <c r="AG7" s="35">
        <f t="shared" si="1"/>
        <v>2.4806666666666666</v>
      </c>
      <c r="AH7" s="35">
        <f t="shared" si="1"/>
        <v>2.4806666666666666</v>
      </c>
      <c r="AI7" s="35">
        <f t="shared" si="1"/>
        <v>2.4806666666666666</v>
      </c>
      <c r="AJ7" s="35">
        <f t="shared" si="1"/>
        <v>2.4806666666666666</v>
      </c>
      <c r="AK7" s="35">
        <f t="shared" si="1"/>
        <v>2.480666666666667</v>
      </c>
      <c r="AL7" s="35">
        <f t="shared" si="1"/>
        <v>2.480666666666667</v>
      </c>
      <c r="AM7" s="35">
        <f t="shared" si="1"/>
        <v>2.4900000000000002</v>
      </c>
      <c r="AN7" s="35">
        <f t="shared" si="1"/>
        <v>1.17</v>
      </c>
      <c r="AO7" s="35">
        <f t="shared" si="1"/>
        <v>1.01007</v>
      </c>
      <c r="AP7" s="35">
        <f t="shared" si="1"/>
        <v>1.01007</v>
      </c>
      <c r="AQ7" s="35">
        <f t="shared" si="1"/>
        <v>1.01007</v>
      </c>
    </row>
    <row r="8" spans="1:43">
      <c r="AF8" s="38" t="s">
        <v>257</v>
      </c>
      <c r="AG8" s="36">
        <f>SUM(AG3:AG7)</f>
        <v>130.85666666666668</v>
      </c>
      <c r="AH8" s="36">
        <f t="shared" ref="AH8:AQ8" si="16">SUM(AH3:AH7)</f>
        <v>67.270666666666671</v>
      </c>
      <c r="AI8" s="36">
        <f t="shared" si="16"/>
        <v>35.700666666666663</v>
      </c>
      <c r="AJ8" s="36">
        <f t="shared" si="16"/>
        <v>19.764066666666668</v>
      </c>
      <c r="AK8" s="36">
        <f t="shared" si="16"/>
        <v>13.50645128205128</v>
      </c>
      <c r="AL8" s="36">
        <f t="shared" si="16"/>
        <v>8.6612666666666662</v>
      </c>
      <c r="AM8" s="36">
        <f t="shared" si="16"/>
        <v>6.8974000000000002</v>
      </c>
      <c r="AN8" s="36">
        <f t="shared" si="16"/>
        <v>4.2382</v>
      </c>
      <c r="AO8" s="36">
        <f t="shared" si="16"/>
        <v>4.0085699999999997</v>
      </c>
      <c r="AP8" s="36">
        <f t="shared" si="16"/>
        <v>3.9813700000000001</v>
      </c>
      <c r="AQ8" s="36">
        <f t="shared" si="16"/>
        <v>3.9813700000000001</v>
      </c>
    </row>
    <row r="9" spans="1:43">
      <c r="AF9" s="38" t="s">
        <v>252</v>
      </c>
      <c r="AG9" s="36">
        <f>AG8*AG2</f>
        <v>785.1400000000001</v>
      </c>
      <c r="AH9" s="36">
        <f t="shared" ref="AH9:AQ9" si="17">AH8*AH2</f>
        <v>807.24800000000005</v>
      </c>
      <c r="AI9" s="36">
        <f t="shared" si="17"/>
        <v>856.81599999999992</v>
      </c>
      <c r="AJ9" s="36">
        <f t="shared" si="17"/>
        <v>948.67520000000013</v>
      </c>
      <c r="AK9" s="36">
        <f t="shared" si="17"/>
        <v>1296.6193230769229</v>
      </c>
      <c r="AL9" s="36">
        <f t="shared" si="17"/>
        <v>1662.9631999999999</v>
      </c>
      <c r="AM9" s="36">
        <f t="shared" si="17"/>
        <v>2648.6016</v>
      </c>
      <c r="AN9" s="36">
        <f t="shared" si="17"/>
        <v>3254.9376000000002</v>
      </c>
      <c r="AO9" s="36">
        <f t="shared" si="17"/>
        <v>6157.1635200000001</v>
      </c>
      <c r="AP9" s="36">
        <f t="shared" si="17"/>
        <v>12230.76864</v>
      </c>
      <c r="AQ9" s="36">
        <f t="shared" si="17"/>
        <v>24461.53728</v>
      </c>
    </row>
    <row r="13" spans="1:43">
      <c r="AH13" s="54"/>
      <c r="AI13" s="54"/>
      <c r="AJ13" s="54"/>
      <c r="AK13" s="54"/>
      <c r="AL13" s="54"/>
      <c r="AM13" s="54"/>
    </row>
    <row r="14" spans="1:43">
      <c r="AG14" s="5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Y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:H7"/>
    </sheetView>
  </sheetViews>
  <sheetFormatPr defaultColWidth="8.85546875" defaultRowHeight="15"/>
  <cols>
    <col min="1" max="1" width="2.42578125" style="7" bestFit="1" customWidth="1"/>
    <col min="2" max="2" width="25.42578125" customWidth="1"/>
    <col min="3" max="3" width="14.85546875" customWidth="1"/>
    <col min="4" max="4" width="8.85546875" style="1"/>
    <col min="5" max="5" width="27.7109375" customWidth="1"/>
    <col min="6" max="6" width="13.85546875" customWidth="1"/>
    <col min="7" max="7" width="14.85546875" customWidth="1"/>
    <col min="8" max="8" width="19" bestFit="1" customWidth="1"/>
    <col min="9" max="12" width="9.7109375" bestFit="1" customWidth="1"/>
    <col min="13" max="13" width="12.85546875" customWidth="1"/>
    <col min="14" max="14" width="25" bestFit="1" customWidth="1"/>
    <col min="25" max="25" width="9.85546875" bestFit="1" customWidth="1"/>
  </cols>
  <sheetData>
    <row r="1" spans="1:25" s="37" customFormat="1">
      <c r="A1" s="45"/>
      <c r="D1" s="40"/>
      <c r="I1" s="37" t="s">
        <v>203</v>
      </c>
      <c r="O1" s="37" t="s">
        <v>251</v>
      </c>
    </row>
    <row r="2" spans="1:25" s="26" customFormat="1" ht="15.75" thickBot="1">
      <c r="A2" s="46"/>
      <c r="B2" s="26" t="s">
        <v>3</v>
      </c>
      <c r="C2" s="26" t="s">
        <v>107</v>
      </c>
      <c r="D2" s="27" t="s">
        <v>0</v>
      </c>
      <c r="E2" s="28" t="s">
        <v>1</v>
      </c>
      <c r="F2" s="26" t="s">
        <v>201</v>
      </c>
      <c r="G2" s="26" t="s">
        <v>202</v>
      </c>
      <c r="H2" s="26" t="s">
        <v>91</v>
      </c>
      <c r="I2" s="29">
        <v>1</v>
      </c>
      <c r="J2" s="29">
        <v>250</v>
      </c>
      <c r="K2" s="29">
        <v>1000</v>
      </c>
      <c r="L2" s="29">
        <v>5000</v>
      </c>
      <c r="M2" s="51">
        <v>25000</v>
      </c>
      <c r="N2" s="38" t="s">
        <v>250</v>
      </c>
      <c r="O2" s="31">
        <f>Modules!D30</f>
        <v>1</v>
      </c>
      <c r="P2" s="31">
        <f>Modules!E30</f>
        <v>2</v>
      </c>
      <c r="Q2" s="31">
        <f>Modules!F30</f>
        <v>4</v>
      </c>
      <c r="R2" s="31">
        <f>Modules!G30</f>
        <v>8</v>
      </c>
      <c r="S2" s="31">
        <f>Modules!H30</f>
        <v>16</v>
      </c>
      <c r="T2" s="31">
        <f>Modules!I30</f>
        <v>32</v>
      </c>
      <c r="U2" s="31">
        <f>Modules!J30</f>
        <v>64</v>
      </c>
      <c r="V2" s="31">
        <f>Modules!K30</f>
        <v>128</v>
      </c>
      <c r="W2" s="31">
        <f>Modules!L30</f>
        <v>256</v>
      </c>
      <c r="X2" s="31">
        <f>Modules!M30</f>
        <v>512</v>
      </c>
      <c r="Y2" s="31">
        <f>Modules!N30</f>
        <v>1024</v>
      </c>
    </row>
    <row r="3" spans="1:25" s="3" customFormat="1" ht="17.25" thickTop="1">
      <c r="A3" s="7">
        <v>1</v>
      </c>
      <c r="B3" s="7" t="s">
        <v>116</v>
      </c>
      <c r="C3" s="2"/>
      <c r="D3" s="10">
        <f>5*4</f>
        <v>20</v>
      </c>
      <c r="E3" s="11" t="s">
        <v>111</v>
      </c>
      <c r="F3" s="7" t="s">
        <v>119</v>
      </c>
      <c r="G3" s="7" t="s">
        <v>120</v>
      </c>
      <c r="H3" s="7" t="s">
        <v>90</v>
      </c>
      <c r="I3" s="50">
        <f>248.8/1600</f>
        <v>0.1555</v>
      </c>
      <c r="J3" s="50">
        <f t="shared" ref="J3:M3" si="0">248.8/1600</f>
        <v>0.1555</v>
      </c>
      <c r="K3" s="50">
        <f t="shared" si="0"/>
        <v>0.1555</v>
      </c>
      <c r="L3" s="50">
        <f t="shared" si="0"/>
        <v>0.1555</v>
      </c>
      <c r="M3" s="50">
        <f t="shared" si="0"/>
        <v>0.1555</v>
      </c>
      <c r="N3" s="39" t="s">
        <v>249</v>
      </c>
      <c r="O3" s="35">
        <f>HLOOKUP($D3*O$2,$I$2:$M$7,$A3+1,TRUE)*$D3*O$2</f>
        <v>3.11</v>
      </c>
      <c r="P3" s="35">
        <f t="shared" ref="P3:Y7" si="1">HLOOKUP($D3*P$2,$I$2:$M$7,$A3+1,TRUE)*$D3*P$2</f>
        <v>6.22</v>
      </c>
      <c r="Q3" s="35">
        <f t="shared" si="1"/>
        <v>12.44</v>
      </c>
      <c r="R3" s="35">
        <f t="shared" si="1"/>
        <v>24.88</v>
      </c>
      <c r="S3" s="35">
        <f t="shared" si="1"/>
        <v>49.76</v>
      </c>
      <c r="T3" s="35">
        <f t="shared" si="1"/>
        <v>99.52</v>
      </c>
      <c r="U3" s="35">
        <f t="shared" si="1"/>
        <v>199.04</v>
      </c>
      <c r="V3" s="35">
        <f t="shared" si="1"/>
        <v>398.08</v>
      </c>
      <c r="W3" s="35">
        <f t="shared" si="1"/>
        <v>796.16</v>
      </c>
      <c r="X3" s="35">
        <f t="shared" si="1"/>
        <v>1592.32</v>
      </c>
      <c r="Y3" s="35">
        <f t="shared" si="1"/>
        <v>3184.64</v>
      </c>
    </row>
    <row r="4" spans="1:25" s="3" customFormat="1" ht="16.5">
      <c r="A4" s="7">
        <v>2</v>
      </c>
      <c r="B4" s="7" t="s">
        <v>117</v>
      </c>
      <c r="C4" s="2"/>
      <c r="D4" s="10">
        <f>5*2</f>
        <v>10</v>
      </c>
      <c r="E4" s="11" t="s">
        <v>118</v>
      </c>
      <c r="F4" s="7" t="s">
        <v>119</v>
      </c>
      <c r="G4" s="7" t="s">
        <v>121</v>
      </c>
      <c r="H4" s="7" t="s">
        <v>90</v>
      </c>
      <c r="I4" s="50">
        <f>155.5/1000</f>
        <v>0.1555</v>
      </c>
      <c r="J4" s="50">
        <f t="shared" ref="J4:M4" si="2">155.5/1000</f>
        <v>0.1555</v>
      </c>
      <c r="K4" s="50">
        <f t="shared" si="2"/>
        <v>0.1555</v>
      </c>
      <c r="L4" s="50">
        <f t="shared" si="2"/>
        <v>0.1555</v>
      </c>
      <c r="M4" s="50">
        <f t="shared" si="2"/>
        <v>0.1555</v>
      </c>
      <c r="N4" s="39" t="s">
        <v>249</v>
      </c>
      <c r="O4" s="35">
        <f>HLOOKUP($D4*O$2,$I$2:$M$7,$A4+1,TRUE)*$D4*O$2</f>
        <v>1.5549999999999999</v>
      </c>
      <c r="P4" s="35">
        <f t="shared" si="1"/>
        <v>3.11</v>
      </c>
      <c r="Q4" s="35">
        <f t="shared" si="1"/>
        <v>6.22</v>
      </c>
      <c r="R4" s="35">
        <f t="shared" si="1"/>
        <v>12.44</v>
      </c>
      <c r="S4" s="35">
        <f t="shared" si="1"/>
        <v>24.88</v>
      </c>
      <c r="T4" s="35">
        <f t="shared" si="1"/>
        <v>49.76</v>
      </c>
      <c r="U4" s="35">
        <f t="shared" si="1"/>
        <v>99.52</v>
      </c>
      <c r="V4" s="35">
        <f t="shared" si="1"/>
        <v>199.04</v>
      </c>
      <c r="W4" s="35">
        <f t="shared" si="1"/>
        <v>398.08</v>
      </c>
      <c r="X4" s="35">
        <f t="shared" si="1"/>
        <v>796.16</v>
      </c>
      <c r="Y4" s="35">
        <f t="shared" si="1"/>
        <v>1592.32</v>
      </c>
    </row>
    <row r="5" spans="1:25" s="3" customFormat="1" ht="16.5">
      <c r="A5" s="7">
        <v>3</v>
      </c>
      <c r="B5" s="7" t="s">
        <v>81</v>
      </c>
      <c r="D5" s="10">
        <v>4</v>
      </c>
      <c r="E5" s="11" t="s">
        <v>82</v>
      </c>
      <c r="F5" s="7" t="s">
        <v>83</v>
      </c>
      <c r="G5" s="7" t="s">
        <v>84</v>
      </c>
      <c r="H5" s="7" t="s">
        <v>83</v>
      </c>
      <c r="I5" s="50">
        <v>0.2</v>
      </c>
      <c r="J5" s="50">
        <v>0.19</v>
      </c>
      <c r="K5" s="50">
        <v>0.18</v>
      </c>
      <c r="L5" s="50">
        <v>0.17</v>
      </c>
      <c r="M5" s="50">
        <v>0.16</v>
      </c>
      <c r="N5" s="39" t="s">
        <v>249</v>
      </c>
      <c r="O5" s="35">
        <f>HLOOKUP($D5*O$2,$I$2:$M$7,$A5+1,TRUE)*$D5*O$2</f>
        <v>0.8</v>
      </c>
      <c r="P5" s="35">
        <f t="shared" si="1"/>
        <v>1.6</v>
      </c>
      <c r="Q5" s="35">
        <f t="shared" si="1"/>
        <v>3.2</v>
      </c>
      <c r="R5" s="35">
        <f t="shared" si="1"/>
        <v>6.4</v>
      </c>
      <c r="S5" s="35">
        <f t="shared" si="1"/>
        <v>12.8</v>
      </c>
      <c r="T5" s="35">
        <f t="shared" si="1"/>
        <v>25.6</v>
      </c>
      <c r="U5" s="35">
        <f t="shared" si="1"/>
        <v>48.64</v>
      </c>
      <c r="V5" s="35">
        <f t="shared" si="1"/>
        <v>97.28</v>
      </c>
      <c r="W5" s="35">
        <f t="shared" si="1"/>
        <v>184.32</v>
      </c>
      <c r="X5" s="35">
        <f t="shared" si="1"/>
        <v>368.64</v>
      </c>
      <c r="Y5" s="35">
        <f t="shared" si="1"/>
        <v>737.28</v>
      </c>
    </row>
    <row r="6" spans="1:25">
      <c r="A6" s="7">
        <v>4</v>
      </c>
      <c r="B6" t="s">
        <v>225</v>
      </c>
      <c r="C6" t="s">
        <v>227</v>
      </c>
      <c r="D6" s="1">
        <v>1</v>
      </c>
      <c r="E6" s="11" t="s">
        <v>268</v>
      </c>
      <c r="I6" s="50">
        <f>14.98*Summary!$C$13</f>
        <v>6.4413999999999998</v>
      </c>
      <c r="J6" s="50">
        <f>14.98*Summary!$C$13</f>
        <v>6.4413999999999998</v>
      </c>
      <c r="K6" s="50">
        <f>14.98*Summary!$C$13</f>
        <v>6.4413999999999998</v>
      </c>
      <c r="L6" s="50">
        <f>14.98*Summary!$C$13</f>
        <v>6.4413999999999998</v>
      </c>
      <c r="M6" s="50">
        <f>14.98*Summary!$C$13</f>
        <v>6.4413999999999998</v>
      </c>
      <c r="N6" s="39" t="s">
        <v>249</v>
      </c>
      <c r="O6" s="35">
        <f>HLOOKUP($D6*O$2,$I$2:$M$7,$A6+1,TRUE)*$D6*O$2</f>
        <v>6.4413999999999998</v>
      </c>
      <c r="P6" s="35">
        <f t="shared" si="1"/>
        <v>12.8828</v>
      </c>
      <c r="Q6" s="35">
        <f t="shared" si="1"/>
        <v>25.765599999999999</v>
      </c>
      <c r="R6" s="35">
        <f t="shared" si="1"/>
        <v>51.531199999999998</v>
      </c>
      <c r="S6" s="35">
        <f t="shared" si="1"/>
        <v>103.0624</v>
      </c>
      <c r="T6" s="35">
        <f t="shared" si="1"/>
        <v>206.12479999999999</v>
      </c>
      <c r="U6" s="35">
        <f t="shared" si="1"/>
        <v>412.24959999999999</v>
      </c>
      <c r="V6" s="35">
        <f t="shared" si="1"/>
        <v>824.49919999999997</v>
      </c>
      <c r="W6" s="35">
        <f t="shared" si="1"/>
        <v>1648.9983999999999</v>
      </c>
      <c r="X6" s="35">
        <f t="shared" si="1"/>
        <v>3297.9967999999999</v>
      </c>
      <c r="Y6" s="35">
        <f t="shared" si="1"/>
        <v>6595.9935999999998</v>
      </c>
    </row>
    <row r="7" spans="1:25">
      <c r="A7" s="7">
        <v>5</v>
      </c>
      <c r="B7" t="s">
        <v>226</v>
      </c>
      <c r="C7" t="s">
        <v>227</v>
      </c>
      <c r="D7" s="1">
        <v>1</v>
      </c>
      <c r="E7" s="11" t="s">
        <v>269</v>
      </c>
      <c r="I7" s="50">
        <f>4.43*Summary!$C$13</f>
        <v>1.9048999999999998</v>
      </c>
      <c r="J7" s="50">
        <f>4.43*Summary!$C$13</f>
        <v>1.9048999999999998</v>
      </c>
      <c r="K7" s="50">
        <f>4.43*Summary!$C$13</f>
        <v>1.9048999999999998</v>
      </c>
      <c r="L7" s="50">
        <f>4.43*Summary!$C$13</f>
        <v>1.9048999999999998</v>
      </c>
      <c r="M7" s="50">
        <f>4.43*Summary!$C$13</f>
        <v>1.9048999999999998</v>
      </c>
      <c r="N7" s="39" t="s">
        <v>249</v>
      </c>
      <c r="O7" s="35">
        <f>HLOOKUP($D7*O$2,$I$2:$M$7,$A7+1,TRUE)*$D7*O$2</f>
        <v>1.9048999999999998</v>
      </c>
      <c r="P7" s="35">
        <f t="shared" si="1"/>
        <v>3.8097999999999996</v>
      </c>
      <c r="Q7" s="35">
        <f t="shared" si="1"/>
        <v>7.6195999999999993</v>
      </c>
      <c r="R7" s="35">
        <f t="shared" si="1"/>
        <v>15.239199999999999</v>
      </c>
      <c r="S7" s="35">
        <f t="shared" si="1"/>
        <v>30.478399999999997</v>
      </c>
      <c r="T7" s="35">
        <f t="shared" si="1"/>
        <v>60.956799999999994</v>
      </c>
      <c r="U7" s="35">
        <f t="shared" si="1"/>
        <v>121.91359999999999</v>
      </c>
      <c r="V7" s="35">
        <f t="shared" si="1"/>
        <v>243.82719999999998</v>
      </c>
      <c r="W7" s="35">
        <f t="shared" si="1"/>
        <v>487.65439999999995</v>
      </c>
      <c r="X7" s="35">
        <f t="shared" si="1"/>
        <v>975.30879999999991</v>
      </c>
      <c r="Y7" s="35">
        <f t="shared" si="1"/>
        <v>1950.6175999999998</v>
      </c>
    </row>
    <row r="8" spans="1:25">
      <c r="N8" s="38" t="s">
        <v>257</v>
      </c>
      <c r="O8" s="36">
        <f>SUM(O3:O7)/O2</f>
        <v>13.811299999999999</v>
      </c>
      <c r="P8" s="36">
        <f t="shared" ref="P8:Y8" si="3">SUM(P3:P7)/P2</f>
        <v>13.811299999999999</v>
      </c>
      <c r="Q8" s="36">
        <f t="shared" si="3"/>
        <v>13.811299999999999</v>
      </c>
      <c r="R8" s="36">
        <f t="shared" si="3"/>
        <v>13.811299999999999</v>
      </c>
      <c r="S8" s="36">
        <f t="shared" si="3"/>
        <v>13.811299999999999</v>
      </c>
      <c r="T8" s="36">
        <f t="shared" si="3"/>
        <v>13.811299999999999</v>
      </c>
      <c r="U8" s="36">
        <f t="shared" si="3"/>
        <v>13.771299999999998</v>
      </c>
      <c r="V8" s="36">
        <f t="shared" si="3"/>
        <v>13.771299999999998</v>
      </c>
      <c r="W8" s="36">
        <f t="shared" si="3"/>
        <v>13.731299999999999</v>
      </c>
      <c r="X8" s="36">
        <f t="shared" si="3"/>
        <v>13.731299999999999</v>
      </c>
      <c r="Y8" s="36">
        <f t="shared" si="3"/>
        <v>13.731299999999999</v>
      </c>
    </row>
    <row r="9" spans="1:25">
      <c r="N9" s="38" t="s">
        <v>252</v>
      </c>
      <c r="O9" s="36">
        <f>O8*O$2</f>
        <v>13.811299999999999</v>
      </c>
      <c r="P9" s="36">
        <f t="shared" ref="P9:Y9" si="4">P8*P$2</f>
        <v>27.622599999999998</v>
      </c>
      <c r="Q9" s="36">
        <f t="shared" si="4"/>
        <v>55.245199999999997</v>
      </c>
      <c r="R9" s="36">
        <f t="shared" si="4"/>
        <v>110.49039999999999</v>
      </c>
      <c r="S9" s="36">
        <f t="shared" si="4"/>
        <v>220.98079999999999</v>
      </c>
      <c r="T9" s="36">
        <f t="shared" si="4"/>
        <v>441.96159999999998</v>
      </c>
      <c r="U9" s="36">
        <f t="shared" si="4"/>
        <v>881.36319999999989</v>
      </c>
      <c r="V9" s="36">
        <f t="shared" si="4"/>
        <v>1762.7263999999998</v>
      </c>
      <c r="W9" s="36">
        <f t="shared" si="4"/>
        <v>3515.2127999999998</v>
      </c>
      <c r="X9" s="36">
        <f t="shared" si="4"/>
        <v>7030.4255999999996</v>
      </c>
      <c r="Y9" s="36">
        <f t="shared" si="4"/>
        <v>14060.851199999999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9" sqref="I19"/>
    </sheetView>
  </sheetViews>
  <sheetFormatPr defaultColWidth="8.85546875" defaultRowHeight="15"/>
  <cols>
    <col min="1" max="1" width="2.28515625" bestFit="1" customWidth="1"/>
    <col min="2" max="2" width="27.85546875" bestFit="1" customWidth="1"/>
    <col min="3" max="3" width="10.140625" bestFit="1" customWidth="1"/>
    <col min="4" max="4" width="4" style="1" bestFit="1" customWidth="1"/>
    <col min="5" max="5" width="31.140625" bestFit="1" customWidth="1"/>
    <col min="6" max="6" width="12.42578125" bestFit="1" customWidth="1"/>
    <col min="7" max="7" width="12" customWidth="1"/>
    <col min="8" max="8" width="13.85546875" bestFit="1" customWidth="1"/>
    <col min="9" max="17" width="9.42578125" customWidth="1"/>
    <col min="18" max="18" width="29.7109375" bestFit="1" customWidth="1"/>
    <col min="19" max="29" width="10.42578125" customWidth="1"/>
  </cols>
  <sheetData>
    <row r="1" spans="1:29" s="37" customFormat="1">
      <c r="D1" s="40"/>
      <c r="I1" s="37" t="s">
        <v>203</v>
      </c>
      <c r="S1" s="37" t="s">
        <v>251</v>
      </c>
    </row>
    <row r="2" spans="1:29" s="26" customFormat="1" ht="15.95" customHeight="1" thickBot="1">
      <c r="B2" s="26" t="s">
        <v>3</v>
      </c>
      <c r="C2" s="26" t="s">
        <v>107</v>
      </c>
      <c r="D2" s="27" t="s">
        <v>0</v>
      </c>
      <c r="E2" s="28" t="s">
        <v>1</v>
      </c>
      <c r="F2" s="26" t="s">
        <v>201</v>
      </c>
      <c r="G2" s="26" t="s">
        <v>202</v>
      </c>
      <c r="H2" s="26" t="s">
        <v>91</v>
      </c>
      <c r="I2" s="29">
        <v>1</v>
      </c>
      <c r="J2" s="29">
        <v>5</v>
      </c>
      <c r="K2" s="29">
        <v>10</v>
      </c>
      <c r="L2" s="29">
        <v>50</v>
      </c>
      <c r="M2" s="29">
        <v>100</v>
      </c>
      <c r="N2" s="29">
        <v>250</v>
      </c>
      <c r="O2" s="29">
        <v>500</v>
      </c>
      <c r="P2" s="29">
        <v>1000</v>
      </c>
      <c r="Q2" s="29">
        <v>5000</v>
      </c>
      <c r="R2" s="38" t="s">
        <v>260</v>
      </c>
      <c r="S2" s="31">
        <f>Modules!D18*Modules!$B19</f>
        <v>1</v>
      </c>
      <c r="T2" s="31">
        <f>Modules!E18*Modules!$B19</f>
        <v>2</v>
      </c>
      <c r="U2" s="31">
        <f>Modules!F18*Modules!$B19</f>
        <v>4</v>
      </c>
      <c r="V2" s="31">
        <f>Modules!G18*Modules!$B19</f>
        <v>8</v>
      </c>
      <c r="W2" s="31">
        <f>Modules!H18*Modules!$B19</f>
        <v>16</v>
      </c>
      <c r="X2" s="31">
        <f>Modules!I18*Modules!$B19</f>
        <v>32</v>
      </c>
      <c r="Y2" s="31">
        <f>Modules!J18*Modules!$B19</f>
        <v>64</v>
      </c>
      <c r="Z2" s="31">
        <f>Modules!K18*Modules!$B19</f>
        <v>128</v>
      </c>
      <c r="AA2" s="31">
        <f>Modules!L18*Modules!$B19</f>
        <v>256</v>
      </c>
      <c r="AB2" s="31">
        <f>Modules!M18*Modules!$B19</f>
        <v>512</v>
      </c>
      <c r="AC2" s="31">
        <f>Modules!N18*Modules!$B19</f>
        <v>1024</v>
      </c>
    </row>
    <row r="3" spans="1:29" s="7" customFormat="1" ht="15.75" thickTop="1">
      <c r="A3" s="7">
        <v>1</v>
      </c>
      <c r="B3" s="7" t="s">
        <v>253</v>
      </c>
      <c r="C3" s="5"/>
      <c r="D3" s="10">
        <v>3</v>
      </c>
      <c r="E3" s="11" t="s">
        <v>254</v>
      </c>
      <c r="F3" s="7" t="s">
        <v>236</v>
      </c>
      <c r="H3" s="7" t="s">
        <v>128</v>
      </c>
      <c r="I3" s="50">
        <v>2.99</v>
      </c>
      <c r="J3" s="50">
        <v>2.87</v>
      </c>
      <c r="K3" s="50">
        <v>2.84</v>
      </c>
      <c r="L3" s="50">
        <v>2.81</v>
      </c>
      <c r="M3" s="50">
        <v>2.75</v>
      </c>
      <c r="N3" s="50">
        <v>2.75</v>
      </c>
      <c r="O3" s="50">
        <v>2.75</v>
      </c>
      <c r="P3" s="50">
        <v>2.75</v>
      </c>
      <c r="Q3" s="50">
        <v>2.75</v>
      </c>
      <c r="R3" s="39" t="s">
        <v>249</v>
      </c>
      <c r="S3" s="35">
        <f>HLOOKUP($D3*S$2,$I$2:$Q$5,$A3+1,TRUE)*$D3*S$2</f>
        <v>8.9700000000000006</v>
      </c>
      <c r="T3" s="35">
        <f t="shared" ref="T3:AC5" si="0">HLOOKUP($D3*T$2,$I$2:$Q$5,$A3+1,TRUE)*$D3*T$2</f>
        <v>17.22</v>
      </c>
      <c r="U3" s="35">
        <f t="shared" si="0"/>
        <v>34.08</v>
      </c>
      <c r="V3" s="35">
        <f t="shared" si="0"/>
        <v>68.16</v>
      </c>
      <c r="W3" s="35">
        <f t="shared" si="0"/>
        <v>136.32</v>
      </c>
      <c r="X3" s="35">
        <f t="shared" si="0"/>
        <v>269.76</v>
      </c>
      <c r="Y3" s="35">
        <f t="shared" si="0"/>
        <v>528</v>
      </c>
      <c r="Z3" s="35">
        <f t="shared" si="0"/>
        <v>1056</v>
      </c>
      <c r="AA3" s="35">
        <f t="shared" si="0"/>
        <v>2112</v>
      </c>
      <c r="AB3" s="35">
        <f t="shared" si="0"/>
        <v>4224</v>
      </c>
      <c r="AC3" s="35">
        <f t="shared" si="0"/>
        <v>8448</v>
      </c>
    </row>
    <row r="4" spans="1:29" s="7" customFormat="1">
      <c r="A4" s="7">
        <v>2</v>
      </c>
      <c r="B4" s="7" t="s">
        <v>198</v>
      </c>
      <c r="C4" s="5"/>
      <c r="D4" s="10">
        <v>1</v>
      </c>
      <c r="E4" s="11"/>
      <c r="F4" s="7" t="s">
        <v>199</v>
      </c>
      <c r="G4" s="7" t="s">
        <v>200</v>
      </c>
      <c r="H4" s="7" t="s">
        <v>9</v>
      </c>
      <c r="I4" s="50">
        <v>3.84</v>
      </c>
      <c r="J4" s="50">
        <v>3.84</v>
      </c>
      <c r="K4" s="50">
        <v>3.68</v>
      </c>
      <c r="L4" s="50">
        <v>3.36</v>
      </c>
      <c r="M4" s="50">
        <v>3.04</v>
      </c>
      <c r="N4" s="50">
        <v>3</v>
      </c>
      <c r="O4" s="50">
        <v>2.48</v>
      </c>
      <c r="P4" s="50">
        <v>2.3199999999999998</v>
      </c>
      <c r="Q4" s="50">
        <v>2.16</v>
      </c>
      <c r="R4" s="39" t="s">
        <v>249</v>
      </c>
      <c r="S4" s="35">
        <f>HLOOKUP($D4*S$2,$I$2:$Q$5,$A4+1,TRUE)*$D4*S$2</f>
        <v>3.84</v>
      </c>
      <c r="T4" s="35">
        <f t="shared" si="0"/>
        <v>7.68</v>
      </c>
      <c r="U4" s="35">
        <f t="shared" si="0"/>
        <v>15.36</v>
      </c>
      <c r="V4" s="35">
        <f t="shared" si="0"/>
        <v>30.72</v>
      </c>
      <c r="W4" s="35">
        <f t="shared" si="0"/>
        <v>58.88</v>
      </c>
      <c r="X4" s="35">
        <f t="shared" si="0"/>
        <v>117.76</v>
      </c>
      <c r="Y4" s="35">
        <f t="shared" si="0"/>
        <v>215.04</v>
      </c>
      <c r="Z4" s="35">
        <f t="shared" si="0"/>
        <v>389.12</v>
      </c>
      <c r="AA4" s="35">
        <f t="shared" si="0"/>
        <v>768</v>
      </c>
      <c r="AB4" s="35">
        <f t="shared" si="0"/>
        <v>1269.76</v>
      </c>
      <c r="AC4" s="35">
        <f t="shared" si="0"/>
        <v>2375.6799999999998</v>
      </c>
    </row>
    <row r="5" spans="1:29">
      <c r="A5">
        <v>3</v>
      </c>
      <c r="B5" t="s">
        <v>237</v>
      </c>
      <c r="C5" t="s">
        <v>227</v>
      </c>
      <c r="D5" s="1">
        <v>1</v>
      </c>
      <c r="E5" t="s">
        <v>270</v>
      </c>
      <c r="I5" s="50">
        <f>25.2*Summary!$C$13</f>
        <v>10.836</v>
      </c>
      <c r="J5" s="50">
        <f>25.2*Summary!$C$13</f>
        <v>10.836</v>
      </c>
      <c r="K5" s="50">
        <f>25.2*Summary!$C$13</f>
        <v>10.836</v>
      </c>
      <c r="L5" s="50">
        <f>25.2*Summary!$C$13</f>
        <v>10.836</v>
      </c>
      <c r="M5" s="50">
        <f>25.2*Summary!$C$13</f>
        <v>10.836</v>
      </c>
      <c r="N5" s="50">
        <f>25.2*Summary!$C$13</f>
        <v>10.836</v>
      </c>
      <c r="O5" s="50">
        <f>25.2*Summary!$C$13</f>
        <v>10.836</v>
      </c>
      <c r="P5" s="50">
        <f>25.2*Summary!$C$13</f>
        <v>10.836</v>
      </c>
      <c r="Q5" s="50">
        <f>25.2*Summary!$C$13</f>
        <v>10.836</v>
      </c>
      <c r="R5" s="39" t="s">
        <v>249</v>
      </c>
      <c r="S5" s="35">
        <f>HLOOKUP($D5*S$2,$I$2:$Q$5,$A5+1,TRUE)*$D5*S$2</f>
        <v>10.836</v>
      </c>
      <c r="T5" s="35">
        <f t="shared" si="0"/>
        <v>21.672000000000001</v>
      </c>
      <c r="U5" s="35">
        <f t="shared" si="0"/>
        <v>43.344000000000001</v>
      </c>
      <c r="V5" s="35">
        <f t="shared" si="0"/>
        <v>86.688000000000002</v>
      </c>
      <c r="W5" s="35">
        <f t="shared" si="0"/>
        <v>173.376</v>
      </c>
      <c r="X5" s="35">
        <f t="shared" si="0"/>
        <v>346.75200000000001</v>
      </c>
      <c r="Y5" s="35">
        <f t="shared" si="0"/>
        <v>693.50400000000002</v>
      </c>
      <c r="Z5" s="35">
        <f t="shared" si="0"/>
        <v>1387.008</v>
      </c>
      <c r="AA5" s="35">
        <f t="shared" si="0"/>
        <v>2774.0160000000001</v>
      </c>
      <c r="AB5" s="35">
        <f t="shared" si="0"/>
        <v>5548.0320000000002</v>
      </c>
      <c r="AC5" s="35">
        <f t="shared" si="0"/>
        <v>11096.064</v>
      </c>
    </row>
    <row r="6" spans="1:29">
      <c r="R6" s="38" t="s">
        <v>259</v>
      </c>
      <c r="S6" s="36">
        <f>SUM(S3:S5)/S2</f>
        <v>23.646000000000001</v>
      </c>
      <c r="T6" s="36">
        <f t="shared" ref="T6:AC6" si="1">SUM(T3:T5)/T2</f>
        <v>23.286000000000001</v>
      </c>
      <c r="U6" s="36">
        <f t="shared" si="1"/>
        <v>23.195999999999998</v>
      </c>
      <c r="V6" s="36">
        <f t="shared" si="1"/>
        <v>23.195999999999998</v>
      </c>
      <c r="W6" s="36">
        <f t="shared" si="1"/>
        <v>23.036000000000001</v>
      </c>
      <c r="X6" s="36">
        <f t="shared" si="1"/>
        <v>22.945999999999998</v>
      </c>
      <c r="Y6" s="36">
        <f t="shared" si="1"/>
        <v>22.445999999999998</v>
      </c>
      <c r="Z6" s="36">
        <f t="shared" si="1"/>
        <v>22.125999999999998</v>
      </c>
      <c r="AA6" s="36">
        <f t="shared" si="1"/>
        <v>22.085999999999999</v>
      </c>
      <c r="AB6" s="36">
        <f t="shared" si="1"/>
        <v>21.566000000000003</v>
      </c>
      <c r="AC6" s="36">
        <f t="shared" si="1"/>
        <v>21.405999999999999</v>
      </c>
    </row>
    <row r="7" spans="1:29">
      <c r="R7" s="38" t="s">
        <v>258</v>
      </c>
      <c r="S7" s="36">
        <f>S6*S$2</f>
        <v>23.646000000000001</v>
      </c>
      <c r="T7" s="36">
        <f t="shared" ref="T7:AC7" si="2">T6*T$2</f>
        <v>46.572000000000003</v>
      </c>
      <c r="U7" s="36">
        <f t="shared" si="2"/>
        <v>92.783999999999992</v>
      </c>
      <c r="V7" s="36">
        <f t="shared" si="2"/>
        <v>185.56799999999998</v>
      </c>
      <c r="W7" s="36">
        <f t="shared" si="2"/>
        <v>368.57600000000002</v>
      </c>
      <c r="X7" s="36">
        <f t="shared" si="2"/>
        <v>734.27199999999993</v>
      </c>
      <c r="Y7" s="36">
        <f t="shared" si="2"/>
        <v>1436.5439999999999</v>
      </c>
      <c r="Z7" s="36">
        <f t="shared" si="2"/>
        <v>2832.1279999999997</v>
      </c>
      <c r="AA7" s="36">
        <f t="shared" si="2"/>
        <v>5654.0159999999996</v>
      </c>
      <c r="AB7" s="36">
        <f t="shared" si="2"/>
        <v>11041.792000000001</v>
      </c>
      <c r="AC7" s="36">
        <f t="shared" si="2"/>
        <v>21919.743999999999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3" sqref="I3"/>
    </sheetView>
  </sheetViews>
  <sheetFormatPr defaultColWidth="8.85546875" defaultRowHeight="15"/>
  <cols>
    <col min="1" max="1" width="29.7109375" customWidth="1"/>
    <col min="2" max="2" width="22.7109375" customWidth="1"/>
    <col min="4" max="4" width="20.7109375" customWidth="1"/>
    <col min="5" max="5" width="11.85546875" customWidth="1"/>
    <col min="6" max="6" width="11.7109375" customWidth="1"/>
    <col min="8" max="8" width="13.140625" customWidth="1"/>
    <col min="9" max="9" width="12" customWidth="1"/>
  </cols>
  <sheetData>
    <row r="1" spans="1:15">
      <c r="I1" t="s">
        <v>203</v>
      </c>
    </row>
    <row r="2" spans="1:15" s="26" customFormat="1" ht="12">
      <c r="A2" s="26" t="s">
        <v>3</v>
      </c>
      <c r="B2" s="26" t="s">
        <v>107</v>
      </c>
      <c r="C2" s="27" t="s">
        <v>0</v>
      </c>
      <c r="D2" s="28" t="s">
        <v>222</v>
      </c>
      <c r="E2" s="26" t="s">
        <v>201</v>
      </c>
      <c r="F2" s="26" t="s">
        <v>202</v>
      </c>
      <c r="G2" s="26" t="s">
        <v>91</v>
      </c>
      <c r="H2" s="26" t="s">
        <v>221</v>
      </c>
      <c r="I2" s="29">
        <v>1</v>
      </c>
    </row>
    <row r="3" spans="1:15" s="43" customFormat="1" ht="56.25" customHeight="1">
      <c r="A3" s="41" t="s">
        <v>238</v>
      </c>
      <c r="B3" s="30" t="s">
        <v>224</v>
      </c>
      <c r="C3" s="10">
        <v>16</v>
      </c>
      <c r="D3" s="16" t="s">
        <v>112</v>
      </c>
      <c r="E3" s="42"/>
      <c r="G3" s="42" t="s">
        <v>89</v>
      </c>
      <c r="H3" s="42" t="s">
        <v>92</v>
      </c>
      <c r="I3" s="44">
        <f>9.59/50</f>
        <v>0.1918</v>
      </c>
      <c r="J3" s="42"/>
      <c r="K3" s="42"/>
      <c r="L3" s="42"/>
      <c r="M3" s="42"/>
      <c r="N3" s="42"/>
      <c r="O3" s="4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Summary</vt:lpstr>
      <vt:lpstr>Modules</vt:lpstr>
      <vt:lpstr>Controller PCB</vt:lpstr>
      <vt:lpstr>Battery Charger PCB</vt:lpstr>
      <vt:lpstr>Proximity Sensor PCB</vt:lpstr>
      <vt:lpstr>Gearbox</vt:lpstr>
      <vt:lpstr>Slipring</vt:lpstr>
      <vt:lpstr>Connector PCB</vt:lpstr>
      <vt:lpstr>Module Shell</vt:lpstr>
      <vt:lpstr>Battery Module Internals</vt:lpstr>
      <vt:lpstr>Misc</vt:lpstr>
      <vt:lpstr>OBJET_PER_CM3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2014-04-06T06:28:05Z</cp:lastPrinted>
  <dcterms:created xsi:type="dcterms:W3CDTF">2012-04-17T03:16:52Z</dcterms:created>
  <dcterms:modified xsi:type="dcterms:W3CDTF">2014-04-14T03:00:59Z</dcterms:modified>
</cp:coreProperties>
</file>