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jonesdc76/MollerPolarimetry/quads/"/>
    </mc:Choice>
  </mc:AlternateContent>
  <bookViews>
    <workbookView xWindow="1880" yWindow="680" windowWidth="26920" windowHeight="16260"/>
  </bookViews>
  <sheets>
    <sheet name="Summary" sheetId="9" r:id="rId1"/>
    <sheet name="Hall Probe Measurements" sheetId="25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9" l="1"/>
  <c r="AD4" i="9"/>
  <c r="AD5" i="9"/>
  <c r="AD6" i="9"/>
  <c r="AD7" i="9"/>
  <c r="AD8" i="9"/>
  <c r="AD9" i="9"/>
  <c r="AD10" i="9"/>
  <c r="AD11" i="9"/>
  <c r="AD12" i="9"/>
  <c r="AD3" i="9"/>
  <c r="AC4" i="9"/>
  <c r="AC5" i="9"/>
  <c r="AC6" i="9"/>
  <c r="AC7" i="9"/>
  <c r="AC8" i="9"/>
  <c r="AC9" i="9"/>
  <c r="AC10" i="9"/>
  <c r="AC11" i="9"/>
  <c r="AC12" i="9"/>
  <c r="AC3" i="9"/>
  <c r="AB4" i="9"/>
  <c r="AB5" i="9"/>
  <c r="AB6" i="9"/>
  <c r="AB7" i="9"/>
  <c r="AB8" i="9"/>
  <c r="AB9" i="9"/>
  <c r="AB10" i="9"/>
  <c r="AB11" i="9"/>
  <c r="AB12" i="9"/>
  <c r="AB14" i="9"/>
  <c r="AB15" i="9"/>
  <c r="AB16" i="9"/>
  <c r="AB17" i="9"/>
  <c r="AB18" i="9"/>
  <c r="AB19" i="9"/>
  <c r="AB20" i="9"/>
  <c r="AB21" i="9"/>
  <c r="AB22" i="9"/>
  <c r="AB23" i="9"/>
  <c r="AB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3" i="9"/>
  <c r="D4" i="9"/>
  <c r="V4" i="9"/>
  <c r="X4" i="9"/>
  <c r="D5" i="9"/>
  <c r="V5" i="9"/>
  <c r="X5" i="9"/>
  <c r="D6" i="9"/>
  <c r="V6" i="9"/>
  <c r="X6" i="9"/>
  <c r="D7" i="9"/>
  <c r="V7" i="9"/>
  <c r="X7" i="9"/>
  <c r="D8" i="9"/>
  <c r="V8" i="9"/>
  <c r="X8" i="9"/>
  <c r="D9" i="9"/>
  <c r="V9" i="9"/>
  <c r="X9" i="9"/>
  <c r="D11" i="9"/>
  <c r="V10" i="9"/>
  <c r="X10" i="9"/>
  <c r="D12" i="9"/>
  <c r="V11" i="9"/>
  <c r="X11" i="9"/>
  <c r="D13" i="9"/>
  <c r="V12" i="9"/>
  <c r="X12" i="9"/>
  <c r="D14" i="9"/>
  <c r="V13" i="9"/>
  <c r="X13" i="9"/>
  <c r="D15" i="9"/>
  <c r="V14" i="9"/>
  <c r="X14" i="9"/>
  <c r="D16" i="9"/>
  <c r="V15" i="9"/>
  <c r="X15" i="9"/>
  <c r="D17" i="9"/>
  <c r="V16" i="9"/>
  <c r="X16" i="9"/>
  <c r="D3" i="9"/>
  <c r="V3" i="9"/>
  <c r="X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3" i="9"/>
  <c r="C10" i="9"/>
  <c r="H10" i="9"/>
  <c r="I10" i="9"/>
  <c r="L32" i="25"/>
  <c r="E106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K5" i="25"/>
  <c r="L5" i="25"/>
  <c r="H3" i="9"/>
  <c r="I3" i="9"/>
  <c r="C3" i="9"/>
  <c r="C4" i="9"/>
  <c r="C5" i="9"/>
  <c r="C6" i="9"/>
  <c r="C7" i="9"/>
  <c r="C8" i="9"/>
  <c r="C9" i="9"/>
  <c r="C11" i="9"/>
  <c r="C12" i="9"/>
  <c r="C13" i="9"/>
  <c r="C14" i="9"/>
  <c r="C15" i="9"/>
  <c r="C16" i="9"/>
  <c r="C17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26" i="9"/>
  <c r="G106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4" i="25"/>
  <c r="G3" i="25"/>
  <c r="I106" i="25"/>
  <c r="J3" i="25"/>
  <c r="C28" i="9"/>
  <c r="H17" i="9"/>
  <c r="I17" i="9"/>
  <c r="H16" i="9"/>
  <c r="I16" i="9"/>
  <c r="H15" i="9"/>
  <c r="I15" i="9"/>
  <c r="H14" i="9"/>
  <c r="I14" i="9"/>
  <c r="H13" i="9"/>
  <c r="I13" i="9"/>
  <c r="H12" i="9"/>
  <c r="I12" i="9"/>
  <c r="H11" i="9"/>
  <c r="I11" i="9"/>
  <c r="H9" i="9"/>
  <c r="I9" i="9"/>
  <c r="H8" i="9"/>
  <c r="I8" i="9"/>
  <c r="H7" i="9"/>
  <c r="I7" i="9"/>
  <c r="H6" i="9"/>
  <c r="I6" i="9"/>
  <c r="H5" i="9"/>
  <c r="I5" i="9"/>
  <c r="H4" i="9"/>
  <c r="I4" i="9"/>
  <c r="J5" i="25"/>
  <c r="C20" i="9"/>
  <c r="E20" i="9"/>
  <c r="B20" i="9"/>
  <c r="F9" i="9"/>
  <c r="F11" i="9"/>
  <c r="F4" i="9"/>
  <c r="F5" i="9"/>
  <c r="F6" i="9"/>
  <c r="F7" i="9"/>
  <c r="F8" i="9"/>
  <c r="F12" i="9"/>
  <c r="F13" i="9"/>
  <c r="F14" i="9"/>
  <c r="F15" i="9"/>
  <c r="F16" i="9"/>
  <c r="F17" i="9"/>
  <c r="F3" i="9"/>
  <c r="M5" i="25"/>
  <c r="F20" i="9"/>
  <c r="D20" i="9"/>
</calcChain>
</file>

<file path=xl/sharedStrings.xml><?xml version="1.0" encoding="utf-8"?>
<sst xmlns="http://schemas.openxmlformats.org/spreadsheetml/2006/main" count="39" uniqueCount="32">
  <si>
    <t>BL</t>
  </si>
  <si>
    <t>% Diff</t>
  </si>
  <si>
    <t>Transducer Readback
Current (A)</t>
  </si>
  <si>
    <t>Set Current
(A)</t>
  </si>
  <si>
    <t>BR TOP Pole</t>
  </si>
  <si>
    <t>B</t>
  </si>
  <si>
    <t>Leff</t>
  </si>
  <si>
    <t>dz</t>
  </si>
  <si>
    <t>I (A)</t>
  </si>
  <si>
    <t>Transducer</t>
  </si>
  <si>
    <t xml:space="preserve">Notes:  </t>
  </si>
  <si>
    <t>Gradiant values deterined from fit to7 BL stretched wire measurements along the vertical midplane of the quadrupole at each current</t>
  </si>
  <si>
    <t xml:space="preserve">Effective length of the quadrupole was checked using stepped hall probe measurements along the upper beam right pole.  </t>
  </si>
  <si>
    <t>Leff (cm)</t>
  </si>
  <si>
    <t>B (G)</t>
  </si>
  <si>
    <t>BL (G-cm)</t>
  </si>
  <si>
    <t>Transducer (V)</t>
  </si>
  <si>
    <t>Hall Probe on Pole</t>
  </si>
  <si>
    <t>Hall (*-1)</t>
  </si>
  <si>
    <t>Chamber Dimension (in)</t>
  </si>
  <si>
    <t>OD</t>
  </si>
  <si>
    <t>ID</t>
  </si>
  <si>
    <t>Readings Taken at R=4.6cm (approximate)</t>
  </si>
  <si>
    <t>Old Map 
GL (G)</t>
  </si>
  <si>
    <t>Residual Param</t>
  </si>
  <si>
    <t>Residual G4 Param</t>
  </si>
  <si>
    <t>UK Meas</t>
  </si>
  <si>
    <t>Curr/300A</t>
  </si>
  <si>
    <t>DIffx100 (T)</t>
  </si>
  <si>
    <t>Diff(%)</t>
  </si>
  <si>
    <t>Measured
GL (T)</t>
  </si>
  <si>
    <t>Diff(%) UK-LANL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</si>
</sst>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%"/>
    <numFmt numFmtId="166" formatCode="0.000"/>
    <numFmt numFmtId="167" formatCode="0.0000"/>
    <numFmt numFmtId="168" formatCode="0.00000"/>
    <numFmt numFmtId="169" formatCode="0.000000"/>
    <numFmt numFmtId="170" formatCode="0.000000000"/>
    <numFmt numFmtId="171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Fill="1" applyBorder="1"/>
    <xf numFmtId="166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167" fontId="0" fillId="0" borderId="0" xfId="0" applyNumberFormat="1"/>
    <xf numFmtId="168" fontId="0" fillId="0" borderId="7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70" fontId="0" fillId="0" borderId="1" xfId="0" applyNumberFormat="1" applyBorder="1"/>
    <xf numFmtId="166" fontId="0" fillId="0" borderId="1" xfId="0" applyNumberFormat="1" applyBorder="1" applyAlignment="1">
      <alignment horizontal="left" indent="2"/>
    </xf>
    <xf numFmtId="17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2259147564507"/>
          <c:y val="0.0404463376504167"/>
          <c:w val="0.788692175125118"/>
          <c:h val="0.868290807911307"/>
        </c:manualLayout>
      </c:layout>
      <c:scatterChart>
        <c:scatterStyle val="lineMarker"/>
        <c:varyColors val="0"/>
        <c:ser>
          <c:idx val="0"/>
          <c:order val="0"/>
          <c:tx>
            <c:v>Stretched Wire (GL)</c:v>
          </c:tx>
          <c:trendline>
            <c:trendlineType val="poly"/>
            <c:order val="5"/>
            <c:dispRSqr val="0"/>
            <c:dispEq val="0"/>
          </c:trendline>
          <c:xVal>
            <c:numRef>
              <c:f>Summary!$C$3:$C$17</c:f>
              <c:numCache>
                <c:formatCode>0.00</c:formatCode>
                <c:ptCount val="15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0.0</c:v>
                </c:pt>
                <c:pt idx="8">
                  <c:v>-0.0349666666666667</c:v>
                </c:pt>
                <c:pt idx="9">
                  <c:v>-0.167773333333333</c:v>
                </c:pt>
                <c:pt idx="10">
                  <c:v>-0.333686666666667</c:v>
                </c:pt>
                <c:pt idx="11">
                  <c:v>-0.498926666666667</c:v>
                </c:pt>
                <c:pt idx="12">
                  <c:v>-0.66002</c:v>
                </c:pt>
                <c:pt idx="13">
                  <c:v>-0.83119</c:v>
                </c:pt>
                <c:pt idx="14">
                  <c:v>-0.99641</c:v>
                </c:pt>
              </c:numCache>
            </c:numRef>
          </c:xVal>
          <c:yVal>
            <c:numRef>
              <c:f>Summary!$I$3:$I$17</c:f>
              <c:numCache>
                <c:formatCode>0</c:formatCode>
                <c:ptCount val="15"/>
                <c:pt idx="0">
                  <c:v>-5604.0</c:v>
                </c:pt>
                <c:pt idx="1">
                  <c:v>-4760.0</c:v>
                </c:pt>
                <c:pt idx="2">
                  <c:v>-3827.5</c:v>
                </c:pt>
                <c:pt idx="3">
                  <c:v>-2877.0</c:v>
                </c:pt>
                <c:pt idx="4">
                  <c:v>-1928.5</c:v>
                </c:pt>
                <c:pt idx="5">
                  <c:v>-979.0</c:v>
                </c:pt>
                <c:pt idx="6">
                  <c:v>-221.0</c:v>
                </c:pt>
                <c:pt idx="7">
                  <c:v>-24.0</c:v>
                </c:pt>
                <c:pt idx="8">
                  <c:v>174.5</c:v>
                </c:pt>
                <c:pt idx="9">
                  <c:v>929.5</c:v>
                </c:pt>
                <c:pt idx="10">
                  <c:v>1872.5</c:v>
                </c:pt>
                <c:pt idx="11">
                  <c:v>2811.0</c:v>
                </c:pt>
                <c:pt idx="12">
                  <c:v>3749.5</c:v>
                </c:pt>
                <c:pt idx="13">
                  <c:v>4668.5</c:v>
                </c:pt>
                <c:pt idx="14">
                  <c:v>5559.5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89392"/>
        <c:axId val="1281591712"/>
      </c:scatterChart>
      <c:scatterChart>
        <c:scatterStyle val="lineMarker"/>
        <c:varyColors val="0"/>
        <c:ser>
          <c:idx val="1"/>
          <c:order val="1"/>
          <c:tx>
            <c:v>Hall Probe (G at Pole)</c:v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39293743868539"/>
                  <c:y val="-0.760959645669291"/>
                </c:manualLayout>
              </c:layout>
              <c:numFmt formatCode="General" sourceLinked="0"/>
            </c:trendlineLbl>
          </c:trendline>
          <c:xVal>
            <c:numRef>
              <c:f>Summary!$C$3:$C$17</c:f>
              <c:numCache>
                <c:formatCode>0.00</c:formatCode>
                <c:ptCount val="15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0.0</c:v>
                </c:pt>
                <c:pt idx="8">
                  <c:v>-0.0349666666666667</c:v>
                </c:pt>
                <c:pt idx="9">
                  <c:v>-0.167773333333333</c:v>
                </c:pt>
                <c:pt idx="10">
                  <c:v>-0.333686666666667</c:v>
                </c:pt>
                <c:pt idx="11">
                  <c:v>-0.498926666666667</c:v>
                </c:pt>
                <c:pt idx="12">
                  <c:v>-0.66002</c:v>
                </c:pt>
                <c:pt idx="13">
                  <c:v>-0.83119</c:v>
                </c:pt>
                <c:pt idx="14">
                  <c:v>-0.99641</c:v>
                </c:pt>
              </c:numCache>
            </c:numRef>
          </c:xVal>
          <c:yVal>
            <c:numRef>
              <c:f>Summary!$D$3:$D$17</c:f>
              <c:numCache>
                <c:formatCode>0.00000</c:formatCode>
                <c:ptCount val="15"/>
                <c:pt idx="0">
                  <c:v>-5.232144</c:v>
                </c:pt>
                <c:pt idx="1">
                  <c:v>-4.446660457142858</c:v>
                </c:pt>
                <c:pt idx="2">
                  <c:v>-3.581072628571428</c:v>
                </c:pt>
                <c:pt idx="3">
                  <c:v>-2.698637828571428</c:v>
                </c:pt>
                <c:pt idx="4">
                  <c:v>-1.813790085714286</c:v>
                </c:pt>
                <c:pt idx="5">
                  <c:v>-0.9236994</c:v>
                </c:pt>
                <c:pt idx="6">
                  <c:v>-0.211979114285714</c:v>
                </c:pt>
                <c:pt idx="8">
                  <c:v>0.164829171428571</c:v>
                </c:pt>
                <c:pt idx="9">
                  <c:v>0.8755328</c:v>
                </c:pt>
                <c:pt idx="10">
                  <c:v>1.764304142857143</c:v>
                </c:pt>
                <c:pt idx="11">
                  <c:v>2.648062571428571</c:v>
                </c:pt>
                <c:pt idx="12">
                  <c:v>3.529865571428571</c:v>
                </c:pt>
                <c:pt idx="13">
                  <c:v>4.394514114285713</c:v>
                </c:pt>
                <c:pt idx="14">
                  <c:v>5.227943685714285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89584"/>
        <c:axId val="1281594032"/>
      </c:scatterChart>
      <c:valAx>
        <c:axId val="1281589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crossAx val="1281591712"/>
        <c:crosses val="autoZero"/>
        <c:crossBetween val="midCat"/>
      </c:valAx>
      <c:valAx>
        <c:axId val="1281591712"/>
        <c:scaling>
          <c:orientation val="minMax"/>
          <c:max val="6000.0"/>
          <c:min val="-6000.0"/>
        </c:scaling>
        <c:delete val="0"/>
        <c:axPos val="l"/>
        <c:majorGridlines/>
        <c:numFmt formatCode="0" sourceLinked="0"/>
        <c:majorTickMark val="out"/>
        <c:minorTickMark val="none"/>
        <c:tickLblPos val="low"/>
        <c:crossAx val="1281589392"/>
        <c:crosses val="autoZero"/>
        <c:crossBetween val="midCat"/>
      </c:valAx>
      <c:valAx>
        <c:axId val="12815940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279689584"/>
        <c:crosses val="max"/>
        <c:crossBetween val="midCat"/>
      </c:valAx>
      <c:valAx>
        <c:axId val="127968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81594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2693537630345"/>
          <c:y val="0.106255324641797"/>
          <c:w val="0.287884531459169"/>
          <c:h val="0.1317516457983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Measured GL vs Current (2012 Measurement)</a:t>
            </a:r>
          </a:p>
        </c:rich>
      </c:tx>
      <c:layout>
        <c:manualLayout>
          <c:xMode val="edge"/>
          <c:yMode val="edge"/>
          <c:x val="0.270316172016959"/>
          <c:y val="0.0286458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8575274244565"/>
          <c:y val="0.107005208333333"/>
          <c:w val="0.82669089440743"/>
          <c:h val="0.66980561023622"/>
        </c:manualLayout>
      </c:layout>
      <c:scatterChart>
        <c:scatterStyle val="lineMarker"/>
        <c:varyColors val="0"/>
        <c:ser>
          <c:idx val="4"/>
          <c:order val="0"/>
          <c:tx>
            <c:strRef>
              <c:f>Summary!$V$2</c:f>
              <c:strCache>
                <c:ptCount val="1"/>
                <c:pt idx="0">
                  <c:v>Measured_x000d_GL (T)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00779016084527892"/>
                  <c:y val="0.56486979166666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Summary!$U$3:$U$16</c:f>
              <c:numCache>
                <c:formatCode>0.0000000</c:formatCode>
                <c:ptCount val="14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-0.0349666666666667</c:v>
                </c:pt>
                <c:pt idx="8">
                  <c:v>-0.167773333333333</c:v>
                </c:pt>
                <c:pt idx="9">
                  <c:v>-0.333686666666667</c:v>
                </c:pt>
                <c:pt idx="10">
                  <c:v>-0.498926666666667</c:v>
                </c:pt>
                <c:pt idx="11">
                  <c:v>-0.66002</c:v>
                </c:pt>
                <c:pt idx="12">
                  <c:v>-0.83119</c:v>
                </c:pt>
                <c:pt idx="13">
                  <c:v>-0.99641</c:v>
                </c:pt>
              </c:numCache>
            </c:numRef>
          </c:xVal>
          <c:yVal>
            <c:numRef>
              <c:f>Summary!$V$3:$V$16</c:f>
              <c:numCache>
                <c:formatCode>0.0000000</c:formatCode>
                <c:ptCount val="14"/>
                <c:pt idx="0">
                  <c:v>5.232144</c:v>
                </c:pt>
                <c:pt idx="1">
                  <c:v>4.446660457142858</c:v>
                </c:pt>
                <c:pt idx="2">
                  <c:v>3.581072628571428</c:v>
                </c:pt>
                <c:pt idx="3">
                  <c:v>2.698637828571428</c:v>
                </c:pt>
                <c:pt idx="4">
                  <c:v>1.813790085714286</c:v>
                </c:pt>
                <c:pt idx="5">
                  <c:v>0.9236994</c:v>
                </c:pt>
                <c:pt idx="6">
                  <c:v>0.211979114285714</c:v>
                </c:pt>
                <c:pt idx="7">
                  <c:v>-0.164829171428571</c:v>
                </c:pt>
                <c:pt idx="8">
                  <c:v>-0.8755328</c:v>
                </c:pt>
                <c:pt idx="9">
                  <c:v>-1.764304142857143</c:v>
                </c:pt>
                <c:pt idx="10">
                  <c:v>-2.648062571428571</c:v>
                </c:pt>
                <c:pt idx="11">
                  <c:v>-3.529865571428571</c:v>
                </c:pt>
                <c:pt idx="12">
                  <c:v>-4.394514114285713</c:v>
                </c:pt>
                <c:pt idx="13">
                  <c:v>-5.227943685714285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119504"/>
        <c:axId val="1280122624"/>
      </c:scatterChart>
      <c:scatterChart>
        <c:scatterStyle val="lineMarker"/>
        <c:varyColors val="0"/>
        <c:ser>
          <c:idx val="6"/>
          <c:order val="1"/>
          <c:tx>
            <c:v>Fit Residual (%)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Summary!$U$3:$U$16</c:f>
              <c:numCache>
                <c:formatCode>0.0000000</c:formatCode>
                <c:ptCount val="14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-0.0349666666666667</c:v>
                </c:pt>
                <c:pt idx="8">
                  <c:v>-0.167773333333333</c:v>
                </c:pt>
                <c:pt idx="9">
                  <c:v>-0.333686666666667</c:v>
                </c:pt>
                <c:pt idx="10">
                  <c:v>-0.498926666666667</c:v>
                </c:pt>
                <c:pt idx="11">
                  <c:v>-0.66002</c:v>
                </c:pt>
                <c:pt idx="12">
                  <c:v>-0.83119</c:v>
                </c:pt>
                <c:pt idx="13">
                  <c:v>-0.99641</c:v>
                </c:pt>
              </c:numCache>
            </c:numRef>
          </c:xVal>
          <c:yVal>
            <c:numRef>
              <c:f>Summary!$W$3:$W$16</c:f>
              <c:numCache>
                <c:formatCode>General</c:formatCode>
                <c:ptCount val="14"/>
                <c:pt idx="0">
                  <c:v>-0.0528807353221707</c:v>
                </c:pt>
                <c:pt idx="1">
                  <c:v>0.18500011727223</c:v>
                </c:pt>
                <c:pt idx="2">
                  <c:v>-0.122804213489848</c:v>
                </c:pt>
                <c:pt idx="3">
                  <c:v>-0.161218893862833</c:v>
                </c:pt>
                <c:pt idx="4">
                  <c:v>0.0645238686694655</c:v>
                </c:pt>
                <c:pt idx="5">
                  <c:v>0.276311471105161</c:v>
                </c:pt>
                <c:pt idx="6">
                  <c:v>0.830820739857667</c:v>
                </c:pt>
                <c:pt idx="7">
                  <c:v>0.616203589304855</c:v>
                </c:pt>
                <c:pt idx="8">
                  <c:v>0.0571157653204654</c:v>
                </c:pt>
                <c:pt idx="9">
                  <c:v>-0.0486328087318383</c:v>
                </c:pt>
                <c:pt idx="10">
                  <c:v>-0.186350137082905</c:v>
                </c:pt>
                <c:pt idx="11">
                  <c:v>0.44823076024032</c:v>
                </c:pt>
                <c:pt idx="12">
                  <c:v>-0.31677480492965</c:v>
                </c:pt>
                <c:pt idx="13">
                  <c:v>0.0737838988998947</c:v>
                </c:pt>
              </c:numCache>
            </c:numRef>
          </c:yVal>
          <c:smooth val="0"/>
        </c:ser>
        <c:ser>
          <c:idx val="7"/>
          <c:order val="2"/>
          <c:tx>
            <c:v>G4 Residual (%)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Summary!$U$3:$U$16</c:f>
              <c:numCache>
                <c:formatCode>0.0000000</c:formatCode>
                <c:ptCount val="14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-0.0349666666666667</c:v>
                </c:pt>
                <c:pt idx="8">
                  <c:v>-0.167773333333333</c:v>
                </c:pt>
                <c:pt idx="9">
                  <c:v>-0.333686666666667</c:v>
                </c:pt>
                <c:pt idx="10">
                  <c:v>-0.498926666666667</c:v>
                </c:pt>
                <c:pt idx="11">
                  <c:v>-0.66002</c:v>
                </c:pt>
                <c:pt idx="12">
                  <c:v>-0.83119</c:v>
                </c:pt>
                <c:pt idx="13">
                  <c:v>-0.99641</c:v>
                </c:pt>
              </c:numCache>
            </c:numRef>
          </c:xVal>
          <c:yVal>
            <c:numRef>
              <c:f>Summary!$X$3:$X$16</c:f>
              <c:numCache>
                <c:formatCode>General</c:formatCode>
                <c:ptCount val="14"/>
                <c:pt idx="0">
                  <c:v>-0.0410520284016824</c:v>
                </c:pt>
                <c:pt idx="1">
                  <c:v>0.159368226274174</c:v>
                </c:pt>
                <c:pt idx="2">
                  <c:v>-0.145550206953092</c:v>
                </c:pt>
                <c:pt idx="3">
                  <c:v>-0.141061120377168</c:v>
                </c:pt>
                <c:pt idx="4">
                  <c:v>0.181111074021936</c:v>
                </c:pt>
                <c:pt idx="5">
                  <c:v>0.634384414848635</c:v>
                </c:pt>
                <c:pt idx="6">
                  <c:v>2.592992195964869</c:v>
                </c:pt>
                <c:pt idx="7">
                  <c:v>-1.651244214623964</c:v>
                </c:pt>
                <c:pt idx="8">
                  <c:v>-0.321340370424821</c:v>
                </c:pt>
                <c:pt idx="9">
                  <c:v>-0.168346185662147</c:v>
                </c:pt>
                <c:pt idx="10">
                  <c:v>-0.205825590811582</c:v>
                </c:pt>
                <c:pt idx="11">
                  <c:v>0.472526013745532</c:v>
                </c:pt>
                <c:pt idx="12">
                  <c:v>-0.288526097372615</c:v>
                </c:pt>
                <c:pt idx="13">
                  <c:v>0.0632419312962067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11968"/>
        <c:axId val="1280126928"/>
      </c:scatterChart>
      <c:valAx>
        <c:axId val="1280119504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Current/300 A</a:t>
                </a:r>
              </a:p>
            </c:rich>
          </c:tx>
          <c:layout>
            <c:manualLayout>
              <c:xMode val="edge"/>
              <c:yMode val="edge"/>
              <c:x val="0.443811831213406"/>
              <c:y val="0.83538549868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22624"/>
        <c:crosses val="autoZero"/>
        <c:crossBetween val="midCat"/>
        <c:majorUnit val="0.2"/>
      </c:valAx>
      <c:valAx>
        <c:axId val="1280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5">
                        <a:lumMod val="75000"/>
                      </a:schemeClr>
                    </a:solidFill>
                  </a:rPr>
                  <a:t>GL (T)</a:t>
                </a:r>
              </a:p>
            </c:rich>
          </c:tx>
          <c:layout>
            <c:manualLayout>
              <c:xMode val="edge"/>
              <c:yMode val="edge"/>
              <c:x val="0.0188767750185073"/>
              <c:y val="0.432035351049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19504"/>
        <c:crosses val="autoZero"/>
        <c:crossBetween val="midCat"/>
      </c:valAx>
      <c:valAx>
        <c:axId val="1280126928"/>
        <c:scaling>
          <c:orientation val="minMax"/>
          <c:max val="3.0"/>
          <c:min val="-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Residual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(%)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61282051282051"/>
              <c:y val="0.359329888451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1968"/>
        <c:crosses val="max"/>
        <c:crossBetween val="midCat"/>
      </c:valAx>
      <c:valAx>
        <c:axId val="125241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8012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0722701393095094"/>
          <c:y val="0.909918389107612"/>
          <c:w val="0.877681943603203"/>
          <c:h val="0.0900816108923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/>
                </a:solidFill>
              </a:rPr>
              <a:t>Measured</a:t>
            </a:r>
            <a:r>
              <a:rPr lang="en-US" sz="1500" baseline="0">
                <a:solidFill>
                  <a:schemeClr val="tx1"/>
                </a:solidFill>
              </a:rPr>
              <a:t> GL vs Current (2012 JLab  and UK)</a:t>
            </a:r>
            <a:endParaRPr lang="en-US" sz="15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1210759428098"/>
          <c:y val="0.0261887442202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10593659345213"/>
          <c:y val="0.100958230958231"/>
          <c:w val="0.829361531288852"/>
          <c:h val="0.706834142660914"/>
        </c:manualLayout>
      </c:layout>
      <c:scatterChart>
        <c:scatterStyle val="lineMarker"/>
        <c:varyColors val="0"/>
        <c:ser>
          <c:idx val="0"/>
          <c:order val="0"/>
          <c:tx>
            <c:v>2012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0413204517198508"/>
                  <c:y val="-0.1067306390141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-0.2121x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5</a:t>
                    </a: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 - 0.0318x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4</a:t>
                    </a: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 + 0.1038x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3</a:t>
                    </a: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 + 0.0135x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 + 5.3544x + 0.0234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Summary!$U$3:$U$16</c:f>
              <c:numCache>
                <c:formatCode>0.0000000</c:formatCode>
                <c:ptCount val="14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-0.0349666666666667</c:v>
                </c:pt>
                <c:pt idx="8">
                  <c:v>-0.167773333333333</c:v>
                </c:pt>
                <c:pt idx="9">
                  <c:v>-0.333686666666667</c:v>
                </c:pt>
                <c:pt idx="10">
                  <c:v>-0.498926666666667</c:v>
                </c:pt>
                <c:pt idx="11">
                  <c:v>-0.66002</c:v>
                </c:pt>
                <c:pt idx="12">
                  <c:v>-0.83119</c:v>
                </c:pt>
                <c:pt idx="13">
                  <c:v>-0.99641</c:v>
                </c:pt>
              </c:numCache>
            </c:numRef>
          </c:xVal>
          <c:yVal>
            <c:numRef>
              <c:f>Summary!$V$3:$V$16</c:f>
              <c:numCache>
                <c:formatCode>0.0000000</c:formatCode>
                <c:ptCount val="14"/>
                <c:pt idx="0">
                  <c:v>5.232144</c:v>
                </c:pt>
                <c:pt idx="1">
                  <c:v>4.446660457142858</c:v>
                </c:pt>
                <c:pt idx="2">
                  <c:v>3.581072628571428</c:v>
                </c:pt>
                <c:pt idx="3">
                  <c:v>2.698637828571428</c:v>
                </c:pt>
                <c:pt idx="4">
                  <c:v>1.813790085714286</c:v>
                </c:pt>
                <c:pt idx="5">
                  <c:v>0.9236994</c:v>
                </c:pt>
                <c:pt idx="6">
                  <c:v>0.211979114285714</c:v>
                </c:pt>
                <c:pt idx="7">
                  <c:v>-0.164829171428571</c:v>
                </c:pt>
                <c:pt idx="8">
                  <c:v>-0.8755328</c:v>
                </c:pt>
                <c:pt idx="9">
                  <c:v>-1.764304142857143</c:v>
                </c:pt>
                <c:pt idx="10">
                  <c:v>-2.648062571428571</c:v>
                </c:pt>
                <c:pt idx="11">
                  <c:v>-3.529865571428571</c:v>
                </c:pt>
                <c:pt idx="12">
                  <c:v>-4.394514114285713</c:v>
                </c:pt>
                <c:pt idx="13">
                  <c:v>-5.227943685714285</c:v>
                </c:pt>
              </c:numCache>
            </c:numRef>
          </c:yVal>
          <c:smooth val="0"/>
        </c:ser>
        <c:ser>
          <c:idx val="3"/>
          <c:order val="1"/>
          <c:tx>
            <c:v>UK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0181843141317862"/>
                  <c:y val="-0.05585037435431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y = -0.2734x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5</a:t>
                    </a: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 - 0.0516x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4</a:t>
                    </a: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 + 0.163x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3</a:t>
                    </a: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 + 0.1018x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2</a:t>
                    </a: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 + 5.2999x - 0.023</a:t>
                    </a:r>
                    <a:endParaRPr lang="en-US" sz="1200">
                      <a:solidFill>
                        <a:srgbClr val="7030A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Summary!$Y$3:$Y$23</c:f>
              <c:numCache>
                <c:formatCode>General</c:formatCode>
                <c:ptCount val="2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-1.0</c:v>
                </c:pt>
              </c:numCache>
            </c:numRef>
          </c:xVal>
          <c:yVal>
            <c:numRef>
              <c:f>Summary!$Z$3:$Z$23</c:f>
              <c:numCache>
                <c:formatCode>General</c:formatCode>
                <c:ptCount val="21"/>
                <c:pt idx="0">
                  <c:v>5.216545</c:v>
                </c:pt>
                <c:pt idx="1">
                  <c:v>4.752937999999999</c:v>
                </c:pt>
                <c:pt idx="2">
                  <c:v>4.258104</c:v>
                </c:pt>
                <c:pt idx="3">
                  <c:v>3.732211</c:v>
                </c:pt>
                <c:pt idx="4">
                  <c:v>3.195534</c:v>
                </c:pt>
                <c:pt idx="5">
                  <c:v>2.6595</c:v>
                </c:pt>
                <c:pt idx="6">
                  <c:v>2.122803</c:v>
                </c:pt>
                <c:pt idx="7">
                  <c:v>1.584756</c:v>
                </c:pt>
                <c:pt idx="8">
                  <c:v>1.046563</c:v>
                </c:pt>
                <c:pt idx="9">
                  <c:v>0.508513</c:v>
                </c:pt>
                <c:pt idx="10">
                  <c:v>-0.029</c:v>
                </c:pt>
                <c:pt idx="11">
                  <c:v>-0.55733</c:v>
                </c:pt>
                <c:pt idx="12">
                  <c:v>-1.081153</c:v>
                </c:pt>
                <c:pt idx="13">
                  <c:v>-1.607812</c:v>
                </c:pt>
                <c:pt idx="14">
                  <c:v>-2.134096</c:v>
                </c:pt>
                <c:pt idx="15">
                  <c:v>-2.659549</c:v>
                </c:pt>
                <c:pt idx="16">
                  <c:v>-3.18287</c:v>
                </c:pt>
                <c:pt idx="17">
                  <c:v>-3.703326</c:v>
                </c:pt>
                <c:pt idx="18">
                  <c:v>-4.217574</c:v>
                </c:pt>
                <c:pt idx="19">
                  <c:v>-4.706417</c:v>
                </c:pt>
                <c:pt idx="20">
                  <c:v>-5.158377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71568"/>
        <c:axId val="1281674000"/>
      </c:scatterChart>
      <c:scatterChart>
        <c:scatterStyle val="smoothMarker"/>
        <c:varyColors val="0"/>
        <c:ser>
          <c:idx val="1"/>
          <c:order val="3"/>
          <c:tx>
            <c:v>Difference x100 (T)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Summary!$Y$3:$Y$23</c:f>
              <c:numCache>
                <c:formatCode>General</c:formatCode>
                <c:ptCount val="2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-1.0</c:v>
                </c:pt>
              </c:numCache>
            </c:numRef>
          </c:xVal>
          <c:yVal>
            <c:numRef>
              <c:f>Summary!$AA$3:$AA$23</c:f>
              <c:numCache>
                <c:formatCode>General</c:formatCode>
                <c:ptCount val="21"/>
                <c:pt idx="0">
                  <c:v>-3.465499999999988</c:v>
                </c:pt>
                <c:pt idx="1">
                  <c:v>-2.992029100000071</c:v>
                </c:pt>
                <c:pt idx="2">
                  <c:v>-2.807539199999987</c:v>
                </c:pt>
                <c:pt idx="3">
                  <c:v>-3.82045729999998</c:v>
                </c:pt>
                <c:pt idx="4">
                  <c:v>-4.717262400000032</c:v>
                </c:pt>
                <c:pt idx="5">
                  <c:v>-4.883437500000021</c:v>
                </c:pt>
                <c:pt idx="6">
                  <c:v>-4.817421600000049</c:v>
                </c:pt>
                <c:pt idx="7">
                  <c:v>-4.820861700000001</c:v>
                </c:pt>
                <c:pt idx="8">
                  <c:v>-4.896864800000022</c:v>
                </c:pt>
                <c:pt idx="9">
                  <c:v>-5.056049900000003</c:v>
                </c:pt>
                <c:pt idx="10">
                  <c:v>-5.24</c:v>
                </c:pt>
                <c:pt idx="11">
                  <c:v>-4.532014099999992</c:v>
                </c:pt>
                <c:pt idx="12">
                  <c:v>-3.339959200000009</c:v>
                </c:pt>
                <c:pt idx="13">
                  <c:v>-2.35622230000001</c:v>
                </c:pt>
                <c:pt idx="14">
                  <c:v>-1.261062400000013</c:v>
                </c:pt>
                <c:pt idx="15">
                  <c:v>-0.0789625000000349</c:v>
                </c:pt>
                <c:pt idx="16">
                  <c:v>1.155918399999978</c:v>
                </c:pt>
                <c:pt idx="17">
                  <c:v>2.232993299999952</c:v>
                </c:pt>
                <c:pt idx="18">
                  <c:v>3.057595200000041</c:v>
                </c:pt>
                <c:pt idx="19">
                  <c:v>4.949925100000118</c:v>
                </c:pt>
                <c:pt idx="20">
                  <c:v>8.262300000000078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71568"/>
        <c:axId val="1281674000"/>
      </c:scatterChart>
      <c:scatterChart>
        <c:scatterStyle val="smoothMarker"/>
        <c:varyColors val="0"/>
        <c:ser>
          <c:idx val="2"/>
          <c:order val="2"/>
          <c:tx>
            <c:v>Parametrization Diff (%)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Summary!$Y$3:$Y$23</c:f>
              <c:numCache>
                <c:formatCode>General</c:formatCode>
                <c:ptCount val="2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-1.0</c:v>
                </c:pt>
              </c:numCache>
            </c:numRef>
          </c:xVal>
          <c:yVal>
            <c:numRef>
              <c:f>Summary!$AB$3:$AB$23</c:f>
              <c:numCache>
                <c:formatCode>General</c:formatCode>
                <c:ptCount val="21"/>
                <c:pt idx="0">
                  <c:v>-0.656992687385731</c:v>
                </c:pt>
                <c:pt idx="1">
                  <c:v>-0.62636221224392</c:v>
                </c:pt>
                <c:pt idx="2">
                  <c:v>-0.731991387447737</c:v>
                </c:pt>
                <c:pt idx="3">
                  <c:v>-0.955705552937997</c:v>
                </c:pt>
                <c:pt idx="4">
                  <c:v>-1.290821922964087</c:v>
                </c:pt>
                <c:pt idx="5">
                  <c:v>-1.747499327884888</c:v>
                </c:pt>
                <c:pt idx="6">
                  <c:v>-2.368416933215759</c:v>
                </c:pt>
                <c:pt idx="7">
                  <c:v>-3.277103400948957</c:v>
                </c:pt>
                <c:pt idx="8">
                  <c:v>-4.869388857673587</c:v>
                </c:pt>
                <c:pt idx="9">
                  <c:v>-9.106207518521637</c:v>
                </c:pt>
                <c:pt idx="11">
                  <c:v>7.837264516424081</c:v>
                </c:pt>
                <c:pt idx="12">
                  <c:v>3.097452487599082</c:v>
                </c:pt>
                <c:pt idx="13">
                  <c:v>1.496785503413704</c:v>
                </c:pt>
                <c:pt idx="14">
                  <c:v>0.666512631195282</c:v>
                </c:pt>
                <c:pt idx="15">
                  <c:v>0.142806266550555</c:v>
                </c:pt>
                <c:pt idx="16">
                  <c:v>-0.234827807032693</c:v>
                </c:pt>
                <c:pt idx="17">
                  <c:v>-0.543799839930076</c:v>
                </c:pt>
                <c:pt idx="18">
                  <c:v>-0.832793201740539</c:v>
                </c:pt>
                <c:pt idx="19">
                  <c:v>-1.140105379033967</c:v>
                </c:pt>
                <c:pt idx="20">
                  <c:v>-1.501621827895448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80224"/>
        <c:axId val="1281677392"/>
      </c:scatterChart>
      <c:valAx>
        <c:axId val="12816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Current/300 A</a:t>
                </a:r>
              </a:p>
            </c:rich>
          </c:tx>
          <c:layout>
            <c:manualLayout>
              <c:xMode val="edge"/>
              <c:yMode val="edge"/>
              <c:x val="0.426847156029838"/>
              <c:y val="0.85832401478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4000"/>
        <c:crosses val="autoZero"/>
        <c:crossBetween val="midCat"/>
      </c:valAx>
      <c:valAx>
        <c:axId val="1281674000"/>
        <c:scaling>
          <c:orientation val="minMax"/>
          <c:max val="9.0"/>
          <c:min val="-9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GL (T)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7167426440116"/>
              <c:y val="0.406889473582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1568"/>
        <c:crosses val="autoZero"/>
        <c:crossBetween val="midCat"/>
        <c:majorUnit val="3.0"/>
      </c:valAx>
      <c:valAx>
        <c:axId val="1281677392"/>
        <c:scaling>
          <c:orientation val="minMax"/>
          <c:max val="12.0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80224"/>
        <c:crosses val="max"/>
        <c:crossBetween val="midCat"/>
        <c:majorUnit val="3.0"/>
      </c:valAx>
      <c:valAx>
        <c:axId val="1281680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28167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480821332366349"/>
          <c:y val="0.916768751571901"/>
          <c:w val="0.89810531496063"/>
          <c:h val="0.0523235117723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'Hall Probe Measurements'!$D$3:$D$106</c:f>
              <c:numCache>
                <c:formatCode>General</c:formatCode>
                <c:ptCount val="104"/>
                <c:pt idx="0">
                  <c:v>-10.0</c:v>
                </c:pt>
                <c:pt idx="1">
                  <c:v>-9.5</c:v>
                </c:pt>
                <c:pt idx="2">
                  <c:v>-9.0</c:v>
                </c:pt>
                <c:pt idx="3">
                  <c:v>-8.5</c:v>
                </c:pt>
                <c:pt idx="4">
                  <c:v>-8.0</c:v>
                </c:pt>
                <c:pt idx="5">
                  <c:v>-7.5</c:v>
                </c:pt>
                <c:pt idx="6">
                  <c:v>-7.0</c:v>
                </c:pt>
                <c:pt idx="7">
                  <c:v>-6.5</c:v>
                </c:pt>
                <c:pt idx="8">
                  <c:v>-6.0</c:v>
                </c:pt>
                <c:pt idx="9">
                  <c:v>-5.5</c:v>
                </c:pt>
                <c:pt idx="10">
                  <c:v>-5.0</c:v>
                </c:pt>
                <c:pt idx="11">
                  <c:v>-4.5</c:v>
                </c:pt>
                <c:pt idx="12">
                  <c:v>-4.0</c:v>
                </c:pt>
                <c:pt idx="13">
                  <c:v>-3.5</c:v>
                </c:pt>
                <c:pt idx="14">
                  <c:v>-3.0</c:v>
                </c:pt>
                <c:pt idx="15">
                  <c:v>-2.5</c:v>
                </c:pt>
                <c:pt idx="16">
                  <c:v>-2.0</c:v>
                </c:pt>
                <c:pt idx="17">
                  <c:v>-1.5</c:v>
                </c:pt>
                <c:pt idx="18">
                  <c:v>-1.0</c:v>
                </c:pt>
                <c:pt idx="19">
                  <c:v>-0.5</c:v>
                </c:pt>
                <c:pt idx="20">
                  <c:v>0.0</c:v>
                </c:pt>
                <c:pt idx="21">
                  <c:v>0.5</c:v>
                </c:pt>
                <c:pt idx="22">
                  <c:v>1.0</c:v>
                </c:pt>
                <c:pt idx="23">
                  <c:v>1.5</c:v>
                </c:pt>
                <c:pt idx="24">
                  <c:v>2.0</c:v>
                </c:pt>
                <c:pt idx="25">
                  <c:v>2.5</c:v>
                </c:pt>
                <c:pt idx="26">
                  <c:v>3.0</c:v>
                </c:pt>
                <c:pt idx="27">
                  <c:v>3.5</c:v>
                </c:pt>
                <c:pt idx="28">
                  <c:v>4.0</c:v>
                </c:pt>
                <c:pt idx="29">
                  <c:v>4.5</c:v>
                </c:pt>
                <c:pt idx="30">
                  <c:v>5.0</c:v>
                </c:pt>
                <c:pt idx="31">
                  <c:v>5.5</c:v>
                </c:pt>
                <c:pt idx="32">
                  <c:v>6.0</c:v>
                </c:pt>
                <c:pt idx="33">
                  <c:v>6.5</c:v>
                </c:pt>
                <c:pt idx="34">
                  <c:v>7.0</c:v>
                </c:pt>
                <c:pt idx="35">
                  <c:v>7.5</c:v>
                </c:pt>
                <c:pt idx="36">
                  <c:v>8.0</c:v>
                </c:pt>
                <c:pt idx="37">
                  <c:v>8.5</c:v>
                </c:pt>
                <c:pt idx="38">
                  <c:v>9.0</c:v>
                </c:pt>
                <c:pt idx="39">
                  <c:v>9.5</c:v>
                </c:pt>
                <c:pt idx="40">
                  <c:v>10.0</c:v>
                </c:pt>
                <c:pt idx="41">
                  <c:v>10.5</c:v>
                </c:pt>
                <c:pt idx="42">
                  <c:v>11.0</c:v>
                </c:pt>
                <c:pt idx="43">
                  <c:v>11.5</c:v>
                </c:pt>
                <c:pt idx="44">
                  <c:v>12.0</c:v>
                </c:pt>
                <c:pt idx="45">
                  <c:v>12.5</c:v>
                </c:pt>
                <c:pt idx="46">
                  <c:v>13.0</c:v>
                </c:pt>
                <c:pt idx="47">
                  <c:v>13.5</c:v>
                </c:pt>
                <c:pt idx="48">
                  <c:v>14.0</c:v>
                </c:pt>
                <c:pt idx="49">
                  <c:v>14.5</c:v>
                </c:pt>
                <c:pt idx="50">
                  <c:v>15.0</c:v>
                </c:pt>
                <c:pt idx="51">
                  <c:v>25.132</c:v>
                </c:pt>
                <c:pt idx="52">
                  <c:v>25.132</c:v>
                </c:pt>
                <c:pt idx="53">
                  <c:v>35.464</c:v>
                </c:pt>
                <c:pt idx="54">
                  <c:v>35.964</c:v>
                </c:pt>
                <c:pt idx="55">
                  <c:v>36.464</c:v>
                </c:pt>
                <c:pt idx="56">
                  <c:v>36.964</c:v>
                </c:pt>
                <c:pt idx="57">
                  <c:v>37.464</c:v>
                </c:pt>
                <c:pt idx="58">
                  <c:v>37.964</c:v>
                </c:pt>
                <c:pt idx="59">
                  <c:v>38.464</c:v>
                </c:pt>
                <c:pt idx="60">
                  <c:v>38.964</c:v>
                </c:pt>
                <c:pt idx="61">
                  <c:v>39.464</c:v>
                </c:pt>
                <c:pt idx="62">
                  <c:v>39.964</c:v>
                </c:pt>
                <c:pt idx="63">
                  <c:v>40.464</c:v>
                </c:pt>
                <c:pt idx="64">
                  <c:v>40.964</c:v>
                </c:pt>
                <c:pt idx="65">
                  <c:v>41.464</c:v>
                </c:pt>
                <c:pt idx="66">
                  <c:v>41.964</c:v>
                </c:pt>
                <c:pt idx="67">
                  <c:v>42.464</c:v>
                </c:pt>
                <c:pt idx="68">
                  <c:v>42.964</c:v>
                </c:pt>
                <c:pt idx="69">
                  <c:v>43.464</c:v>
                </c:pt>
                <c:pt idx="70">
                  <c:v>43.964</c:v>
                </c:pt>
                <c:pt idx="71">
                  <c:v>44.464</c:v>
                </c:pt>
                <c:pt idx="72">
                  <c:v>44.964</c:v>
                </c:pt>
                <c:pt idx="73">
                  <c:v>45.464</c:v>
                </c:pt>
                <c:pt idx="74">
                  <c:v>45.964</c:v>
                </c:pt>
                <c:pt idx="75">
                  <c:v>46.464</c:v>
                </c:pt>
                <c:pt idx="76">
                  <c:v>46.964</c:v>
                </c:pt>
                <c:pt idx="77">
                  <c:v>47.464</c:v>
                </c:pt>
                <c:pt idx="78">
                  <c:v>47.964</c:v>
                </c:pt>
                <c:pt idx="79">
                  <c:v>48.464</c:v>
                </c:pt>
                <c:pt idx="80">
                  <c:v>48.964</c:v>
                </c:pt>
                <c:pt idx="81">
                  <c:v>49.464</c:v>
                </c:pt>
                <c:pt idx="82">
                  <c:v>49.964</c:v>
                </c:pt>
                <c:pt idx="83">
                  <c:v>50.464</c:v>
                </c:pt>
                <c:pt idx="84">
                  <c:v>50.964</c:v>
                </c:pt>
                <c:pt idx="85">
                  <c:v>51.464</c:v>
                </c:pt>
                <c:pt idx="86">
                  <c:v>51.964</c:v>
                </c:pt>
                <c:pt idx="87">
                  <c:v>52.464</c:v>
                </c:pt>
                <c:pt idx="88">
                  <c:v>52.964</c:v>
                </c:pt>
                <c:pt idx="89">
                  <c:v>53.464</c:v>
                </c:pt>
                <c:pt idx="90">
                  <c:v>53.964</c:v>
                </c:pt>
                <c:pt idx="91">
                  <c:v>54.464</c:v>
                </c:pt>
                <c:pt idx="92">
                  <c:v>54.964</c:v>
                </c:pt>
                <c:pt idx="93">
                  <c:v>55.464</c:v>
                </c:pt>
                <c:pt idx="94">
                  <c:v>55.964</c:v>
                </c:pt>
                <c:pt idx="95">
                  <c:v>56.464</c:v>
                </c:pt>
                <c:pt idx="96">
                  <c:v>56.964</c:v>
                </c:pt>
                <c:pt idx="97">
                  <c:v>57.464</c:v>
                </c:pt>
                <c:pt idx="98">
                  <c:v>57.964</c:v>
                </c:pt>
                <c:pt idx="99">
                  <c:v>58.464</c:v>
                </c:pt>
                <c:pt idx="100">
                  <c:v>58.964</c:v>
                </c:pt>
                <c:pt idx="101">
                  <c:v>59.464</c:v>
                </c:pt>
                <c:pt idx="102">
                  <c:v>59.964</c:v>
                </c:pt>
                <c:pt idx="103">
                  <c:v>60.464</c:v>
                </c:pt>
              </c:numCache>
            </c:numRef>
          </c:xVal>
          <c:yVal>
            <c:numRef>
              <c:f>'Hall Probe Measurements'!$F$3:$F$106</c:f>
              <c:numCache>
                <c:formatCode>0.0000</c:formatCode>
                <c:ptCount val="104"/>
                <c:pt idx="0">
                  <c:v>-23.14385026737968</c:v>
                </c:pt>
                <c:pt idx="1">
                  <c:v>-26.42085561497326</c:v>
                </c:pt>
                <c:pt idx="2">
                  <c:v>-30.31229946524064</c:v>
                </c:pt>
                <c:pt idx="3">
                  <c:v>-35.02299465240642</c:v>
                </c:pt>
                <c:pt idx="4">
                  <c:v>-40.75775401069518</c:v>
                </c:pt>
                <c:pt idx="5">
                  <c:v>-47.31176470588235</c:v>
                </c:pt>
                <c:pt idx="6">
                  <c:v>-55.0946524064171</c:v>
                </c:pt>
                <c:pt idx="7">
                  <c:v>-64.10641711229945</c:v>
                </c:pt>
                <c:pt idx="8">
                  <c:v>-75.1663101604278</c:v>
                </c:pt>
                <c:pt idx="9">
                  <c:v>-88.06951871657753</c:v>
                </c:pt>
                <c:pt idx="10">
                  <c:v>-103.4304812834225</c:v>
                </c:pt>
                <c:pt idx="11">
                  <c:v>-121.8636363636363</c:v>
                </c:pt>
                <c:pt idx="12">
                  <c:v>-143.7786096256684</c:v>
                </c:pt>
                <c:pt idx="13">
                  <c:v>-170.1994652406417</c:v>
                </c:pt>
                <c:pt idx="14">
                  <c:v>-201.7406417112299</c:v>
                </c:pt>
                <c:pt idx="15">
                  <c:v>-239.6310160427807</c:v>
                </c:pt>
                <c:pt idx="16">
                  <c:v>-285.509090909091</c:v>
                </c:pt>
                <c:pt idx="17">
                  <c:v>-340.1941176470588</c:v>
                </c:pt>
                <c:pt idx="18">
                  <c:v>-406.3486631016042</c:v>
                </c:pt>
                <c:pt idx="19">
                  <c:v>-486.635294117647</c:v>
                </c:pt>
                <c:pt idx="20">
                  <c:v>-583.5117647058822</c:v>
                </c:pt>
                <c:pt idx="21">
                  <c:v>-700.8695187165774</c:v>
                </c:pt>
                <c:pt idx="22">
                  <c:v>-843.4192513368983</c:v>
                </c:pt>
                <c:pt idx="23">
                  <c:v>-1017.510160427807</c:v>
                </c:pt>
                <c:pt idx="24">
                  <c:v>-1233.382887700535</c:v>
                </c:pt>
                <c:pt idx="25">
                  <c:v>-1494.519251336898</c:v>
                </c:pt>
                <c:pt idx="26">
                  <c:v>-1852.941711229946</c:v>
                </c:pt>
                <c:pt idx="27">
                  <c:v>-2313.56577540107</c:v>
                </c:pt>
                <c:pt idx="28">
                  <c:v>-2955.449197860962</c:v>
                </c:pt>
                <c:pt idx="29">
                  <c:v>-3893.082352941176</c:v>
                </c:pt>
                <c:pt idx="30">
                  <c:v>-5232.148663101603</c:v>
                </c:pt>
                <c:pt idx="31">
                  <c:v>-6645.97165775401</c:v>
                </c:pt>
                <c:pt idx="32">
                  <c:v>-6560.564705882352</c:v>
                </c:pt>
                <c:pt idx="33">
                  <c:v>-6194.768983957218</c:v>
                </c:pt>
                <c:pt idx="34">
                  <c:v>-5973.775935828876</c:v>
                </c:pt>
                <c:pt idx="35">
                  <c:v>-5854.574866310159</c:v>
                </c:pt>
                <c:pt idx="36">
                  <c:v>-5784.938502673796</c:v>
                </c:pt>
                <c:pt idx="37">
                  <c:v>-5743.566310160427</c:v>
                </c:pt>
                <c:pt idx="38">
                  <c:v>-5717.759893048127</c:v>
                </c:pt>
                <c:pt idx="39">
                  <c:v>-5701.989304812833</c:v>
                </c:pt>
                <c:pt idx="40">
                  <c:v>-5692.772727272727</c:v>
                </c:pt>
                <c:pt idx="41">
                  <c:v>-5685.604278074865</c:v>
                </c:pt>
                <c:pt idx="42">
                  <c:v>-5681.508021390374</c:v>
                </c:pt>
                <c:pt idx="43">
                  <c:v>-5678.845454545453</c:v>
                </c:pt>
                <c:pt idx="44">
                  <c:v>-5676.797326203207</c:v>
                </c:pt>
                <c:pt idx="45">
                  <c:v>-5674.544385026737</c:v>
                </c:pt>
                <c:pt idx="46">
                  <c:v>-5673.110695187165</c:v>
                </c:pt>
                <c:pt idx="47">
                  <c:v>-5672.086631016042</c:v>
                </c:pt>
                <c:pt idx="48">
                  <c:v>-5671.06256684492</c:v>
                </c:pt>
                <c:pt idx="49">
                  <c:v>-5671.267379679144</c:v>
                </c:pt>
                <c:pt idx="50">
                  <c:v>-5668.399999999998</c:v>
                </c:pt>
                <c:pt idx="51">
                  <c:v>-5668.399999999998</c:v>
                </c:pt>
                <c:pt idx="52">
                  <c:v>-5668.399999999998</c:v>
                </c:pt>
                <c:pt idx="53">
                  <c:v>-5668.399999999998</c:v>
                </c:pt>
                <c:pt idx="54">
                  <c:v>-5672.360684756025</c:v>
                </c:pt>
                <c:pt idx="55">
                  <c:v>-5675.881293428048</c:v>
                </c:pt>
                <c:pt idx="56">
                  <c:v>-5679.401902100072</c:v>
                </c:pt>
                <c:pt idx="57">
                  <c:v>-5683.142548814098</c:v>
                </c:pt>
                <c:pt idx="58">
                  <c:v>-5686.663157486121</c:v>
                </c:pt>
                <c:pt idx="59">
                  <c:v>-5690.623842242147</c:v>
                </c:pt>
                <c:pt idx="60">
                  <c:v>-5694.364488956173</c:v>
                </c:pt>
                <c:pt idx="61">
                  <c:v>-5700.745592174216</c:v>
                </c:pt>
                <c:pt idx="62">
                  <c:v>-5708.446923644267</c:v>
                </c:pt>
                <c:pt idx="63">
                  <c:v>-5717.90855945033</c:v>
                </c:pt>
                <c:pt idx="64">
                  <c:v>-5732.431070222427</c:v>
                </c:pt>
                <c:pt idx="65">
                  <c:v>-5754.214836380574</c:v>
                </c:pt>
                <c:pt idx="66">
                  <c:v>-5788.540770932804</c:v>
                </c:pt>
                <c:pt idx="67">
                  <c:v>-5842.450091223165</c:v>
                </c:pt>
                <c:pt idx="68">
                  <c:v>-5927.164737393733</c:v>
                </c:pt>
                <c:pt idx="69">
                  <c:v>-6057.86733434261</c:v>
                </c:pt>
                <c:pt idx="70">
                  <c:v>-6223.55597996972</c:v>
                </c:pt>
                <c:pt idx="71">
                  <c:v>-6175.147610729396</c:v>
                </c:pt>
                <c:pt idx="72">
                  <c:v>-5383.67077365009</c:v>
                </c:pt>
                <c:pt idx="73">
                  <c:v>-4301.743721128837</c:v>
                </c:pt>
                <c:pt idx="74">
                  <c:v>-3395.18698808276</c:v>
                </c:pt>
                <c:pt idx="75">
                  <c:v>-2713.50913396219</c:v>
                </c:pt>
                <c:pt idx="76">
                  <c:v>-2203.901028686774</c:v>
                </c:pt>
                <c:pt idx="77">
                  <c:v>-1810.473009588137</c:v>
                </c:pt>
                <c:pt idx="78">
                  <c:v>-1498.239027988044</c:v>
                </c:pt>
                <c:pt idx="79">
                  <c:v>-1245.415317728349</c:v>
                </c:pt>
                <c:pt idx="80">
                  <c:v>-1038.139482162959</c:v>
                </c:pt>
                <c:pt idx="81">
                  <c:v>-866.7298474438101</c:v>
                </c:pt>
                <c:pt idx="82">
                  <c:v>-723.9251581848529</c:v>
                </c:pt>
                <c:pt idx="83">
                  <c:v>-605.324653546058</c:v>
                </c:pt>
                <c:pt idx="84">
                  <c:v>-507.1876868134</c:v>
                </c:pt>
                <c:pt idx="85">
                  <c:v>-440.7361981289546</c:v>
                </c:pt>
                <c:pt idx="86">
                  <c:v>-361.9625790924264</c:v>
                </c:pt>
                <c:pt idx="87">
                  <c:v>-299.9118512480105</c:v>
                </c:pt>
                <c:pt idx="88">
                  <c:v>-250.8433678816816</c:v>
                </c:pt>
                <c:pt idx="89">
                  <c:v>-210.7964442374131</c:v>
                </c:pt>
                <c:pt idx="90">
                  <c:v>-177.3506618531889</c:v>
                </c:pt>
                <c:pt idx="91">
                  <c:v>-149.625868561003</c:v>
                </c:pt>
                <c:pt idx="92">
                  <c:v>-126.5218741508482</c:v>
                </c:pt>
                <c:pt idx="93">
                  <c:v>-107.1585264547184</c:v>
                </c:pt>
                <c:pt idx="94">
                  <c:v>-90.87571134660919</c:v>
                </c:pt>
                <c:pt idx="95">
                  <c:v>-77.45339078451923</c:v>
                </c:pt>
                <c:pt idx="96">
                  <c:v>-66.0114126004425</c:v>
                </c:pt>
                <c:pt idx="97">
                  <c:v>-56.32973875237762</c:v>
                </c:pt>
                <c:pt idx="98">
                  <c:v>-48.40836924032451</c:v>
                </c:pt>
                <c:pt idx="99">
                  <c:v>-41.58718993827878</c:v>
                </c:pt>
                <c:pt idx="100">
                  <c:v>-35.86620084624044</c:v>
                </c:pt>
                <c:pt idx="101">
                  <c:v>-31.02536392220798</c:v>
                </c:pt>
                <c:pt idx="102">
                  <c:v>-27.06467916618143</c:v>
                </c:pt>
                <c:pt idx="103">
                  <c:v>-23.54407049415783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04464"/>
        <c:axId val="1281706784"/>
      </c:scatterChart>
      <c:valAx>
        <c:axId val="128170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706784"/>
        <c:crosses val="autoZero"/>
        <c:crossBetween val="midCat"/>
      </c:valAx>
      <c:valAx>
        <c:axId val="1281706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8170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561975</xdr:rowOff>
    </xdr:from>
    <xdr:to>
      <xdr:col>17</xdr:col>
      <xdr:colOff>600074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50800</xdr:colOff>
      <xdr:row>2</xdr:row>
      <xdr:rowOff>0</xdr:rowOff>
    </xdr:from>
    <xdr:to>
      <xdr:col>41</xdr:col>
      <xdr:colOff>76200</xdr:colOff>
      <xdr:row>26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38100</xdr:colOff>
      <xdr:row>28</xdr:row>
      <xdr:rowOff>50800</xdr:rowOff>
    </xdr:from>
    <xdr:to>
      <xdr:col>41</xdr:col>
      <xdr:colOff>355600</xdr:colOff>
      <xdr:row>54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19050</xdr:rowOff>
    </xdr:from>
    <xdr:to>
      <xdr:col>18</xdr:col>
      <xdr:colOff>381000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esdc76/Downloads/Hall%20Probe%20on%20POLE%20EDGE_12-02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D4">
            <v>5604</v>
          </cell>
        </row>
        <row r="5">
          <cell r="D5">
            <v>4760</v>
          </cell>
        </row>
        <row r="6">
          <cell r="D6">
            <v>3827.5</v>
          </cell>
        </row>
        <row r="7">
          <cell r="D7">
            <v>2877</v>
          </cell>
        </row>
        <row r="8">
          <cell r="D8">
            <v>1928.5</v>
          </cell>
        </row>
        <row r="9">
          <cell r="D9">
            <v>979</v>
          </cell>
        </row>
        <row r="10">
          <cell r="D10">
            <v>221</v>
          </cell>
        </row>
        <row r="11">
          <cell r="D11">
            <v>24</v>
          </cell>
        </row>
        <row r="12">
          <cell r="D12">
            <v>-174.5</v>
          </cell>
        </row>
        <row r="13">
          <cell r="D13">
            <v>-929.5</v>
          </cell>
        </row>
        <row r="14">
          <cell r="D14">
            <v>-1872.5</v>
          </cell>
        </row>
        <row r="15">
          <cell r="D15">
            <v>-2811</v>
          </cell>
        </row>
        <row r="16">
          <cell r="D16">
            <v>-3749.5</v>
          </cell>
        </row>
        <row r="17">
          <cell r="D17">
            <v>-4668.5</v>
          </cell>
        </row>
        <row r="18">
          <cell r="D18">
            <v>-5559.5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0"/>
  <sheetViews>
    <sheetView tabSelected="1" topLeftCell="R18" workbookViewId="0">
      <selection activeCell="U3" sqref="U3:V16"/>
    </sheetView>
  </sheetViews>
  <sheetFormatPr baseColWidth="10" defaultColWidth="8.83203125" defaultRowHeight="15" x14ac:dyDescent="0.2"/>
  <cols>
    <col min="2" max="2" width="15.5" customWidth="1"/>
    <col min="3" max="3" width="10.5" customWidth="1"/>
    <col min="4" max="5" width="10.6640625" customWidth="1"/>
    <col min="6" max="6" width="10" customWidth="1"/>
    <col min="7" max="7" width="9.6640625" customWidth="1"/>
    <col min="21" max="21" width="9.5" bestFit="1" customWidth="1"/>
    <col min="22" max="22" width="14.83203125" customWidth="1"/>
  </cols>
  <sheetData>
    <row r="2" spans="1:36" ht="63.75" customHeight="1" thickBot="1" x14ac:dyDescent="0.25">
      <c r="B2" s="4" t="s">
        <v>3</v>
      </c>
      <c r="C2" s="17" t="s">
        <v>2</v>
      </c>
      <c r="D2" s="17" t="s">
        <v>30</v>
      </c>
      <c r="E2" s="4" t="s">
        <v>23</v>
      </c>
      <c r="F2" s="5" t="s">
        <v>1</v>
      </c>
      <c r="H2" s="4" t="s">
        <v>17</v>
      </c>
      <c r="I2" s="4" t="s">
        <v>18</v>
      </c>
      <c r="U2" t="s">
        <v>2</v>
      </c>
      <c r="V2" s="38" t="s">
        <v>30</v>
      </c>
      <c r="W2" t="s">
        <v>24</v>
      </c>
      <c r="X2" t="s">
        <v>25</v>
      </c>
      <c r="Y2" t="s">
        <v>27</v>
      </c>
      <c r="Z2" t="s">
        <v>26</v>
      </c>
      <c r="AA2" t="s">
        <v>28</v>
      </c>
      <c r="AB2" t="s">
        <v>29</v>
      </c>
      <c r="AC2" t="s">
        <v>31</v>
      </c>
    </row>
    <row r="3" spans="1:36" ht="16" thickBot="1" x14ac:dyDescent="0.25">
      <c r="A3" s="18">
        <v>298.91699999999997</v>
      </c>
      <c r="B3" s="14">
        <v>300</v>
      </c>
      <c r="C3" s="18">
        <f>A3/300</f>
        <v>0.99638999999999989</v>
      </c>
      <c r="D3" s="30">
        <f>G3/10000</f>
        <v>-5.2321439999999999</v>
      </c>
      <c r="E3" s="16">
        <v>-50634</v>
      </c>
      <c r="F3" s="7">
        <f>D3/E3-1</f>
        <v>-0.99989666737765137</v>
      </c>
      <c r="G3" s="19">
        <v>-52321.440000000002</v>
      </c>
      <c r="H3" s="26">
        <f>[1]Sheet1!$D4</f>
        <v>5604</v>
      </c>
      <c r="I3" s="26">
        <f>-H3</f>
        <v>-5604</v>
      </c>
      <c r="T3" s="18">
        <v>298.91699999999997</v>
      </c>
      <c r="U3" s="34">
        <v>0.99638999999999989</v>
      </c>
      <c r="V3" s="34">
        <f>D3*-1</f>
        <v>5.2321439999999999</v>
      </c>
      <c r="W3">
        <f>(V3+(0.2121*U3^5+0.0318*U3^4-0.1038*U3^3-0.0135*U3^2-5.3544*U3-0.0234))/V3*100</f>
        <v>-5.288073532217076E-2</v>
      </c>
      <c r="X3" s="2">
        <f>(V3-(-0.211868*U3^5-0.0449275*U3^4+0.103505*U3^3+0.0297273*U3^2+5.35443*U3+0.0196438))/V3*100</f>
        <v>-4.1052028401682393E-2</v>
      </c>
      <c r="Y3" s="2">
        <v>1</v>
      </c>
      <c r="Z3" s="2">
        <v>5.216545</v>
      </c>
      <c r="AA3" s="2">
        <f>(Z3+(0.2121*Y3^5+0.0318*Y3^4-0.1038*Y3^3-0.0135*Y3^2-5.3544*Y3-0.0234))*100</f>
        <v>-3.465499999999988</v>
      </c>
      <c r="AB3" s="2">
        <f>((0.2734*Y3^5+0.0516*Y3^4-0.163*Y3^3-0.1018*Y3^2-5.2999*Y3+0.023)-(0.2121*Y3^5+0.0318*Y3^4-0.1038*Y3^3-0.0135*Y3^2-5.3544*Y3-0.0234))/((0.2121*Y3^5+0.0318*Y3^4-0.1038*Y3^3-0.0135*Y3^2-5.3544*Y3-0.0234))*100</f>
        <v>-0.65699268738573147</v>
      </c>
      <c r="AC3" s="2">
        <f>(Z3-(-2.0398*Y3^5+4.0052*Y3^4-2.8535*Y3^3+0.8362*Y3^2+5.2388*Y3+0.0291))/Z3*100</f>
        <v>1.044752800943528E-2</v>
      </c>
      <c r="AD3" s="2">
        <f>(Z3-(-0.5949*Y3^3+0.6183*Y3^2+5.1663*Y3+0.0326))/Z3*100</f>
        <v>-0.11032206182443997</v>
      </c>
    </row>
    <row r="4" spans="1:36" ht="16" thickBot="1" x14ac:dyDescent="0.25">
      <c r="A4" s="20">
        <v>249.05199999999999</v>
      </c>
      <c r="B4" s="14">
        <v>250</v>
      </c>
      <c r="C4" s="18">
        <f t="shared" ref="C4:C17" si="0">A4/300</f>
        <v>0.83017333333333332</v>
      </c>
      <c r="D4" s="30">
        <f t="shared" ref="D4:D17" si="1">G4/10000</f>
        <v>-4.4466604571428583</v>
      </c>
      <c r="E4" s="16">
        <v>-42648.332000000002</v>
      </c>
      <c r="F4" s="7">
        <f t="shared" ref="F4:F17" si="2">D4/E4-1</f>
        <v>-0.99989573659159414</v>
      </c>
      <c r="G4" s="21">
        <v>-44466.604571428579</v>
      </c>
      <c r="H4" s="26">
        <f>[1]Sheet1!$D5</f>
        <v>4760</v>
      </c>
      <c r="I4" s="26">
        <f t="shared" ref="I4:I17" si="3">-H4</f>
        <v>-4760</v>
      </c>
      <c r="T4" s="20">
        <v>249.05199999999999</v>
      </c>
      <c r="U4" s="34">
        <v>0.83017333333333332</v>
      </c>
      <c r="V4" s="34">
        <f t="shared" ref="V4:V9" si="4">D4*-1</f>
        <v>4.4466604571428583</v>
      </c>
      <c r="W4" s="2">
        <f t="shared" ref="W4:W16" si="5">(V4+(0.2121*U4^5+0.0318*U4^4-0.1038*U4^3-0.0135*U4^2-5.3544*U4-0.0234))/V4*100</f>
        <v>0.1850001172722297</v>
      </c>
      <c r="X4" s="2">
        <f t="shared" ref="X4:X16" si="6">(V4-(-0.211868*U4^5-0.0449275*U4^4+0.103505*U4^3+0.0297273*U4^2+5.35443*U4+0.0196438))/V4*100</f>
        <v>0.1593682262741741</v>
      </c>
      <c r="Y4" s="2">
        <v>0.9</v>
      </c>
      <c r="Z4" s="2">
        <v>4.7529379999999994</v>
      </c>
      <c r="AA4" s="2">
        <f t="shared" ref="AA4:AA23" si="7">(Z4+(0.2121*Y4^5+0.0318*Y4^4-0.1038*Y4^3-0.0135*Y4^2-5.3544*Y4-0.0234))*100</f>
        <v>-2.9920291000000709</v>
      </c>
      <c r="AB4" s="2">
        <f t="shared" ref="AB4:AB23" si="8">((0.2734*Y4^5+0.0516*Y4^4-0.163*Y4^3-0.1018*Y4^2-5.2999*Y4+0.023)-(0.2121*Y4^5+0.0318*Y4^4-0.1038*Y4^3-0.0135*Y4^2-5.3544*Y4-0.0234))/((0.2121*Y4^5+0.0318*Y4^4-0.1038*Y4^3-0.0135*Y4^2-5.3544*Y4-0.0234))*100</f>
        <v>-0.62636221224391986</v>
      </c>
      <c r="AC4" s="2">
        <f t="shared" ref="AC4:AC12" si="9">(Z4-(-2.0398*Y4^5+4.0052*Y4^4-2.8535*Y4^3+0.8362*Y4^2+5.2388*Y4+0.0291))/Z4*100</f>
        <v>-0.2426439814700016</v>
      </c>
      <c r="AD4" s="2">
        <f t="shared" ref="AD4:AD12" si="10">(Z4-(-0.5949*Y4^3+0.6183*Y4^2+5.1663*Y4+0.0326))/Z4*100</f>
        <v>7.4208836723715949E-2</v>
      </c>
      <c r="AJ4" t="e">
        <f>(AG4-(-0.2734*AF4^5-0.0516*AF4^4+0.163*AF4^3+0.1018*AF4^2+5.2999*AF4-0.023))/AG4*100</f>
        <v>#DIV/0!</v>
      </c>
    </row>
    <row r="5" spans="1:36" ht="16" thickBot="1" x14ac:dyDescent="0.25">
      <c r="A5" s="20">
        <v>199.42599999999999</v>
      </c>
      <c r="B5" s="14">
        <v>200</v>
      </c>
      <c r="C5" s="18">
        <f t="shared" si="0"/>
        <v>0.66475333333333331</v>
      </c>
      <c r="D5" s="30">
        <f t="shared" si="1"/>
        <v>-3.5810726285714285</v>
      </c>
      <c r="E5" s="16">
        <v>-34312.667999999998</v>
      </c>
      <c r="F5" s="7">
        <f t="shared" si="2"/>
        <v>-0.99989563409558913</v>
      </c>
      <c r="G5" s="21">
        <v>-35810.726285714285</v>
      </c>
      <c r="H5" s="26">
        <f>[1]Sheet1!$D6</f>
        <v>3827.5</v>
      </c>
      <c r="I5" s="26">
        <f t="shared" si="3"/>
        <v>-3827.5</v>
      </c>
      <c r="T5" s="20">
        <v>199.42599999999999</v>
      </c>
      <c r="U5" s="34">
        <v>0.66475333333333331</v>
      </c>
      <c r="V5" s="34">
        <f t="shared" si="4"/>
        <v>3.5810726285714285</v>
      </c>
      <c r="W5" s="2">
        <f t="shared" si="5"/>
        <v>-0.12280421348984773</v>
      </c>
      <c r="X5" s="2">
        <f t="shared" si="6"/>
        <v>-0.14555020695309168</v>
      </c>
      <c r="Y5" s="2">
        <v>0.8</v>
      </c>
      <c r="Z5" s="2">
        <v>4.2581040000000003</v>
      </c>
      <c r="AA5" s="2">
        <f t="shared" si="7"/>
        <v>-2.8075391999999866</v>
      </c>
      <c r="AB5" s="2">
        <f t="shared" si="8"/>
        <v>-0.73199138744773673</v>
      </c>
      <c r="AC5" s="2">
        <f t="shared" si="9"/>
        <v>-0.1958678322558452</v>
      </c>
      <c r="AD5" s="2">
        <f t="shared" si="10"/>
        <v>3.1488192867047765E-2</v>
      </c>
    </row>
    <row r="6" spans="1:36" ht="16" thickBot="1" x14ac:dyDescent="0.25">
      <c r="A6" s="20">
        <v>149.70099999999999</v>
      </c>
      <c r="B6" s="14">
        <v>150</v>
      </c>
      <c r="C6" s="18">
        <f t="shared" si="0"/>
        <v>0.4990033333333333</v>
      </c>
      <c r="D6" s="30">
        <f t="shared" si="1"/>
        <v>-2.6986378285714285</v>
      </c>
      <c r="E6" s="16">
        <v>-25791</v>
      </c>
      <c r="F6" s="7">
        <f t="shared" si="2"/>
        <v>-0.99989536513401689</v>
      </c>
      <c r="G6" s="21">
        <v>-26986.378285714283</v>
      </c>
      <c r="H6" s="26">
        <f>[1]Sheet1!$D7</f>
        <v>2877</v>
      </c>
      <c r="I6" s="26">
        <f t="shared" si="3"/>
        <v>-2877</v>
      </c>
      <c r="T6" s="20">
        <v>149.70099999999999</v>
      </c>
      <c r="U6" s="34">
        <v>0.4990033333333333</v>
      </c>
      <c r="V6" s="34">
        <f t="shared" si="4"/>
        <v>2.6986378285714285</v>
      </c>
      <c r="W6" s="2">
        <f t="shared" si="5"/>
        <v>-0.1612188938628327</v>
      </c>
      <c r="X6" s="2">
        <f t="shared" si="6"/>
        <v>-0.14106112037716784</v>
      </c>
      <c r="Y6" s="2">
        <v>0.7</v>
      </c>
      <c r="Z6" s="2">
        <v>3.7322109999999999</v>
      </c>
      <c r="AA6" s="2">
        <f t="shared" si="7"/>
        <v>-3.8204572999999797</v>
      </c>
      <c r="AB6" s="2">
        <f t="shared" si="8"/>
        <v>-0.95570555293799719</v>
      </c>
      <c r="AC6" s="2">
        <f t="shared" si="9"/>
        <v>-0.37125001775087535</v>
      </c>
      <c r="AD6" s="2">
        <f t="shared" si="10"/>
        <v>-0.42107212052050791</v>
      </c>
    </row>
    <row r="7" spans="1:36" ht="16" thickBot="1" x14ac:dyDescent="0.25">
      <c r="A7" s="20">
        <v>100.01900000000001</v>
      </c>
      <c r="B7" s="14">
        <v>100</v>
      </c>
      <c r="C7" s="18">
        <f t="shared" si="0"/>
        <v>0.33339666666666667</v>
      </c>
      <c r="D7" s="30">
        <f t="shared" si="1"/>
        <v>-1.8137900857142857</v>
      </c>
      <c r="E7" s="16">
        <v>-17210.666000000001</v>
      </c>
      <c r="F7" s="7">
        <f t="shared" si="2"/>
        <v>-0.99989461244058109</v>
      </c>
      <c r="G7" s="21">
        <v>-18137.900857142857</v>
      </c>
      <c r="H7" s="26">
        <f>[1]Sheet1!$D8</f>
        <v>1928.5</v>
      </c>
      <c r="I7" s="26">
        <f t="shared" si="3"/>
        <v>-1928.5</v>
      </c>
      <c r="T7" s="20">
        <v>100.01900000000001</v>
      </c>
      <c r="U7" s="34">
        <v>0.33339666666666667</v>
      </c>
      <c r="V7" s="34">
        <f t="shared" si="4"/>
        <v>1.8137900857142857</v>
      </c>
      <c r="W7" s="2">
        <f t="shared" si="5"/>
        <v>6.4523868669465509E-2</v>
      </c>
      <c r="X7" s="2">
        <f t="shared" si="6"/>
        <v>0.18111107402193619</v>
      </c>
      <c r="Y7" s="2">
        <v>0.6</v>
      </c>
      <c r="Z7" s="2">
        <v>3.1955339999999999</v>
      </c>
      <c r="AA7" s="2">
        <f t="shared" si="7"/>
        <v>-4.7172624000000329</v>
      </c>
      <c r="AB7" s="2">
        <f t="shared" si="8"/>
        <v>-1.2908219229640867</v>
      </c>
      <c r="AC7" s="2">
        <f t="shared" si="9"/>
        <v>-0.68786850648437592</v>
      </c>
      <c r="AD7" s="2">
        <f t="shared" si="10"/>
        <v>-0.96808858863649694</v>
      </c>
    </row>
    <row r="8" spans="1:36" ht="16" thickBot="1" x14ac:dyDescent="0.25">
      <c r="A8" s="20">
        <v>50.253999999999998</v>
      </c>
      <c r="B8" s="14">
        <v>50</v>
      </c>
      <c r="C8" s="18">
        <f t="shared" si="0"/>
        <v>0.16751333333333332</v>
      </c>
      <c r="D8" s="30">
        <f t="shared" si="1"/>
        <v>-0.92369939999999984</v>
      </c>
      <c r="E8" s="16">
        <v>-8623.3340000000007</v>
      </c>
      <c r="F8" s="7">
        <f t="shared" si="2"/>
        <v>-0.99989288372687413</v>
      </c>
      <c r="G8" s="21">
        <v>-9236.9939999999988</v>
      </c>
      <c r="H8" s="26">
        <f>[1]Sheet1!$D9</f>
        <v>979</v>
      </c>
      <c r="I8" s="26">
        <f t="shared" si="3"/>
        <v>-979</v>
      </c>
      <c r="T8" s="20">
        <v>50.253999999999998</v>
      </c>
      <c r="U8" s="34">
        <v>0.16751333333333332</v>
      </c>
      <c r="V8" s="34">
        <f t="shared" si="4"/>
        <v>0.92369939999999984</v>
      </c>
      <c r="W8" s="2">
        <f t="shared" si="5"/>
        <v>0.27631147110516124</v>
      </c>
      <c r="X8" s="2">
        <f t="shared" si="6"/>
        <v>0.6343844148486355</v>
      </c>
      <c r="Y8" s="2">
        <v>0.5</v>
      </c>
      <c r="Z8" s="2">
        <v>2.6595</v>
      </c>
      <c r="AA8" s="2">
        <f t="shared" si="7"/>
        <v>-4.8834375000000207</v>
      </c>
      <c r="AB8" s="2">
        <f t="shared" si="8"/>
        <v>-1.7474993278848878</v>
      </c>
      <c r="AC8" s="2">
        <f t="shared" si="9"/>
        <v>-1.0507144200037744</v>
      </c>
      <c r="AD8" s="2">
        <f t="shared" si="10"/>
        <v>-1.3710283887948804</v>
      </c>
    </row>
    <row r="9" spans="1:36" ht="16" thickBot="1" x14ac:dyDescent="0.25">
      <c r="A9" s="20">
        <v>10.465999999999999</v>
      </c>
      <c r="B9" s="14">
        <v>10</v>
      </c>
      <c r="C9" s="18">
        <f t="shared" si="0"/>
        <v>3.4886666666666663E-2</v>
      </c>
      <c r="D9" s="30">
        <f t="shared" si="1"/>
        <v>-0.21197911428571428</v>
      </c>
      <c r="E9" s="16">
        <v>-1904</v>
      </c>
      <c r="F9" s="7">
        <f t="shared" si="2"/>
        <v>-0.99988866643157259</v>
      </c>
      <c r="G9" s="21">
        <v>-2119.7911428571429</v>
      </c>
      <c r="H9" s="26">
        <f>[1]Sheet1!$D10</f>
        <v>221</v>
      </c>
      <c r="I9" s="26">
        <f t="shared" si="3"/>
        <v>-221</v>
      </c>
      <c r="T9" s="20">
        <v>10.465999999999999</v>
      </c>
      <c r="U9" s="34">
        <v>3.4886666666666663E-2</v>
      </c>
      <c r="V9" s="34">
        <f t="shared" si="4"/>
        <v>0.21197911428571428</v>
      </c>
      <c r="W9" s="2">
        <f t="shared" si="5"/>
        <v>0.83082073985766713</v>
      </c>
      <c r="X9" s="2">
        <f t="shared" si="6"/>
        <v>2.592992195964869</v>
      </c>
      <c r="Y9" s="2">
        <v>0.4</v>
      </c>
      <c r="Z9" s="2">
        <v>2.1228029999999998</v>
      </c>
      <c r="AA9" s="2">
        <f t="shared" si="7"/>
        <v>-4.8174216000000492</v>
      </c>
      <c r="AB9" s="2">
        <f t="shared" si="8"/>
        <v>-2.3684169332157592</v>
      </c>
      <c r="AC9" s="2">
        <f t="shared" si="9"/>
        <v>-1.6313604229879226</v>
      </c>
      <c r="AD9" s="2">
        <f t="shared" si="10"/>
        <v>-1.7510527354634664</v>
      </c>
    </row>
    <row r="10" spans="1:36" s="2" customFormat="1" ht="16" thickBot="1" x14ac:dyDescent="0.25">
      <c r="A10" s="20"/>
      <c r="B10" s="27">
        <v>0</v>
      </c>
      <c r="C10" s="18">
        <f t="shared" si="0"/>
        <v>0</v>
      </c>
      <c r="D10" s="30"/>
      <c r="E10" s="16"/>
      <c r="F10" s="7"/>
      <c r="G10" s="21"/>
      <c r="H10" s="26">
        <f>[1]Sheet1!$D11</f>
        <v>24</v>
      </c>
      <c r="I10" s="26">
        <f t="shared" si="3"/>
        <v>-24</v>
      </c>
      <c r="U10" s="34">
        <v>-3.4966666666666667E-2</v>
      </c>
      <c r="V10" s="34">
        <f>D11*-1</f>
        <v>-0.16482917142857145</v>
      </c>
      <c r="W10" s="2">
        <f t="shared" si="5"/>
        <v>0.6162035893048553</v>
      </c>
      <c r="X10" s="2">
        <f t="shared" si="6"/>
        <v>-1.6512442146239643</v>
      </c>
      <c r="Y10" s="2">
        <v>0.3</v>
      </c>
      <c r="Z10" s="2">
        <v>1.5847560000000001</v>
      </c>
      <c r="AA10" s="2">
        <f t="shared" si="7"/>
        <v>-4.8208617000000009</v>
      </c>
      <c r="AB10" s="2">
        <f t="shared" si="8"/>
        <v>-3.2771034009489575</v>
      </c>
      <c r="AC10" s="2">
        <f t="shared" si="9"/>
        <v>-2.6302412484950306</v>
      </c>
      <c r="AD10" s="2">
        <f t="shared" si="10"/>
        <v>-2.3548546274631366</v>
      </c>
    </row>
    <row r="11" spans="1:36" ht="16" thickBot="1" x14ac:dyDescent="0.25">
      <c r="A11" s="20">
        <v>-10.49</v>
      </c>
      <c r="B11" s="15">
        <v>-10</v>
      </c>
      <c r="C11" s="18">
        <f t="shared" si="0"/>
        <v>-3.4966666666666667E-2</v>
      </c>
      <c r="D11" s="30">
        <f t="shared" si="1"/>
        <v>0.16482917142857145</v>
      </c>
      <c r="E11" s="16">
        <v>1574.6669999999999</v>
      </c>
      <c r="F11" s="7">
        <f t="shared" si="2"/>
        <v>-0.99989532442641615</v>
      </c>
      <c r="G11" s="21">
        <v>1648.2917142857145</v>
      </c>
      <c r="H11" s="26">
        <f>[1]Sheet1!$D12</f>
        <v>-174.5</v>
      </c>
      <c r="I11" s="26">
        <f t="shared" si="3"/>
        <v>174.5</v>
      </c>
      <c r="U11" s="34">
        <v>-0.16777333333333333</v>
      </c>
      <c r="V11" s="34">
        <f t="shared" ref="V11:V16" si="11">D12*-1</f>
        <v>-0.8755328</v>
      </c>
      <c r="W11" s="2">
        <f t="shared" si="5"/>
        <v>5.7115765320465396E-2</v>
      </c>
      <c r="X11" s="2">
        <f t="shared" si="6"/>
        <v>-0.32134037042482072</v>
      </c>
      <c r="Y11" s="2">
        <v>0.2</v>
      </c>
      <c r="Z11" s="2">
        <v>1.0465629999999999</v>
      </c>
      <c r="AA11" s="2">
        <f t="shared" si="7"/>
        <v>-4.8968648000000226</v>
      </c>
      <c r="AB11" s="2">
        <f t="shared" si="8"/>
        <v>-4.8693888576735871</v>
      </c>
      <c r="AC11" s="2">
        <f t="shared" si="9"/>
        <v>-4.4596057762408918</v>
      </c>
      <c r="AD11" s="2">
        <f t="shared" si="10"/>
        <v>-3.7522633611163423</v>
      </c>
    </row>
    <row r="12" spans="1:36" ht="16" thickBot="1" x14ac:dyDescent="0.25">
      <c r="A12" s="20">
        <v>-50.332000000000001</v>
      </c>
      <c r="B12" s="14">
        <v>-50</v>
      </c>
      <c r="C12" s="18">
        <f t="shared" si="0"/>
        <v>-0.16777333333333333</v>
      </c>
      <c r="D12" s="30">
        <f t="shared" si="1"/>
        <v>0.8755328</v>
      </c>
      <c r="E12" s="16">
        <v>8622</v>
      </c>
      <c r="F12" s="7">
        <f t="shared" si="2"/>
        <v>-0.99989845363024821</v>
      </c>
      <c r="G12" s="21">
        <v>8755.3279999999995</v>
      </c>
      <c r="H12" s="26">
        <f>[1]Sheet1!$D13</f>
        <v>-929.5</v>
      </c>
      <c r="I12" s="26">
        <f t="shared" si="3"/>
        <v>929.5</v>
      </c>
      <c r="U12" s="34">
        <v>-0.33368666666666663</v>
      </c>
      <c r="V12" s="34">
        <f t="shared" si="11"/>
        <v>-1.7643041428571429</v>
      </c>
      <c r="W12" s="2">
        <f t="shared" si="5"/>
        <v>-4.8632808731838319E-2</v>
      </c>
      <c r="X12" s="2">
        <f t="shared" si="6"/>
        <v>-0.16834618566214737</v>
      </c>
      <c r="Y12" s="2">
        <v>0.1</v>
      </c>
      <c r="Z12" s="2">
        <v>0.50851299999999999</v>
      </c>
      <c r="AA12" s="2">
        <f t="shared" si="7"/>
        <v>-5.0560499000000032</v>
      </c>
      <c r="AB12" s="2">
        <f t="shared" si="8"/>
        <v>-9.1062075185216376</v>
      </c>
      <c r="AC12" s="2">
        <f t="shared" si="9"/>
        <v>-9.9025240259344383</v>
      </c>
      <c r="AD12" s="2">
        <f t="shared" si="10"/>
        <v>-9.1059815579935997</v>
      </c>
    </row>
    <row r="13" spans="1:36" ht="16" thickBot="1" x14ac:dyDescent="0.25">
      <c r="A13" s="20">
        <v>-100.10599999999999</v>
      </c>
      <c r="B13" s="14">
        <v>-100</v>
      </c>
      <c r="C13" s="18">
        <f t="shared" si="0"/>
        <v>-0.33368666666666663</v>
      </c>
      <c r="D13" s="30">
        <f t="shared" si="1"/>
        <v>1.7643041428571429</v>
      </c>
      <c r="E13" s="16">
        <v>17204</v>
      </c>
      <c r="F13" s="7">
        <f t="shared" si="2"/>
        <v>-0.99989744802703695</v>
      </c>
      <c r="G13" s="21">
        <v>17643.041428571429</v>
      </c>
      <c r="H13" s="26">
        <f>[1]Sheet1!$D14</f>
        <v>-1872.5</v>
      </c>
      <c r="I13" s="26">
        <f t="shared" si="3"/>
        <v>1872.5</v>
      </c>
      <c r="U13" s="34">
        <v>-0.49892666666666668</v>
      </c>
      <c r="V13" s="34">
        <f t="shared" si="11"/>
        <v>-2.6480625714285715</v>
      </c>
      <c r="W13" s="2">
        <f t="shared" si="5"/>
        <v>-0.18635013708290543</v>
      </c>
      <c r="X13" s="2">
        <f t="shared" si="6"/>
        <v>-0.20582559081158222</v>
      </c>
      <c r="Y13" s="2">
        <v>0</v>
      </c>
      <c r="Z13" s="2">
        <v>-2.9000000000000001E-2</v>
      </c>
      <c r="AA13" s="2">
        <f t="shared" si="7"/>
        <v>-5.24</v>
      </c>
      <c r="AB13" s="2"/>
      <c r="AC13" s="2"/>
    </row>
    <row r="14" spans="1:36" ht="16" thickBot="1" x14ac:dyDescent="0.25">
      <c r="A14" s="20">
        <v>-149.678</v>
      </c>
      <c r="B14" s="14">
        <v>-150</v>
      </c>
      <c r="C14" s="18">
        <f t="shared" si="0"/>
        <v>-0.49892666666666668</v>
      </c>
      <c r="D14" s="30">
        <f t="shared" si="1"/>
        <v>2.6480625714285715</v>
      </c>
      <c r="E14" s="16">
        <v>25804</v>
      </c>
      <c r="F14" s="7">
        <f t="shared" si="2"/>
        <v>-0.99989737782625066</v>
      </c>
      <c r="G14" s="21">
        <v>26480.625714285714</v>
      </c>
      <c r="H14" s="26">
        <f>[1]Sheet1!$D15</f>
        <v>-2811</v>
      </c>
      <c r="I14" s="26">
        <f t="shared" si="3"/>
        <v>2811</v>
      </c>
      <c r="U14" s="34">
        <v>-0.66002000000000005</v>
      </c>
      <c r="V14" s="34">
        <f t="shared" si="11"/>
        <v>-3.5298655714285712</v>
      </c>
      <c r="W14" s="2">
        <f t="shared" si="5"/>
        <v>0.44823076024032049</v>
      </c>
      <c r="X14" s="2">
        <f t="shared" si="6"/>
        <v>0.47252601374553244</v>
      </c>
      <c r="Y14" s="2">
        <v>-0.1</v>
      </c>
      <c r="Z14" s="2">
        <v>-0.55732999999999999</v>
      </c>
      <c r="AA14" s="2">
        <f t="shared" si="7"/>
        <v>-4.5320140999999925</v>
      </c>
      <c r="AB14" s="2">
        <f t="shared" si="8"/>
        <v>7.8372645164240806</v>
      </c>
      <c r="AC14" s="2"/>
    </row>
    <row r="15" spans="1:36" ht="16" thickBot="1" x14ac:dyDescent="0.25">
      <c r="A15" s="20">
        <v>-198.006</v>
      </c>
      <c r="B15" s="14">
        <v>-200</v>
      </c>
      <c r="C15" s="18">
        <f t="shared" si="0"/>
        <v>-0.66002000000000005</v>
      </c>
      <c r="D15" s="30">
        <f t="shared" si="1"/>
        <v>3.5298655714285712</v>
      </c>
      <c r="E15" s="16">
        <v>34311.667999999998</v>
      </c>
      <c r="F15" s="7">
        <f t="shared" si="2"/>
        <v>-0.9998971234633236</v>
      </c>
      <c r="G15" s="21">
        <v>35298.655714285713</v>
      </c>
      <c r="H15" s="26">
        <f>[1]Sheet1!$D16</f>
        <v>-3749.5</v>
      </c>
      <c r="I15" s="26">
        <f t="shared" si="3"/>
        <v>3749.5</v>
      </c>
      <c r="U15" s="34">
        <v>-0.83118999999999998</v>
      </c>
      <c r="V15" s="34">
        <f t="shared" si="11"/>
        <v>-4.3945141142857134</v>
      </c>
      <c r="W15" s="2">
        <f t="shared" si="5"/>
        <v>-0.31677480492965004</v>
      </c>
      <c r="X15" s="2">
        <f t="shared" si="6"/>
        <v>-0.28852609737261548</v>
      </c>
      <c r="Y15" s="2">
        <v>-0.2</v>
      </c>
      <c r="Z15" s="2">
        <v>-1.081153</v>
      </c>
      <c r="AA15" s="2">
        <f t="shared" si="7"/>
        <v>-3.3399592000000089</v>
      </c>
      <c r="AB15" s="2">
        <f t="shared" si="8"/>
        <v>3.0974524875990821</v>
      </c>
      <c r="AC15" s="2"/>
    </row>
    <row r="16" spans="1:36" ht="16" thickBot="1" x14ac:dyDescent="0.25">
      <c r="A16" s="20">
        <v>-249.357</v>
      </c>
      <c r="B16" s="14">
        <v>-250</v>
      </c>
      <c r="C16" s="18">
        <f t="shared" si="0"/>
        <v>-0.83118999999999998</v>
      </c>
      <c r="D16" s="30">
        <f t="shared" si="1"/>
        <v>4.3945141142857134</v>
      </c>
      <c r="E16" s="16">
        <v>42677</v>
      </c>
      <c r="F16" s="7">
        <f t="shared" si="2"/>
        <v>-0.9998970285138532</v>
      </c>
      <c r="G16" s="21">
        <v>43945.141142857137</v>
      </c>
      <c r="H16" s="26">
        <f>[1]Sheet1!$D17</f>
        <v>-4668.5</v>
      </c>
      <c r="I16" s="26">
        <f t="shared" si="3"/>
        <v>4668.5</v>
      </c>
      <c r="U16" s="34">
        <v>-0.99641000000000002</v>
      </c>
      <c r="V16" s="34">
        <f t="shared" si="11"/>
        <v>-5.2279436857142851</v>
      </c>
      <c r="W16" s="2">
        <f t="shared" si="5"/>
        <v>7.3783898899894687E-2</v>
      </c>
      <c r="X16" s="2">
        <f t="shared" si="6"/>
        <v>6.3241931296206713E-2</v>
      </c>
      <c r="Y16" s="2">
        <v>-0.3</v>
      </c>
      <c r="Z16" s="2">
        <v>-1.607812</v>
      </c>
      <c r="AA16" s="2">
        <f t="shared" si="7"/>
        <v>-2.3562223000000104</v>
      </c>
      <c r="AB16" s="2">
        <f t="shared" si="8"/>
        <v>1.4967855034137045</v>
      </c>
      <c r="AC16" s="2"/>
    </row>
    <row r="17" spans="1:29" ht="16" thickBot="1" x14ac:dyDescent="0.25">
      <c r="A17" s="22">
        <v>-298.923</v>
      </c>
      <c r="B17" s="14">
        <v>-300</v>
      </c>
      <c r="C17" s="18">
        <f t="shared" si="0"/>
        <v>-0.99641000000000002</v>
      </c>
      <c r="D17" s="30">
        <f t="shared" si="1"/>
        <v>5.2279436857142851</v>
      </c>
      <c r="E17" s="16">
        <v>50680</v>
      </c>
      <c r="F17" s="7">
        <f t="shared" si="2"/>
        <v>-0.99989684404724322</v>
      </c>
      <c r="G17" s="23">
        <v>52279.436857142849</v>
      </c>
      <c r="H17" s="26">
        <f>[1]Sheet1!$D18</f>
        <v>-5559.5</v>
      </c>
      <c r="I17" s="26">
        <f t="shared" si="3"/>
        <v>5559.5</v>
      </c>
      <c r="Y17" s="2">
        <v>-0.4</v>
      </c>
      <c r="Z17" s="2">
        <v>-2.134096</v>
      </c>
      <c r="AA17" s="2">
        <f t="shared" si="7"/>
        <v>-1.2610624000000126</v>
      </c>
      <c r="AB17" s="2">
        <f t="shared" si="8"/>
        <v>0.66651263119528215</v>
      </c>
      <c r="AC17" s="2"/>
    </row>
    <row r="18" spans="1:29" x14ac:dyDescent="0.2">
      <c r="Y18" s="2">
        <v>-0.5</v>
      </c>
      <c r="Z18" s="2">
        <v>-2.6595490000000002</v>
      </c>
      <c r="AA18" s="2">
        <f t="shared" si="7"/>
        <v>-7.8962500000034908E-2</v>
      </c>
      <c r="AB18" s="2">
        <f t="shared" si="8"/>
        <v>0.14280626655055487</v>
      </c>
      <c r="AC18" s="2"/>
    </row>
    <row r="19" spans="1:29" x14ac:dyDescent="0.2">
      <c r="B19" s="24" t="s">
        <v>16</v>
      </c>
      <c r="C19" s="25" t="s">
        <v>8</v>
      </c>
      <c r="D19" s="24" t="s">
        <v>15</v>
      </c>
      <c r="E19" s="24" t="s">
        <v>14</v>
      </c>
      <c r="F19" s="24" t="s">
        <v>13</v>
      </c>
      <c r="Y19" s="2">
        <v>-0.6</v>
      </c>
      <c r="Z19" s="2">
        <v>-3.1828699999999999</v>
      </c>
      <c r="AA19" s="2">
        <f t="shared" si="7"/>
        <v>1.1559183999999778</v>
      </c>
      <c r="AB19" s="2">
        <f t="shared" si="8"/>
        <v>-0.23482780703269285</v>
      </c>
      <c r="AC19" s="2"/>
    </row>
    <row r="20" spans="1:29" x14ac:dyDescent="0.2">
      <c r="B20" s="3">
        <f>'Hall Probe Measurements'!I5</f>
        <v>5.9797000000000002</v>
      </c>
      <c r="C20" s="3">
        <f>'Hall Probe Measurements'!J5</f>
        <v>298.98500000000001</v>
      </c>
      <c r="D20" s="3">
        <f>'Hall Probe Measurements'!K5</f>
        <v>253526.3767727474</v>
      </c>
      <c r="E20" s="3">
        <f>'Hall Probe Measurements'!L5</f>
        <v>-5668.3999999999987</v>
      </c>
      <c r="F20" s="11">
        <f>'Hall Probe Measurements'!M5</f>
        <v>44.726267866196359</v>
      </c>
      <c r="Y20" s="2">
        <v>-0.7</v>
      </c>
      <c r="Z20" s="2">
        <v>-3.7033260000000001</v>
      </c>
      <c r="AA20" s="2">
        <f t="shared" si="7"/>
        <v>2.2329932999999524</v>
      </c>
      <c r="AB20" s="2">
        <f t="shared" si="8"/>
        <v>-0.54379983993007552</v>
      </c>
      <c r="AC20" s="2"/>
    </row>
    <row r="21" spans="1:29" x14ac:dyDescent="0.2">
      <c r="Y21" s="2">
        <v>-0.8</v>
      </c>
      <c r="Z21" s="2">
        <v>-4.2175739999999999</v>
      </c>
      <c r="AA21" s="2">
        <f t="shared" si="7"/>
        <v>3.0575952000000406</v>
      </c>
      <c r="AB21" s="2">
        <f t="shared" si="8"/>
        <v>-0.83279320174053895</v>
      </c>
      <c r="AC21" s="2"/>
    </row>
    <row r="22" spans="1:29" x14ac:dyDescent="0.2">
      <c r="B22" s="2" t="s">
        <v>10</v>
      </c>
      <c r="Y22" s="2">
        <v>-0.9</v>
      </c>
      <c r="Z22" s="2">
        <v>-4.7064170000000001</v>
      </c>
      <c r="AA22" s="2">
        <f t="shared" si="7"/>
        <v>4.9499251000001188</v>
      </c>
      <c r="AB22" s="2">
        <f t="shared" si="8"/>
        <v>-1.1401053790339672</v>
      </c>
      <c r="AC22" s="2"/>
    </row>
    <row r="23" spans="1:29" x14ac:dyDescent="0.2">
      <c r="B23" s="2" t="s">
        <v>11</v>
      </c>
      <c r="Y23" s="2">
        <v>-1</v>
      </c>
      <c r="Z23" s="2">
        <v>-5.1583769999999998</v>
      </c>
      <c r="AA23" s="2">
        <f t="shared" si="7"/>
        <v>8.2623000000000779</v>
      </c>
      <c r="AB23" s="2">
        <f t="shared" si="8"/>
        <v>-1.5016218278954478</v>
      </c>
      <c r="AC23" s="2"/>
    </row>
    <row r="24" spans="1:29" x14ac:dyDescent="0.2">
      <c r="B24" s="12" t="s">
        <v>12</v>
      </c>
    </row>
    <row r="25" spans="1:29" ht="16" thickBot="1" x14ac:dyDescent="0.25"/>
    <row r="26" spans="1:29" ht="16" thickBot="1" x14ac:dyDescent="0.25">
      <c r="B26" s="35" t="s">
        <v>19</v>
      </c>
      <c r="C26" s="36"/>
      <c r="K26" s="14">
        <v>300</v>
      </c>
      <c r="L26" s="18">
        <v>298.91699999999997</v>
      </c>
      <c r="M26">
        <f>L26/300</f>
        <v>0.99638999999999989</v>
      </c>
      <c r="N26" s="31">
        <f>O26/10000</f>
        <v>-5.2321439999999999</v>
      </c>
      <c r="O26" s="19">
        <v>-52321.440000000002</v>
      </c>
    </row>
    <row r="27" spans="1:29" ht="16" thickBot="1" x14ac:dyDescent="0.25">
      <c r="B27" s="28" t="s">
        <v>20</v>
      </c>
      <c r="C27" s="3">
        <v>4</v>
      </c>
      <c r="K27" s="14">
        <v>250</v>
      </c>
      <c r="L27" s="20">
        <v>249.05199999999999</v>
      </c>
      <c r="M27" s="2">
        <f t="shared" ref="M27:M40" si="12">L27/300</f>
        <v>0.83017333333333332</v>
      </c>
      <c r="N27" s="31">
        <f t="shared" ref="N27:N40" si="13">O27/10000</f>
        <v>-4.4466604571428583</v>
      </c>
      <c r="O27" s="21">
        <v>-44466.604571428579</v>
      </c>
    </row>
    <row r="28" spans="1:29" ht="16" thickBot="1" x14ac:dyDescent="0.25">
      <c r="B28" s="28" t="s">
        <v>21</v>
      </c>
      <c r="C28" s="3">
        <f>4-0.065*2</f>
        <v>3.87</v>
      </c>
      <c r="K28" s="14">
        <v>200</v>
      </c>
      <c r="L28" s="20">
        <v>199.42599999999999</v>
      </c>
      <c r="M28" s="2">
        <f t="shared" si="12"/>
        <v>0.66475333333333331</v>
      </c>
      <c r="N28" s="31">
        <f t="shared" si="13"/>
        <v>-3.5810726285714285</v>
      </c>
      <c r="O28" s="21">
        <v>-35810.726285714285</v>
      </c>
    </row>
    <row r="29" spans="1:29" ht="16" thickBot="1" x14ac:dyDescent="0.25">
      <c r="K29" s="14">
        <v>150</v>
      </c>
      <c r="L29" s="20">
        <v>149.70099999999999</v>
      </c>
      <c r="M29" s="2">
        <f t="shared" si="12"/>
        <v>0.4990033333333333</v>
      </c>
      <c r="N29" s="31">
        <f t="shared" si="13"/>
        <v>-2.6986378285714285</v>
      </c>
      <c r="O29" s="21">
        <v>-26986.378285714283</v>
      </c>
    </row>
    <row r="30" spans="1:29" ht="16" thickBot="1" x14ac:dyDescent="0.25">
      <c r="K30" s="14">
        <v>100</v>
      </c>
      <c r="L30" s="20">
        <v>100.01900000000001</v>
      </c>
      <c r="M30" s="2">
        <f t="shared" si="12"/>
        <v>0.33339666666666667</v>
      </c>
      <c r="N30" s="31">
        <f t="shared" si="13"/>
        <v>-1.8137900857142857</v>
      </c>
      <c r="O30" s="21">
        <v>-18137.900857142857</v>
      </c>
    </row>
    <row r="31" spans="1:29" ht="16" thickBot="1" x14ac:dyDescent="0.25">
      <c r="K31" s="14">
        <v>50</v>
      </c>
      <c r="L31" s="20">
        <v>50.253999999999998</v>
      </c>
      <c r="M31" s="2">
        <f t="shared" si="12"/>
        <v>0.16751333333333332</v>
      </c>
      <c r="N31" s="31">
        <f t="shared" si="13"/>
        <v>-0.92369939999999984</v>
      </c>
      <c r="O31" s="21">
        <v>-9236.9939999999988</v>
      </c>
    </row>
    <row r="32" spans="1:29" ht="16" thickBot="1" x14ac:dyDescent="0.25">
      <c r="K32" s="14">
        <v>10</v>
      </c>
      <c r="L32" s="20">
        <v>10.465999999999999</v>
      </c>
      <c r="M32" s="2">
        <f t="shared" si="12"/>
        <v>3.4886666666666663E-2</v>
      </c>
      <c r="N32" s="31">
        <f t="shared" si="13"/>
        <v>-0.21197911428571428</v>
      </c>
      <c r="O32" s="21">
        <v>-2119.7911428571429</v>
      </c>
    </row>
    <row r="33" spans="11:15" ht="16" thickBot="1" x14ac:dyDescent="0.25">
      <c r="K33" s="27">
        <v>0</v>
      </c>
      <c r="L33" s="20"/>
      <c r="M33" s="2">
        <f t="shared" si="12"/>
        <v>0</v>
      </c>
      <c r="N33" s="31">
        <f t="shared" si="13"/>
        <v>0</v>
      </c>
      <c r="O33" s="21"/>
    </row>
    <row r="34" spans="11:15" ht="16" thickBot="1" x14ac:dyDescent="0.25">
      <c r="K34" s="15">
        <v>-10</v>
      </c>
      <c r="L34" s="20">
        <v>-10.49</v>
      </c>
      <c r="M34" s="2">
        <f t="shared" si="12"/>
        <v>-3.4966666666666667E-2</v>
      </c>
      <c r="N34" s="31">
        <f t="shared" si="13"/>
        <v>0.16482917142857145</v>
      </c>
      <c r="O34" s="21">
        <v>1648.2917142857145</v>
      </c>
    </row>
    <row r="35" spans="11:15" ht="16" thickBot="1" x14ac:dyDescent="0.25">
      <c r="K35" s="14">
        <v>-50</v>
      </c>
      <c r="L35" s="20">
        <v>-50.332000000000001</v>
      </c>
      <c r="M35" s="2">
        <f t="shared" si="12"/>
        <v>-0.16777333333333333</v>
      </c>
      <c r="N35" s="31">
        <f t="shared" si="13"/>
        <v>0.8755328</v>
      </c>
      <c r="O35" s="21">
        <v>8755.3279999999995</v>
      </c>
    </row>
    <row r="36" spans="11:15" ht="16" thickBot="1" x14ac:dyDescent="0.25">
      <c r="K36" s="14">
        <v>-100</v>
      </c>
      <c r="L36" s="20">
        <v>-100.10599999999999</v>
      </c>
      <c r="M36" s="2">
        <f t="shared" si="12"/>
        <v>-0.33368666666666663</v>
      </c>
      <c r="N36" s="31">
        <f t="shared" si="13"/>
        <v>1.7643041428571429</v>
      </c>
      <c r="O36" s="21">
        <v>17643.041428571429</v>
      </c>
    </row>
    <row r="37" spans="11:15" ht="16" thickBot="1" x14ac:dyDescent="0.25">
      <c r="K37" s="14">
        <v>-150</v>
      </c>
      <c r="L37" s="20">
        <v>-149.678</v>
      </c>
      <c r="M37" s="2">
        <f t="shared" si="12"/>
        <v>-0.49892666666666668</v>
      </c>
      <c r="N37" s="31">
        <f t="shared" si="13"/>
        <v>2.6480625714285715</v>
      </c>
      <c r="O37" s="21">
        <v>26480.625714285714</v>
      </c>
    </row>
    <row r="38" spans="11:15" ht="16" thickBot="1" x14ac:dyDescent="0.25">
      <c r="K38" s="14">
        <v>-200</v>
      </c>
      <c r="L38" s="20">
        <v>-198.006</v>
      </c>
      <c r="M38" s="2">
        <f t="shared" si="12"/>
        <v>-0.66002000000000005</v>
      </c>
      <c r="N38" s="31">
        <f t="shared" si="13"/>
        <v>3.5298655714285712</v>
      </c>
      <c r="O38" s="21">
        <v>35298.655714285713</v>
      </c>
    </row>
    <row r="39" spans="11:15" ht="16" thickBot="1" x14ac:dyDescent="0.25">
      <c r="K39" s="14">
        <v>-250</v>
      </c>
      <c r="L39" s="20">
        <v>-249.357</v>
      </c>
      <c r="M39" s="2">
        <f t="shared" si="12"/>
        <v>-0.83118999999999998</v>
      </c>
      <c r="N39" s="31">
        <f t="shared" si="13"/>
        <v>4.3945141142857134</v>
      </c>
      <c r="O39" s="21">
        <v>43945.141142857137</v>
      </c>
    </row>
    <row r="40" spans="11:15" ht="16" thickBot="1" x14ac:dyDescent="0.25">
      <c r="K40" s="14">
        <v>-300</v>
      </c>
      <c r="L40" s="22">
        <v>-298.923</v>
      </c>
      <c r="M40" s="2">
        <f t="shared" si="12"/>
        <v>-0.99641000000000002</v>
      </c>
      <c r="N40" s="31">
        <f t="shared" si="13"/>
        <v>5.2279436857142851</v>
      </c>
      <c r="O40" s="23">
        <v>52279.436857142849</v>
      </c>
    </row>
  </sheetData>
  <sortState ref="Z3:Z23">
    <sortCondition ref="Z3"/>
  </sortState>
  <mergeCells count="1">
    <mergeCell ref="B26:C26"/>
  </mergeCells>
  <phoneticPr fontId="2" type="noConversion"/>
  <pageMargins left="0.7" right="0.7" top="0.75" bottom="0.75" header="0.3" footer="0.3"/>
  <pageSetup orientation="portrait" r:id="rId1"/>
  <rowBreaks count="1" manualBreakCount="1">
    <brk id="3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workbookViewId="0">
      <selection activeCell="I54" sqref="I54"/>
    </sheetView>
  </sheetViews>
  <sheetFormatPr baseColWidth="10" defaultColWidth="8.83203125" defaultRowHeight="15" x14ac:dyDescent="0.2"/>
  <cols>
    <col min="1" max="5" width="8.83203125" style="2"/>
    <col min="6" max="6" width="9.5" style="2" bestFit="1" customWidth="1"/>
    <col min="7" max="7" width="9.83203125" style="2" bestFit="1" customWidth="1"/>
    <col min="8" max="8" width="8.83203125" style="2"/>
    <col min="9" max="9" width="10.6640625" style="2" bestFit="1" customWidth="1"/>
    <col min="10" max="10" width="12.5" style="2" customWidth="1"/>
    <col min="11" max="11" width="15.5" style="2" bestFit="1" customWidth="1"/>
    <col min="12" max="16384" width="8.83203125" style="2"/>
  </cols>
  <sheetData>
    <row r="1" spans="2:13" x14ac:dyDescent="0.2">
      <c r="E1" s="37" t="s">
        <v>4</v>
      </c>
      <c r="F1" s="37"/>
      <c r="I1" s="35" t="s">
        <v>19</v>
      </c>
      <c r="J1" s="36"/>
    </row>
    <row r="2" spans="2:13" x14ac:dyDescent="0.2">
      <c r="E2" s="6" t="s">
        <v>7</v>
      </c>
      <c r="F2" s="6" t="s">
        <v>5</v>
      </c>
      <c r="I2" s="28" t="s">
        <v>20</v>
      </c>
      <c r="J2" s="3">
        <v>4</v>
      </c>
    </row>
    <row r="3" spans="2:13" x14ac:dyDescent="0.2">
      <c r="B3" s="8"/>
      <c r="D3" s="2">
        <v>-10</v>
      </c>
      <c r="E3" s="2">
        <f>(D3-D4)</f>
        <v>-0.5</v>
      </c>
      <c r="F3" s="29">
        <v>-23.143850267379676</v>
      </c>
      <c r="G3" s="29">
        <f>F3*(D3-D4)/2</f>
        <v>5.7859625668449191</v>
      </c>
      <c r="I3" s="28" t="s">
        <v>21</v>
      </c>
      <c r="J3" s="3">
        <f>4-0.065*2</f>
        <v>3.87</v>
      </c>
    </row>
    <row r="4" spans="2:13" x14ac:dyDescent="0.2">
      <c r="B4" s="8"/>
      <c r="D4" s="2">
        <v>-9.5</v>
      </c>
      <c r="E4" s="2">
        <f>(D3-D5)/2</f>
        <v>-0.5</v>
      </c>
      <c r="F4" s="29">
        <v>-26.420855614973259</v>
      </c>
      <c r="G4" s="29">
        <f>F4*(D3-D5)/2</f>
        <v>13.21042780748663</v>
      </c>
      <c r="I4" s="10" t="s">
        <v>9</v>
      </c>
      <c r="J4" s="1" t="s">
        <v>8</v>
      </c>
      <c r="K4" s="10" t="s">
        <v>0</v>
      </c>
      <c r="L4" s="10" t="s">
        <v>5</v>
      </c>
      <c r="M4" s="10" t="s">
        <v>6</v>
      </c>
    </row>
    <row r="5" spans="2:13" x14ac:dyDescent="0.2">
      <c r="B5" s="8"/>
      <c r="D5" s="2">
        <v>-9</v>
      </c>
      <c r="E5" s="2">
        <f t="shared" ref="E5:E68" si="0">(D4-D6)/2</f>
        <v>-0.5</v>
      </c>
      <c r="F5" s="29">
        <v>-30.312299465240638</v>
      </c>
      <c r="G5" s="29">
        <f t="shared" ref="G5:G68" si="1">F5*(D4-D6)/2</f>
        <v>15.156149732620319</v>
      </c>
      <c r="I5" s="3">
        <v>5.9797000000000002</v>
      </c>
      <c r="J5" s="3">
        <f>I5*50</f>
        <v>298.98500000000001</v>
      </c>
      <c r="K5" s="32">
        <f>SUMPRODUCT(F3:F106,E3:E106)</f>
        <v>253526.3767727474</v>
      </c>
      <c r="L5" s="9">
        <f>F54</f>
        <v>-5668.3999999999987</v>
      </c>
      <c r="M5" s="33">
        <f>ABS(K5/L5)</f>
        <v>44.726267866196359</v>
      </c>
    </row>
    <row r="6" spans="2:13" x14ac:dyDescent="0.2">
      <c r="B6" s="8"/>
      <c r="D6" s="2">
        <v>-8.5</v>
      </c>
      <c r="E6" s="2">
        <f t="shared" si="0"/>
        <v>-0.5</v>
      </c>
      <c r="F6" s="29">
        <v>-35.022994652406418</v>
      </c>
      <c r="G6" s="29">
        <f t="shared" si="1"/>
        <v>17.511497326203209</v>
      </c>
    </row>
    <row r="7" spans="2:13" x14ac:dyDescent="0.2">
      <c r="B7" s="8"/>
      <c r="D7" s="2">
        <v>-8</v>
      </c>
      <c r="E7" s="2">
        <f t="shared" si="0"/>
        <v>-0.5</v>
      </c>
      <c r="F7" s="29">
        <v>-40.75775401069518</v>
      </c>
      <c r="G7" s="29">
        <f t="shared" si="1"/>
        <v>20.37887700534759</v>
      </c>
      <c r="I7" s="2" t="s">
        <v>22</v>
      </c>
    </row>
    <row r="8" spans="2:13" x14ac:dyDescent="0.2">
      <c r="B8" s="8"/>
      <c r="D8" s="2">
        <v>-7.5</v>
      </c>
      <c r="E8" s="2">
        <f t="shared" si="0"/>
        <v>-0.5</v>
      </c>
      <c r="F8" s="29">
        <v>-47.311764705882347</v>
      </c>
      <c r="G8" s="29">
        <f t="shared" si="1"/>
        <v>23.655882352941173</v>
      </c>
    </row>
    <row r="9" spans="2:13" x14ac:dyDescent="0.2">
      <c r="B9" s="8"/>
      <c r="D9" s="2">
        <v>-7</v>
      </c>
      <c r="E9" s="2">
        <f t="shared" si="0"/>
        <v>-0.5</v>
      </c>
      <c r="F9" s="29">
        <v>-55.094652406417104</v>
      </c>
      <c r="G9" s="29">
        <f t="shared" si="1"/>
        <v>27.547326203208552</v>
      </c>
    </row>
    <row r="10" spans="2:13" x14ac:dyDescent="0.2">
      <c r="B10" s="8"/>
      <c r="D10" s="2">
        <v>-6.5</v>
      </c>
      <c r="E10" s="2">
        <f t="shared" si="0"/>
        <v>-0.5</v>
      </c>
      <c r="F10" s="29">
        <v>-64.106417112299454</v>
      </c>
      <c r="G10" s="29">
        <f t="shared" si="1"/>
        <v>32.053208556149727</v>
      </c>
    </row>
    <row r="11" spans="2:13" x14ac:dyDescent="0.2">
      <c r="B11" s="8"/>
      <c r="D11" s="2">
        <v>-6</v>
      </c>
      <c r="E11" s="2">
        <f t="shared" si="0"/>
        <v>-0.5</v>
      </c>
      <c r="F11" s="29">
        <v>-75.166310160427798</v>
      </c>
      <c r="G11" s="29">
        <f t="shared" si="1"/>
        <v>37.583155080213899</v>
      </c>
    </row>
    <row r="12" spans="2:13" x14ac:dyDescent="0.2">
      <c r="B12" s="8"/>
      <c r="D12" s="2">
        <v>-5.5</v>
      </c>
      <c r="E12" s="2">
        <f t="shared" si="0"/>
        <v>-0.5</v>
      </c>
      <c r="F12" s="29">
        <v>-88.069518716577534</v>
      </c>
      <c r="G12" s="29">
        <f t="shared" si="1"/>
        <v>44.034759358288767</v>
      </c>
    </row>
    <row r="13" spans="2:13" x14ac:dyDescent="0.2">
      <c r="B13" s="8"/>
      <c r="D13" s="2">
        <v>-5</v>
      </c>
      <c r="E13" s="2">
        <f t="shared" si="0"/>
        <v>-0.5</v>
      </c>
      <c r="F13" s="29">
        <v>-103.43048128342245</v>
      </c>
      <c r="G13" s="29">
        <f t="shared" si="1"/>
        <v>51.715240641711226</v>
      </c>
    </row>
    <row r="14" spans="2:13" x14ac:dyDescent="0.2">
      <c r="B14" s="8"/>
      <c r="D14" s="2">
        <v>-4.5</v>
      </c>
      <c r="E14" s="2">
        <f t="shared" si="0"/>
        <v>-0.5</v>
      </c>
      <c r="F14" s="29">
        <v>-121.86363636363635</v>
      </c>
      <c r="G14" s="29">
        <f t="shared" si="1"/>
        <v>60.931818181818173</v>
      </c>
    </row>
    <row r="15" spans="2:13" x14ac:dyDescent="0.2">
      <c r="B15" s="8"/>
      <c r="D15" s="2">
        <v>-4</v>
      </c>
      <c r="E15" s="2">
        <f t="shared" si="0"/>
        <v>-0.5</v>
      </c>
      <c r="F15" s="29">
        <v>-143.77860962566842</v>
      </c>
      <c r="G15" s="29">
        <f t="shared" si="1"/>
        <v>71.889304812834212</v>
      </c>
    </row>
    <row r="16" spans="2:13" x14ac:dyDescent="0.2">
      <c r="B16" s="8"/>
      <c r="D16" s="2">
        <v>-3.5</v>
      </c>
      <c r="E16" s="2">
        <f t="shared" si="0"/>
        <v>-0.5</v>
      </c>
      <c r="F16" s="29">
        <v>-170.19946524064167</v>
      </c>
      <c r="G16" s="29">
        <f t="shared" si="1"/>
        <v>85.099732620320836</v>
      </c>
    </row>
    <row r="17" spans="2:12" x14ac:dyDescent="0.2">
      <c r="B17" s="8"/>
      <c r="D17" s="2">
        <v>-3</v>
      </c>
      <c r="E17" s="2">
        <f t="shared" si="0"/>
        <v>-0.5</v>
      </c>
      <c r="F17" s="29">
        <v>-201.74064171122993</v>
      </c>
      <c r="G17" s="29">
        <f t="shared" si="1"/>
        <v>100.87032085561496</v>
      </c>
    </row>
    <row r="18" spans="2:12" x14ac:dyDescent="0.2">
      <c r="B18" s="8"/>
      <c r="D18" s="2">
        <v>-2.5</v>
      </c>
      <c r="E18" s="2">
        <f t="shared" si="0"/>
        <v>-0.5</v>
      </c>
      <c r="F18" s="29">
        <v>-239.63101604278071</v>
      </c>
      <c r="G18" s="29">
        <f t="shared" si="1"/>
        <v>119.81550802139036</v>
      </c>
    </row>
    <row r="19" spans="2:12" x14ac:dyDescent="0.2">
      <c r="B19" s="8"/>
      <c r="D19" s="2">
        <v>-2</v>
      </c>
      <c r="E19" s="2">
        <f t="shared" si="0"/>
        <v>-0.5</v>
      </c>
      <c r="F19" s="29">
        <v>-285.5090909090909</v>
      </c>
      <c r="G19" s="29">
        <f t="shared" si="1"/>
        <v>142.75454545454545</v>
      </c>
    </row>
    <row r="20" spans="2:12" x14ac:dyDescent="0.2">
      <c r="B20" s="8"/>
      <c r="D20" s="2">
        <v>-1.5</v>
      </c>
      <c r="E20" s="2">
        <f t="shared" si="0"/>
        <v>-0.5</v>
      </c>
      <c r="F20" s="29">
        <v>-340.19411764705876</v>
      </c>
      <c r="G20" s="29">
        <f t="shared" si="1"/>
        <v>170.09705882352938</v>
      </c>
    </row>
    <row r="21" spans="2:12" x14ac:dyDescent="0.2">
      <c r="B21" s="8"/>
      <c r="D21" s="2">
        <v>-1</v>
      </c>
      <c r="E21" s="2">
        <f t="shared" si="0"/>
        <v>-0.5</v>
      </c>
      <c r="F21" s="29">
        <v>-406.34866310160425</v>
      </c>
      <c r="G21" s="29">
        <f t="shared" si="1"/>
        <v>203.17433155080212</v>
      </c>
    </row>
    <row r="22" spans="2:12" x14ac:dyDescent="0.2">
      <c r="B22" s="8"/>
      <c r="D22" s="2">
        <v>-0.5</v>
      </c>
      <c r="E22" s="2">
        <f t="shared" si="0"/>
        <v>-0.5</v>
      </c>
      <c r="F22" s="29">
        <v>-486.63529411764699</v>
      </c>
      <c r="G22" s="29">
        <f t="shared" si="1"/>
        <v>243.3176470588235</v>
      </c>
    </row>
    <row r="23" spans="2:12" x14ac:dyDescent="0.2">
      <c r="B23" s="8"/>
      <c r="D23" s="2">
        <v>0</v>
      </c>
      <c r="E23" s="2">
        <f t="shared" si="0"/>
        <v>-0.5</v>
      </c>
      <c r="F23" s="29">
        <v>-583.51176470588223</v>
      </c>
      <c r="G23" s="29">
        <f t="shared" si="1"/>
        <v>291.75588235294111</v>
      </c>
    </row>
    <row r="24" spans="2:12" x14ac:dyDescent="0.2">
      <c r="B24" s="8"/>
      <c r="D24" s="2">
        <v>0.5</v>
      </c>
      <c r="E24" s="2">
        <f t="shared" si="0"/>
        <v>-0.5</v>
      </c>
      <c r="F24" s="29">
        <v>-700.86951871657743</v>
      </c>
      <c r="G24" s="29">
        <f t="shared" si="1"/>
        <v>350.43475935828872</v>
      </c>
    </row>
    <row r="25" spans="2:12" x14ac:dyDescent="0.2">
      <c r="B25" s="8"/>
      <c r="D25" s="2">
        <v>1</v>
      </c>
      <c r="E25" s="2">
        <f t="shared" si="0"/>
        <v>-0.5</v>
      </c>
      <c r="F25" s="29">
        <v>-843.41925133689836</v>
      </c>
      <c r="G25" s="29">
        <f t="shared" si="1"/>
        <v>421.70962566844918</v>
      </c>
    </row>
    <row r="26" spans="2:12" x14ac:dyDescent="0.2">
      <c r="B26" s="8"/>
      <c r="D26" s="2">
        <v>1.5</v>
      </c>
      <c r="E26" s="2">
        <f t="shared" si="0"/>
        <v>-0.5</v>
      </c>
      <c r="F26" s="29">
        <v>-1017.5101604278074</v>
      </c>
      <c r="G26" s="29">
        <f t="shared" si="1"/>
        <v>508.75508021390368</v>
      </c>
    </row>
    <row r="27" spans="2:12" x14ac:dyDescent="0.2">
      <c r="B27" s="8"/>
      <c r="D27" s="2">
        <v>2</v>
      </c>
      <c r="E27" s="2">
        <f t="shared" si="0"/>
        <v>-0.5</v>
      </c>
      <c r="F27" s="29">
        <v>-1233.3828877005346</v>
      </c>
      <c r="G27" s="29">
        <f t="shared" si="1"/>
        <v>616.69144385026732</v>
      </c>
    </row>
    <row r="28" spans="2:12" x14ac:dyDescent="0.2">
      <c r="B28" s="8"/>
      <c r="D28" s="2">
        <v>2.5</v>
      </c>
      <c r="E28" s="2">
        <f t="shared" si="0"/>
        <v>-0.5</v>
      </c>
      <c r="F28" s="29">
        <v>-1494.5192513368984</v>
      </c>
      <c r="G28" s="29">
        <f t="shared" si="1"/>
        <v>747.25962566844919</v>
      </c>
    </row>
    <row r="29" spans="2:12" x14ac:dyDescent="0.2">
      <c r="B29" s="8"/>
      <c r="D29" s="2">
        <v>3</v>
      </c>
      <c r="E29" s="2">
        <f t="shared" si="0"/>
        <v>-0.5</v>
      </c>
      <c r="F29" s="29">
        <v>-1852.9417112299463</v>
      </c>
      <c r="G29" s="29">
        <f t="shared" si="1"/>
        <v>926.47085561497317</v>
      </c>
    </row>
    <row r="30" spans="2:12" x14ac:dyDescent="0.2">
      <c r="B30" s="8"/>
      <c r="D30" s="2">
        <v>3.5</v>
      </c>
      <c r="E30" s="2">
        <f t="shared" si="0"/>
        <v>-0.5</v>
      </c>
      <c r="F30" s="29">
        <v>-2313.565775401069</v>
      </c>
      <c r="G30" s="29">
        <f t="shared" si="1"/>
        <v>1156.7828877005345</v>
      </c>
    </row>
    <row r="31" spans="2:12" x14ac:dyDescent="0.2">
      <c r="B31" s="8"/>
      <c r="D31" s="2">
        <v>4</v>
      </c>
      <c r="E31" s="2">
        <f t="shared" si="0"/>
        <v>-0.5</v>
      </c>
      <c r="F31" s="29">
        <v>-2955.4491978609622</v>
      </c>
      <c r="G31" s="29">
        <f t="shared" si="1"/>
        <v>1477.7245989304811</v>
      </c>
    </row>
    <row r="32" spans="2:12" x14ac:dyDescent="0.2">
      <c r="B32" s="8"/>
      <c r="D32" s="2">
        <v>4.5</v>
      </c>
      <c r="E32" s="2">
        <f t="shared" si="0"/>
        <v>-0.5</v>
      </c>
      <c r="F32" s="29">
        <v>-3893.0823529411759</v>
      </c>
      <c r="G32" s="29">
        <f t="shared" si="1"/>
        <v>1946.541176470588</v>
      </c>
      <c r="L32" s="2">
        <f>5668.4*4.96/4.6</f>
        <v>6112.0139130434782</v>
      </c>
    </row>
    <row r="33" spans="2:7" x14ac:dyDescent="0.2">
      <c r="B33" s="8"/>
      <c r="D33" s="2">
        <v>5</v>
      </c>
      <c r="E33" s="2">
        <f t="shared" si="0"/>
        <v>-0.5</v>
      </c>
      <c r="F33" s="29">
        <v>-5232.1486631016032</v>
      </c>
      <c r="G33" s="29">
        <f t="shared" si="1"/>
        <v>2616.0743315508016</v>
      </c>
    </row>
    <row r="34" spans="2:7" x14ac:dyDescent="0.2">
      <c r="B34" s="8"/>
      <c r="D34" s="2">
        <v>5.5</v>
      </c>
      <c r="E34" s="2">
        <f t="shared" si="0"/>
        <v>-0.5</v>
      </c>
      <c r="F34" s="29">
        <v>-6645.9716577540103</v>
      </c>
      <c r="G34" s="29">
        <f t="shared" si="1"/>
        <v>3322.9858288770051</v>
      </c>
    </row>
    <row r="35" spans="2:7" x14ac:dyDescent="0.2">
      <c r="B35" s="8"/>
      <c r="D35" s="2">
        <v>6</v>
      </c>
      <c r="E35" s="2">
        <f t="shared" si="0"/>
        <v>-0.5</v>
      </c>
      <c r="F35" s="29">
        <v>-6560.5647058823515</v>
      </c>
      <c r="G35" s="29">
        <f t="shared" si="1"/>
        <v>3280.2823529411758</v>
      </c>
    </row>
    <row r="36" spans="2:7" x14ac:dyDescent="0.2">
      <c r="B36" s="8"/>
      <c r="D36" s="2">
        <v>6.5</v>
      </c>
      <c r="E36" s="2">
        <f t="shared" si="0"/>
        <v>-0.5</v>
      </c>
      <c r="F36" s="29">
        <v>-6194.7689839572186</v>
      </c>
      <c r="G36" s="29">
        <f t="shared" si="1"/>
        <v>3097.3844919786093</v>
      </c>
    </row>
    <row r="37" spans="2:7" x14ac:dyDescent="0.2">
      <c r="B37" s="8"/>
      <c r="D37" s="2">
        <v>7</v>
      </c>
      <c r="E37" s="2">
        <f t="shared" si="0"/>
        <v>-0.5</v>
      </c>
      <c r="F37" s="29">
        <v>-5973.7759358288758</v>
      </c>
      <c r="G37" s="29">
        <f t="shared" si="1"/>
        <v>2986.8879679144379</v>
      </c>
    </row>
    <row r="38" spans="2:7" x14ac:dyDescent="0.2">
      <c r="B38" s="8"/>
      <c r="D38" s="2">
        <v>7.5</v>
      </c>
      <c r="E38" s="2">
        <f t="shared" si="0"/>
        <v>-0.5</v>
      </c>
      <c r="F38" s="29">
        <v>-5854.5748663101595</v>
      </c>
      <c r="G38" s="29">
        <f t="shared" si="1"/>
        <v>2927.2874331550797</v>
      </c>
    </row>
    <row r="39" spans="2:7" x14ac:dyDescent="0.2">
      <c r="B39" s="8"/>
      <c r="D39" s="2">
        <v>8</v>
      </c>
      <c r="E39" s="2">
        <f t="shared" si="0"/>
        <v>-0.5</v>
      </c>
      <c r="F39" s="29">
        <v>-5784.9385026737964</v>
      </c>
      <c r="G39" s="29">
        <f t="shared" si="1"/>
        <v>2892.4692513368982</v>
      </c>
    </row>
    <row r="40" spans="2:7" x14ac:dyDescent="0.2">
      <c r="B40" s="8"/>
      <c r="D40" s="2">
        <v>8.5</v>
      </c>
      <c r="E40" s="2">
        <f t="shared" si="0"/>
        <v>-0.5</v>
      </c>
      <c r="F40" s="29">
        <v>-5743.5663101604277</v>
      </c>
      <c r="G40" s="29">
        <f t="shared" si="1"/>
        <v>2871.7831550802139</v>
      </c>
    </row>
    <row r="41" spans="2:7" x14ac:dyDescent="0.2">
      <c r="B41" s="8"/>
      <c r="D41" s="2">
        <v>9</v>
      </c>
      <c r="E41" s="2">
        <f t="shared" si="0"/>
        <v>-0.5</v>
      </c>
      <c r="F41" s="29">
        <v>-5717.7598930481272</v>
      </c>
      <c r="G41" s="29">
        <f t="shared" si="1"/>
        <v>2858.8799465240636</v>
      </c>
    </row>
    <row r="42" spans="2:7" x14ac:dyDescent="0.2">
      <c r="B42" s="8"/>
      <c r="D42" s="2">
        <v>9.5</v>
      </c>
      <c r="E42" s="2">
        <f t="shared" si="0"/>
        <v>-0.5</v>
      </c>
      <c r="F42" s="29">
        <v>-5701.9893048128333</v>
      </c>
      <c r="G42" s="29">
        <f t="shared" si="1"/>
        <v>2850.9946524064167</v>
      </c>
    </row>
    <row r="43" spans="2:7" x14ac:dyDescent="0.2">
      <c r="B43" s="8"/>
      <c r="D43" s="2">
        <v>10</v>
      </c>
      <c r="E43" s="2">
        <f t="shared" si="0"/>
        <v>-0.5</v>
      </c>
      <c r="F43" s="29">
        <v>-5692.772727272727</v>
      </c>
      <c r="G43" s="29">
        <f t="shared" si="1"/>
        <v>2846.3863636363635</v>
      </c>
    </row>
    <row r="44" spans="2:7" x14ac:dyDescent="0.2">
      <c r="B44" s="8"/>
      <c r="D44" s="2">
        <v>10.5</v>
      </c>
      <c r="E44" s="2">
        <f t="shared" si="0"/>
        <v>-0.5</v>
      </c>
      <c r="F44" s="29">
        <v>-5685.6042780748658</v>
      </c>
      <c r="G44" s="29">
        <f t="shared" si="1"/>
        <v>2842.8021390374329</v>
      </c>
    </row>
    <row r="45" spans="2:7" x14ac:dyDescent="0.2">
      <c r="B45" s="8"/>
      <c r="D45" s="2">
        <v>11</v>
      </c>
      <c r="E45" s="2">
        <f t="shared" si="0"/>
        <v>-0.5</v>
      </c>
      <c r="F45" s="29">
        <v>-5681.5080213903739</v>
      </c>
      <c r="G45" s="29">
        <f t="shared" si="1"/>
        <v>2840.7540106951869</v>
      </c>
    </row>
    <row r="46" spans="2:7" x14ac:dyDescent="0.2">
      <c r="B46" s="8"/>
      <c r="D46" s="2">
        <v>11.5</v>
      </c>
      <c r="E46" s="2">
        <f t="shared" si="0"/>
        <v>-0.5</v>
      </c>
      <c r="F46" s="29">
        <v>-5678.8454545454533</v>
      </c>
      <c r="G46" s="29">
        <f t="shared" si="1"/>
        <v>2839.4227272727267</v>
      </c>
    </row>
    <row r="47" spans="2:7" x14ac:dyDescent="0.2">
      <c r="B47" s="8"/>
      <c r="D47" s="2">
        <v>12</v>
      </c>
      <c r="E47" s="2">
        <f t="shared" si="0"/>
        <v>-0.5</v>
      </c>
      <c r="F47" s="29">
        <v>-5676.7973262032074</v>
      </c>
      <c r="G47" s="29">
        <f t="shared" si="1"/>
        <v>2838.3986631016037</v>
      </c>
    </row>
    <row r="48" spans="2:7" x14ac:dyDescent="0.2">
      <c r="B48" s="8"/>
      <c r="D48" s="2">
        <v>12.5</v>
      </c>
      <c r="E48" s="2">
        <f t="shared" si="0"/>
        <v>-0.5</v>
      </c>
      <c r="F48" s="29">
        <v>-5674.5443850267375</v>
      </c>
      <c r="G48" s="29">
        <f t="shared" si="1"/>
        <v>2837.2721925133687</v>
      </c>
    </row>
    <row r="49" spans="2:8" x14ac:dyDescent="0.2">
      <c r="B49" s="8"/>
      <c r="D49" s="2">
        <v>13</v>
      </c>
      <c r="E49" s="2">
        <f t="shared" si="0"/>
        <v>-0.5</v>
      </c>
      <c r="F49" s="29">
        <v>-5673.1106951871652</v>
      </c>
      <c r="G49" s="29">
        <f t="shared" si="1"/>
        <v>2836.5553475935826</v>
      </c>
    </row>
    <row r="50" spans="2:8" x14ac:dyDescent="0.2">
      <c r="B50" s="8"/>
      <c r="D50" s="2">
        <v>13.5</v>
      </c>
      <c r="E50" s="2">
        <f t="shared" si="0"/>
        <v>-0.5</v>
      </c>
      <c r="F50" s="29">
        <v>-5672.0866310160427</v>
      </c>
      <c r="G50" s="29">
        <f t="shared" si="1"/>
        <v>2836.0433155080214</v>
      </c>
    </row>
    <row r="51" spans="2:8" x14ac:dyDescent="0.2">
      <c r="B51" s="8"/>
      <c r="D51" s="2">
        <v>14</v>
      </c>
      <c r="E51" s="2">
        <f t="shared" si="0"/>
        <v>-0.5</v>
      </c>
      <c r="F51" s="29">
        <v>-5671.0625668449193</v>
      </c>
      <c r="G51" s="29">
        <f t="shared" si="1"/>
        <v>2835.5312834224596</v>
      </c>
    </row>
    <row r="52" spans="2:8" x14ac:dyDescent="0.2">
      <c r="B52" s="8"/>
      <c r="D52" s="2">
        <v>14.5</v>
      </c>
      <c r="E52" s="2">
        <f t="shared" si="0"/>
        <v>-0.5</v>
      </c>
      <c r="F52" s="29">
        <v>-5671.2673796791441</v>
      </c>
      <c r="G52" s="29">
        <f t="shared" si="1"/>
        <v>2835.6336898395721</v>
      </c>
    </row>
    <row r="53" spans="2:8" x14ac:dyDescent="0.2">
      <c r="B53" s="8"/>
      <c r="D53" s="2">
        <v>15</v>
      </c>
      <c r="E53" s="2">
        <f t="shared" si="0"/>
        <v>-5.3160000000000007</v>
      </c>
      <c r="F53" s="29">
        <v>-5668.3999999999987</v>
      </c>
      <c r="G53" s="29">
        <f t="shared" si="1"/>
        <v>30133.214399999997</v>
      </c>
      <c r="H53" s="13"/>
    </row>
    <row r="54" spans="2:8" x14ac:dyDescent="0.2">
      <c r="B54" s="8"/>
      <c r="D54" s="2">
        <v>25.132000000000001</v>
      </c>
      <c r="E54" s="2">
        <f t="shared" si="0"/>
        <v>-5.0660000000000007</v>
      </c>
      <c r="F54" s="29">
        <v>-5668.3999999999987</v>
      </c>
      <c r="G54" s="29">
        <f t="shared" si="1"/>
        <v>28716.114399999999</v>
      </c>
    </row>
    <row r="55" spans="2:8" x14ac:dyDescent="0.2">
      <c r="B55" s="8"/>
      <c r="D55" s="2">
        <v>25.132000000000001</v>
      </c>
      <c r="E55" s="2">
        <f t="shared" si="0"/>
        <v>-5.1659999999999986</v>
      </c>
      <c r="F55" s="29">
        <v>-5668.3999999999987</v>
      </c>
      <c r="G55" s="29">
        <f t="shared" si="1"/>
        <v>29282.954399999984</v>
      </c>
    </row>
    <row r="56" spans="2:8" x14ac:dyDescent="0.2">
      <c r="B56" s="8"/>
      <c r="D56" s="2">
        <v>35.463999999999999</v>
      </c>
      <c r="E56" s="2">
        <f t="shared" si="0"/>
        <v>-5.4159999999999986</v>
      </c>
      <c r="F56" s="29">
        <v>-5668.3999999999987</v>
      </c>
      <c r="G56" s="29">
        <f t="shared" si="1"/>
        <v>30700.054399999986</v>
      </c>
    </row>
    <row r="57" spans="2:8" x14ac:dyDescent="0.2">
      <c r="B57" s="8"/>
      <c r="D57" s="2">
        <v>35.963999999999999</v>
      </c>
      <c r="E57" s="2">
        <f t="shared" si="0"/>
        <v>-0.5</v>
      </c>
      <c r="F57" s="29">
        <v>-5672.3606847560259</v>
      </c>
      <c r="G57" s="29">
        <f t="shared" si="1"/>
        <v>2836.1803423780129</v>
      </c>
    </row>
    <row r="58" spans="2:8" x14ac:dyDescent="0.2">
      <c r="B58" s="8"/>
      <c r="D58" s="2">
        <v>36.463999999999999</v>
      </c>
      <c r="E58" s="2">
        <f t="shared" si="0"/>
        <v>-0.5</v>
      </c>
      <c r="F58" s="29">
        <v>-5675.8812934280486</v>
      </c>
      <c r="G58" s="29">
        <f t="shared" si="1"/>
        <v>2837.9406467140243</v>
      </c>
    </row>
    <row r="59" spans="2:8" x14ac:dyDescent="0.2">
      <c r="B59" s="8"/>
      <c r="D59" s="2">
        <v>36.963999999999999</v>
      </c>
      <c r="E59" s="2">
        <f t="shared" si="0"/>
        <v>-0.5</v>
      </c>
      <c r="F59" s="29">
        <v>-5679.4019021000722</v>
      </c>
      <c r="G59" s="29">
        <f t="shared" si="1"/>
        <v>2839.7009510500361</v>
      </c>
    </row>
    <row r="60" spans="2:8" x14ac:dyDescent="0.2">
      <c r="B60" s="8"/>
      <c r="D60" s="2">
        <v>37.463999999999999</v>
      </c>
      <c r="E60" s="2">
        <f t="shared" si="0"/>
        <v>-0.5</v>
      </c>
      <c r="F60" s="29">
        <v>-5683.1425488140985</v>
      </c>
      <c r="G60" s="29">
        <f t="shared" si="1"/>
        <v>2841.5712744070493</v>
      </c>
    </row>
    <row r="61" spans="2:8" x14ac:dyDescent="0.2">
      <c r="B61" s="8"/>
      <c r="D61" s="2">
        <v>37.963999999999999</v>
      </c>
      <c r="E61" s="2">
        <f t="shared" si="0"/>
        <v>-0.5</v>
      </c>
      <c r="F61" s="29">
        <v>-5686.6631574861212</v>
      </c>
      <c r="G61" s="29">
        <f t="shared" si="1"/>
        <v>2843.3315787430606</v>
      </c>
    </row>
    <row r="62" spans="2:8" x14ac:dyDescent="0.2">
      <c r="B62" s="8"/>
      <c r="D62" s="2">
        <v>38.463999999999999</v>
      </c>
      <c r="E62" s="2">
        <f t="shared" si="0"/>
        <v>-0.5</v>
      </c>
      <c r="F62" s="29">
        <v>-5690.6238422421475</v>
      </c>
      <c r="G62" s="29">
        <f t="shared" si="1"/>
        <v>2845.3119211210737</v>
      </c>
    </row>
    <row r="63" spans="2:8" x14ac:dyDescent="0.2">
      <c r="B63" s="8"/>
      <c r="D63" s="2">
        <v>38.963999999999999</v>
      </c>
      <c r="E63" s="2">
        <f t="shared" si="0"/>
        <v>-0.5</v>
      </c>
      <c r="F63" s="29">
        <v>-5694.3644889561729</v>
      </c>
      <c r="G63" s="29">
        <f t="shared" si="1"/>
        <v>2847.1822444780864</v>
      </c>
    </row>
    <row r="64" spans="2:8" x14ac:dyDescent="0.2">
      <c r="B64" s="8"/>
      <c r="D64" s="2">
        <v>39.463999999999999</v>
      </c>
      <c r="E64" s="2">
        <f t="shared" si="0"/>
        <v>-0.5</v>
      </c>
      <c r="F64" s="29">
        <v>-5700.7455921742157</v>
      </c>
      <c r="G64" s="29">
        <f t="shared" si="1"/>
        <v>2850.3727960871079</v>
      </c>
    </row>
    <row r="65" spans="2:7" x14ac:dyDescent="0.2">
      <c r="B65" s="8"/>
      <c r="D65" s="2">
        <v>39.963999999999999</v>
      </c>
      <c r="E65" s="2">
        <f t="shared" si="0"/>
        <v>-0.5</v>
      </c>
      <c r="F65" s="29">
        <v>-5708.4469236442674</v>
      </c>
      <c r="G65" s="29">
        <f t="shared" si="1"/>
        <v>2854.2234618221337</v>
      </c>
    </row>
    <row r="66" spans="2:7" x14ac:dyDescent="0.2">
      <c r="B66" s="8"/>
      <c r="D66" s="2">
        <v>40.463999999999999</v>
      </c>
      <c r="E66" s="2">
        <f t="shared" si="0"/>
        <v>-0.5</v>
      </c>
      <c r="F66" s="29">
        <v>-5717.9085594503304</v>
      </c>
      <c r="G66" s="29">
        <f t="shared" si="1"/>
        <v>2858.9542797251652</v>
      </c>
    </row>
    <row r="67" spans="2:7" x14ac:dyDescent="0.2">
      <c r="B67" s="8"/>
      <c r="D67" s="2">
        <v>40.963999999999999</v>
      </c>
      <c r="E67" s="2">
        <f t="shared" si="0"/>
        <v>-0.5</v>
      </c>
      <c r="F67" s="29">
        <v>-5732.4310702224275</v>
      </c>
      <c r="G67" s="29">
        <f t="shared" si="1"/>
        <v>2866.2155351112137</v>
      </c>
    </row>
    <row r="68" spans="2:7" x14ac:dyDescent="0.2">
      <c r="B68" s="8"/>
      <c r="D68" s="2">
        <v>41.463999999999999</v>
      </c>
      <c r="E68" s="2">
        <f t="shared" si="0"/>
        <v>-0.5</v>
      </c>
      <c r="F68" s="29">
        <v>-5754.2148363805736</v>
      </c>
      <c r="G68" s="29">
        <f t="shared" si="1"/>
        <v>2877.1074181902868</v>
      </c>
    </row>
    <row r="69" spans="2:7" x14ac:dyDescent="0.2">
      <c r="B69" s="8"/>
      <c r="D69" s="2">
        <v>41.963999999999999</v>
      </c>
      <c r="E69" s="2">
        <f t="shared" ref="E69:E105" si="2">(D68-D70)/2</f>
        <v>-0.5</v>
      </c>
      <c r="F69" s="29">
        <v>-5788.5407709328038</v>
      </c>
      <c r="G69" s="29">
        <f t="shared" ref="G69:G105" si="3">F69*(D68-D70)/2</f>
        <v>2894.2703854664019</v>
      </c>
    </row>
    <row r="70" spans="2:7" x14ac:dyDescent="0.2">
      <c r="B70" s="8"/>
      <c r="D70" s="2">
        <v>42.463999999999999</v>
      </c>
      <c r="E70" s="2">
        <f t="shared" si="2"/>
        <v>-0.5</v>
      </c>
      <c r="F70" s="29">
        <v>-5842.4500912231651</v>
      </c>
      <c r="G70" s="29">
        <f t="shared" si="3"/>
        <v>2921.2250456115826</v>
      </c>
    </row>
    <row r="71" spans="2:7" x14ac:dyDescent="0.2">
      <c r="B71" s="8"/>
      <c r="D71" s="2">
        <v>42.963999999999999</v>
      </c>
      <c r="E71" s="2">
        <f t="shared" si="2"/>
        <v>-0.5</v>
      </c>
      <c r="F71" s="29">
        <v>-5927.164737393733</v>
      </c>
      <c r="G71" s="29">
        <f t="shared" si="3"/>
        <v>2963.5823686968665</v>
      </c>
    </row>
    <row r="72" spans="2:7" x14ac:dyDescent="0.2">
      <c r="B72" s="8"/>
      <c r="D72" s="2">
        <v>43.463999999999999</v>
      </c>
      <c r="E72" s="2">
        <f t="shared" si="2"/>
        <v>-0.5</v>
      </c>
      <c r="F72" s="29">
        <v>-6057.8673343426099</v>
      </c>
      <c r="G72" s="29">
        <f t="shared" si="3"/>
        <v>3028.9336671713049</v>
      </c>
    </row>
    <row r="73" spans="2:7" x14ac:dyDescent="0.2">
      <c r="B73" s="8"/>
      <c r="D73" s="2">
        <v>43.963999999999999</v>
      </c>
      <c r="E73" s="2">
        <f t="shared" si="2"/>
        <v>-0.5</v>
      </c>
      <c r="F73" s="29">
        <v>-6223.5559799697203</v>
      </c>
      <c r="G73" s="29">
        <f t="shared" si="3"/>
        <v>3111.7779899848601</v>
      </c>
    </row>
    <row r="74" spans="2:7" x14ac:dyDescent="0.2">
      <c r="B74" s="8"/>
      <c r="D74" s="2">
        <v>44.463999999999999</v>
      </c>
      <c r="E74" s="2">
        <f t="shared" si="2"/>
        <v>-0.5</v>
      </c>
      <c r="F74" s="29">
        <v>-6175.1476107293965</v>
      </c>
      <c r="G74" s="29">
        <f t="shared" si="3"/>
        <v>3087.5738053646983</v>
      </c>
    </row>
    <row r="75" spans="2:7" x14ac:dyDescent="0.2">
      <c r="B75" s="8"/>
      <c r="D75" s="2">
        <v>44.963999999999999</v>
      </c>
      <c r="E75" s="2">
        <f t="shared" si="2"/>
        <v>-0.5</v>
      </c>
      <c r="F75" s="29">
        <v>-5383.6707736500894</v>
      </c>
      <c r="G75" s="29">
        <f t="shared" si="3"/>
        <v>2691.8353868250447</v>
      </c>
    </row>
    <row r="76" spans="2:7" x14ac:dyDescent="0.2">
      <c r="B76" s="8"/>
      <c r="D76" s="2">
        <v>45.463999999999999</v>
      </c>
      <c r="E76" s="2">
        <f t="shared" si="2"/>
        <v>-0.5</v>
      </c>
      <c r="F76" s="29">
        <v>-4301.743721128837</v>
      </c>
      <c r="G76" s="29">
        <f t="shared" si="3"/>
        <v>2150.8718605644185</v>
      </c>
    </row>
    <row r="77" spans="2:7" x14ac:dyDescent="0.2">
      <c r="B77" s="8"/>
      <c r="D77" s="2">
        <v>45.963999999999999</v>
      </c>
      <c r="E77" s="2">
        <f t="shared" si="2"/>
        <v>-0.5</v>
      </c>
      <c r="F77" s="29">
        <v>-3395.1869880827599</v>
      </c>
      <c r="G77" s="29">
        <f t="shared" si="3"/>
        <v>1697.5934940413799</v>
      </c>
    </row>
    <row r="78" spans="2:7" x14ac:dyDescent="0.2">
      <c r="B78" s="8"/>
      <c r="D78" s="2">
        <v>46.463999999999999</v>
      </c>
      <c r="E78" s="2">
        <f t="shared" si="2"/>
        <v>-0.5</v>
      </c>
      <c r="F78" s="29">
        <v>-2713.5091339621904</v>
      </c>
      <c r="G78" s="29">
        <f t="shared" si="3"/>
        <v>1356.7545669810952</v>
      </c>
    </row>
    <row r="79" spans="2:7" x14ac:dyDescent="0.2">
      <c r="B79" s="8"/>
      <c r="D79" s="2">
        <v>46.963999999999999</v>
      </c>
      <c r="E79" s="2">
        <f t="shared" si="2"/>
        <v>-0.5</v>
      </c>
      <c r="F79" s="29">
        <v>-2203.9010286867742</v>
      </c>
      <c r="G79" s="29">
        <f t="shared" si="3"/>
        <v>1101.9505143433871</v>
      </c>
    </row>
    <row r="80" spans="2:7" x14ac:dyDescent="0.2">
      <c r="B80" s="8"/>
      <c r="D80" s="2">
        <v>47.463999999999999</v>
      </c>
      <c r="E80" s="2">
        <f t="shared" si="2"/>
        <v>-0.5</v>
      </c>
      <c r="F80" s="29">
        <v>-1810.4730095881366</v>
      </c>
      <c r="G80" s="29">
        <f t="shared" si="3"/>
        <v>905.23650479406831</v>
      </c>
    </row>
    <row r="81" spans="2:7" x14ac:dyDescent="0.2">
      <c r="B81" s="8"/>
      <c r="D81" s="2">
        <v>47.963999999999999</v>
      </c>
      <c r="E81" s="2">
        <f t="shared" si="2"/>
        <v>-0.5</v>
      </c>
      <c r="F81" s="29">
        <v>-1498.2390279880435</v>
      </c>
      <c r="G81" s="29">
        <f t="shared" si="3"/>
        <v>749.11951399402176</v>
      </c>
    </row>
    <row r="82" spans="2:7" x14ac:dyDescent="0.2">
      <c r="B82" s="8"/>
      <c r="D82" s="2">
        <v>48.463999999999999</v>
      </c>
      <c r="E82" s="2">
        <f t="shared" si="2"/>
        <v>-0.5</v>
      </c>
      <c r="F82" s="29">
        <v>-1245.4153177283488</v>
      </c>
      <c r="G82" s="29">
        <f t="shared" si="3"/>
        <v>622.70765886417439</v>
      </c>
    </row>
    <row r="83" spans="2:7" x14ac:dyDescent="0.2">
      <c r="B83" s="8"/>
      <c r="D83" s="2">
        <v>48.963999999999999</v>
      </c>
      <c r="E83" s="2">
        <f t="shared" si="2"/>
        <v>-0.5</v>
      </c>
      <c r="F83" s="29">
        <v>-1038.1394821629594</v>
      </c>
      <c r="G83" s="29">
        <f t="shared" si="3"/>
        <v>519.06974108147972</v>
      </c>
    </row>
    <row r="84" spans="2:7" x14ac:dyDescent="0.2">
      <c r="B84" s="8"/>
      <c r="D84" s="2">
        <v>49.463999999999999</v>
      </c>
      <c r="E84" s="2">
        <f t="shared" si="2"/>
        <v>-0.5</v>
      </c>
      <c r="F84" s="29">
        <v>-866.72984744381017</v>
      </c>
      <c r="G84" s="29">
        <f t="shared" si="3"/>
        <v>433.36492372190509</v>
      </c>
    </row>
    <row r="85" spans="2:7" x14ac:dyDescent="0.2">
      <c r="B85" s="8"/>
      <c r="D85" s="2">
        <v>49.963999999999999</v>
      </c>
      <c r="E85" s="2">
        <f t="shared" si="2"/>
        <v>-0.5</v>
      </c>
      <c r="F85" s="29">
        <v>-723.92515818485288</v>
      </c>
      <c r="G85" s="29">
        <f t="shared" si="3"/>
        <v>361.96257909242644</v>
      </c>
    </row>
    <row r="86" spans="2:7" x14ac:dyDescent="0.2">
      <c r="B86" s="8"/>
      <c r="D86" s="2">
        <v>50.463999999999999</v>
      </c>
      <c r="E86" s="2">
        <f t="shared" si="2"/>
        <v>-0.5</v>
      </c>
      <c r="F86" s="29">
        <v>-605.3246535460579</v>
      </c>
      <c r="G86" s="29">
        <f t="shared" si="3"/>
        <v>302.66232677302895</v>
      </c>
    </row>
    <row r="87" spans="2:7" x14ac:dyDescent="0.2">
      <c r="B87" s="8"/>
      <c r="D87" s="2">
        <v>50.963999999999999</v>
      </c>
      <c r="E87" s="2">
        <f t="shared" si="2"/>
        <v>-0.5</v>
      </c>
      <c r="F87" s="29">
        <v>-507.18768681339998</v>
      </c>
      <c r="G87" s="29">
        <f t="shared" si="3"/>
        <v>253.59384340669999</v>
      </c>
    </row>
    <row r="88" spans="2:7" x14ac:dyDescent="0.2">
      <c r="B88" s="8"/>
      <c r="D88" s="2">
        <v>51.463999999999999</v>
      </c>
      <c r="E88" s="2">
        <f t="shared" si="2"/>
        <v>-0.5</v>
      </c>
      <c r="F88" s="29">
        <v>-440.73619812895458</v>
      </c>
      <c r="G88" s="29">
        <f t="shared" si="3"/>
        <v>220.36809906447729</v>
      </c>
    </row>
    <row r="89" spans="2:7" x14ac:dyDescent="0.2">
      <c r="B89" s="8"/>
      <c r="D89" s="2">
        <v>51.963999999999999</v>
      </c>
      <c r="E89" s="2">
        <f t="shared" si="2"/>
        <v>-0.5</v>
      </c>
      <c r="F89" s="29">
        <v>-361.96257909242644</v>
      </c>
      <c r="G89" s="29">
        <f t="shared" si="3"/>
        <v>180.98128954621322</v>
      </c>
    </row>
    <row r="90" spans="2:7" x14ac:dyDescent="0.2">
      <c r="B90" s="8"/>
      <c r="D90" s="2">
        <v>52.463999999999999</v>
      </c>
      <c r="E90" s="2">
        <f t="shared" si="2"/>
        <v>-0.5</v>
      </c>
      <c r="F90" s="29">
        <v>-299.91185124801052</v>
      </c>
      <c r="G90" s="29">
        <f t="shared" si="3"/>
        <v>149.95592562400526</v>
      </c>
    </row>
    <row r="91" spans="2:7" x14ac:dyDescent="0.2">
      <c r="B91" s="8"/>
      <c r="D91" s="2">
        <v>52.963999999999999</v>
      </c>
      <c r="E91" s="2">
        <f t="shared" si="2"/>
        <v>-0.5</v>
      </c>
      <c r="F91" s="29">
        <v>-250.84336788168156</v>
      </c>
      <c r="G91" s="29">
        <f t="shared" si="3"/>
        <v>125.42168394084078</v>
      </c>
    </row>
    <row r="92" spans="2:7" x14ac:dyDescent="0.2">
      <c r="B92" s="8"/>
      <c r="D92" s="2">
        <v>53.463999999999999</v>
      </c>
      <c r="E92" s="2">
        <f t="shared" si="2"/>
        <v>-0.5</v>
      </c>
      <c r="F92" s="29">
        <v>-210.79644423741308</v>
      </c>
      <c r="G92" s="29">
        <f t="shared" si="3"/>
        <v>105.39822211870654</v>
      </c>
    </row>
    <row r="93" spans="2:7" x14ac:dyDescent="0.2">
      <c r="B93" s="8"/>
      <c r="D93" s="2">
        <v>53.963999999999999</v>
      </c>
      <c r="E93" s="2">
        <f t="shared" si="2"/>
        <v>-0.5</v>
      </c>
      <c r="F93" s="29">
        <v>-177.35066185318888</v>
      </c>
      <c r="G93" s="29">
        <f t="shared" si="3"/>
        <v>88.675330926594441</v>
      </c>
    </row>
    <row r="94" spans="2:7" x14ac:dyDescent="0.2">
      <c r="B94" s="8"/>
      <c r="D94" s="2">
        <v>54.463999999999999</v>
      </c>
      <c r="E94" s="2">
        <f t="shared" si="2"/>
        <v>-0.5</v>
      </c>
      <c r="F94" s="29">
        <v>-149.62586856100305</v>
      </c>
      <c r="G94" s="29">
        <f t="shared" si="3"/>
        <v>74.812934280501523</v>
      </c>
    </row>
    <row r="95" spans="2:7" x14ac:dyDescent="0.2">
      <c r="B95" s="8"/>
      <c r="D95" s="2">
        <v>54.963999999999999</v>
      </c>
      <c r="E95" s="2">
        <f t="shared" si="2"/>
        <v>-0.5</v>
      </c>
      <c r="F95" s="29">
        <v>-126.52187415084816</v>
      </c>
      <c r="G95" s="29">
        <f t="shared" si="3"/>
        <v>63.260937075424081</v>
      </c>
    </row>
    <row r="96" spans="2:7" x14ac:dyDescent="0.2">
      <c r="B96" s="8"/>
      <c r="D96" s="2">
        <v>55.463999999999999</v>
      </c>
      <c r="E96" s="2">
        <f t="shared" si="2"/>
        <v>-0.5</v>
      </c>
      <c r="F96" s="29">
        <v>-107.15852645471836</v>
      </c>
      <c r="G96" s="29">
        <f t="shared" si="3"/>
        <v>53.579263227359178</v>
      </c>
    </row>
    <row r="97" spans="2:9" x14ac:dyDescent="0.2">
      <c r="B97" s="8"/>
      <c r="D97" s="2">
        <v>55.963999999999999</v>
      </c>
      <c r="E97" s="2">
        <f t="shared" si="2"/>
        <v>-0.5</v>
      </c>
      <c r="F97" s="29">
        <v>-90.875711346609194</v>
      </c>
      <c r="G97" s="29">
        <f t="shared" si="3"/>
        <v>45.437855673304597</v>
      </c>
    </row>
    <row r="98" spans="2:9" x14ac:dyDescent="0.2">
      <c r="B98" s="8"/>
      <c r="D98" s="2">
        <v>56.463999999999999</v>
      </c>
      <c r="E98" s="2">
        <f t="shared" si="2"/>
        <v>-0.5</v>
      </c>
      <c r="F98" s="29">
        <v>-77.453390784519229</v>
      </c>
      <c r="G98" s="29">
        <f t="shared" si="3"/>
        <v>38.726695392259614</v>
      </c>
    </row>
    <row r="99" spans="2:9" x14ac:dyDescent="0.2">
      <c r="B99" s="8"/>
      <c r="D99" s="2">
        <v>56.963999999999999</v>
      </c>
      <c r="E99" s="2">
        <f t="shared" si="2"/>
        <v>-0.5</v>
      </c>
      <c r="F99" s="29">
        <v>-66.011412600442512</v>
      </c>
      <c r="G99" s="29">
        <f t="shared" si="3"/>
        <v>33.005706300221256</v>
      </c>
    </row>
    <row r="100" spans="2:9" x14ac:dyDescent="0.2">
      <c r="B100" s="8"/>
      <c r="D100" s="2">
        <v>57.463999999999999</v>
      </c>
      <c r="E100" s="2">
        <f t="shared" si="2"/>
        <v>-0.5</v>
      </c>
      <c r="F100" s="29">
        <v>-56.329738752377615</v>
      </c>
      <c r="G100" s="29">
        <f t="shared" si="3"/>
        <v>28.164869376188808</v>
      </c>
    </row>
    <row r="101" spans="2:9" x14ac:dyDescent="0.2">
      <c r="B101" s="8"/>
      <c r="D101" s="2">
        <v>57.963999999999999</v>
      </c>
      <c r="E101" s="2">
        <f t="shared" si="2"/>
        <v>-0.5</v>
      </c>
      <c r="F101" s="29">
        <v>-48.408369240324511</v>
      </c>
      <c r="G101" s="29">
        <f t="shared" si="3"/>
        <v>24.204184620162255</v>
      </c>
    </row>
    <row r="102" spans="2:9" x14ac:dyDescent="0.2">
      <c r="B102" s="8"/>
      <c r="D102" s="2">
        <v>58.463999999999999</v>
      </c>
      <c r="E102" s="2">
        <f t="shared" si="2"/>
        <v>-0.5</v>
      </c>
      <c r="F102" s="29">
        <v>-41.587189938278783</v>
      </c>
      <c r="G102" s="29">
        <f t="shared" si="3"/>
        <v>20.793594969139392</v>
      </c>
    </row>
    <row r="103" spans="2:9" x14ac:dyDescent="0.2">
      <c r="B103" s="8"/>
      <c r="D103" s="2">
        <v>58.963999999999999</v>
      </c>
      <c r="E103" s="2">
        <f t="shared" si="2"/>
        <v>-0.5</v>
      </c>
      <c r="F103" s="29">
        <v>-35.866200846240439</v>
      </c>
      <c r="G103" s="29">
        <f t="shared" si="3"/>
        <v>17.933100423120219</v>
      </c>
    </row>
    <row r="104" spans="2:9" x14ac:dyDescent="0.2">
      <c r="B104" s="8"/>
      <c r="D104" s="2">
        <v>59.463999999999999</v>
      </c>
      <c r="E104" s="2">
        <f t="shared" si="2"/>
        <v>-0.5</v>
      </c>
      <c r="F104" s="29">
        <v>-31.025363922207983</v>
      </c>
      <c r="G104" s="29">
        <f t="shared" si="3"/>
        <v>15.512681961103992</v>
      </c>
    </row>
    <row r="105" spans="2:9" x14ac:dyDescent="0.2">
      <c r="B105" s="8"/>
      <c r="D105" s="2">
        <v>59.963999999999999</v>
      </c>
      <c r="E105" s="2">
        <f t="shared" si="2"/>
        <v>-0.5</v>
      </c>
      <c r="F105" s="29">
        <v>-27.064679166181435</v>
      </c>
      <c r="G105" s="29">
        <f t="shared" si="3"/>
        <v>13.532339583090717</v>
      </c>
    </row>
    <row r="106" spans="2:9" x14ac:dyDescent="0.2">
      <c r="B106" s="8"/>
      <c r="D106" s="2">
        <v>60.463999999999999</v>
      </c>
      <c r="E106" s="2">
        <f>(D105-D106)</f>
        <v>-0.5</v>
      </c>
      <c r="F106" s="29">
        <v>-23.544070494157829</v>
      </c>
      <c r="G106" s="29">
        <f>F106*(D105-D106)/2</f>
        <v>5.8860176235394572</v>
      </c>
      <c r="I106" s="29">
        <f>SUM(G3:G106)/5668</f>
        <v>44.727364995158254</v>
      </c>
    </row>
  </sheetData>
  <mergeCells count="2">
    <mergeCell ref="E1:F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Hall Probe Measurements</vt:lpstr>
    </vt:vector>
  </TitlesOfParts>
  <Company>Jefferson Science Associates,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meyers</dc:creator>
  <cp:lastModifiedBy>Microsoft Office User</cp:lastModifiedBy>
  <dcterms:created xsi:type="dcterms:W3CDTF">2012-01-26T15:17:37Z</dcterms:created>
  <dcterms:modified xsi:type="dcterms:W3CDTF">2020-06-16T21:14:15Z</dcterms:modified>
</cp:coreProperties>
</file>